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København AS (S04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44" r:id="rId16"/>
    <sheet name="Fane 12. Periodevise driftsomk." sheetId="20" r:id="rId17"/>
    <sheet name="Fane 13. Tilknyttet virksomhed" sheetId="29" r:id="rId18"/>
    <sheet name="Fane 14. Bortfald" sheetId="21" r:id="rId19"/>
    <sheet name="Fane 15. Nøgletal" sheetId="26" r:id="rId20"/>
  </sheets>
  <externalReferences>
    <externalReference r:id="rId21"/>
  </externalReferences>
  <calcPr calcId="162913"/>
</workbook>
</file>

<file path=xl/calcChain.xml><?xml version="1.0" encoding="utf-8"?>
<calcChain xmlns="http://schemas.openxmlformats.org/spreadsheetml/2006/main">
  <c r="E35" i="27" l="1"/>
  <c r="C11" i="44" l="1"/>
  <c r="C12" i="44" s="1"/>
  <c r="C26" i="2" s="1"/>
  <c r="E11" i="44"/>
  <c r="E12" i="44" s="1"/>
  <c r="C27" i="2" s="1"/>
  <c r="C16" i="15" l="1"/>
  <c r="E28" i="32" l="1"/>
  <c r="C20" i="23" l="1"/>
  <c r="C20" i="22"/>
  <c r="C20" i="15"/>
  <c r="C32" i="2"/>
  <c r="E24" i="32" l="1"/>
  <c r="E32" i="32" l="1"/>
  <c r="E34" i="32" s="1"/>
  <c r="C14" i="19"/>
  <c r="E34" i="27" l="1"/>
  <c r="C22" i="23"/>
  <c r="C22" i="22"/>
  <c r="C22" i="15"/>
  <c r="C36" i="2"/>
  <c r="G18" i="41" l="1"/>
  <c r="C11" i="29" l="1"/>
  <c r="E11" i="29"/>
  <c r="J11" i="11"/>
  <c r="H11" i="11"/>
  <c r="E16" i="27" l="1"/>
  <c r="E29" i="20" l="1"/>
  <c r="E23" i="20"/>
  <c r="E17" i="20"/>
  <c r="E11" i="20"/>
  <c r="F10" i="11" l="1"/>
  <c r="F11" i="11" s="1"/>
  <c r="E12" i="29" l="1"/>
  <c r="C12" i="29"/>
  <c r="C12" i="21" l="1"/>
  <c r="C13" i="21" s="1"/>
  <c r="C12" i="2" l="1"/>
  <c r="C15" i="2" l="1"/>
  <c r="C14" i="2"/>
  <c r="G6" i="36" l="1"/>
  <c r="C28" i="2" l="1"/>
  <c r="C29" i="2" l="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<sst xmlns="http://schemas.openxmlformats.org/spreadsheetml/2006/main" count="613" uniqueCount="290">
  <si>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</si>
  <si>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</si>
  <si>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</si>
  <si>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</si>
  <si>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</si>
  <si>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</si>
  <si>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</si>
  <si>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</si>
  <si>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</si>
  <si>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</si>
  <si>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</si>
  <si>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</si>
  <si>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</si>
  <si>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</si>
  <si>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</si>
  <si>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</si>
  <si>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</si>
  <si>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</si>
  <si>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</si>
  <si>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</si>
  <si>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</si>
  <si>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</si>
  <si>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</si>
  <si>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</si>
  <si>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</si>
  <si>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</si>
  <si>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</si>
  <si>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</si>
  <si>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</si>
  <si>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</si>
  <si>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</si>
  <si>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</si>
  <si>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</si>
  <si>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</si>
  <si>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</si>
  <si>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</si>
  <si>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</si>
  <si>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</si>
  <si>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</si>
  <si>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</si>
  <si>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</si>
  <si>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</si>
  <si>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</si>
  <si>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</si>
  <si>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</si>
  <si>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</si>
  <si>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</si>
  <si>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</si>
  <si>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</si>
  <si>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</si>
  <si>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</si>
  <si>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</si>
  <si>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</si>
  <si>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</si>
  <si>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</si>
  <si>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</si>
  <si>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</si>
  <si>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</si>
  <si>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</si>
  <si>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</si>
  <si>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</si>
  <si>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</si>
  <si>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</si>
  <si>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</si>
  <si>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</si>
  <si>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</si>
  <si>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</si>
  <si>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</si>
  <si>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</si>
  <si>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</si>
  <si>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</si>
  <si>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</si>
  <si>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</si>
  <si>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</si>
  <si>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</si>
  <si>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</si>
  <si>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</si>
  <si>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</si>
  <si>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</si>
  <si>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</si>
  <si>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</si>
  <si>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</si>
  <si>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</si>
  <si>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</si>
  <si>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</si>
  <si>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</si>
  <si>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</si>
  <si>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</si>
  <si>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</si>
  <si>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</si>
  <si>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</si>
  <si>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</si>
  <si>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</si>
  <si>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</si>
  <si>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</si>
  <si>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</si>
  <si>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</si>
  <si>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</si>
  <si>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</si>
  <si>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</si>
  <si>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</si>
  <si>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</si>
  <si>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</si>
  <si>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</si>
  <si>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</si>
  <si>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</si>
  <si>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</si>
  <si>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</si>
  <si>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</si>
  <si>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</si>
  <si>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</si>
  <si>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</si>
  <si>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</si>
  <si>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</si>
  <si>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</si>
  <si>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</si>
  <si>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</si>
  <si>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</si>
  <si>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</si>
  <si>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</si>
  <si>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</si>
  <si>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</si>
  <si>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</si>
  <si>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</si>
  <si>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</si>
  <si>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</si>
  <si>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</si>
  <si>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</si>
  <si>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</si>
  <si>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</si>
  <si>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</si>
  <si>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</si>
  <si>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</si>
  <si>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</si>
  <si>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</si>
  <si>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</si>
  <si>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</si>
  <si>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</si>
  <si>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</si>
  <si>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</si>
  <si>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</si>
  <si>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</si>
  <si>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</si>
  <si>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</si>
  <si>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</si>
  <si>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</si>
  <si>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</si>
  <si>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</si>
  <si>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</si>
  <si>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</si>
  <si>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</si>
  <si>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</si>
  <si>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</si>
  <si>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</si>
  <si>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</si>
  <si>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</si>
  <si>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</si>
  <si>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</si>
  <si>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</si>
  <si>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</si>
  <si>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</si>
  <si>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</si>
  <si>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</si>
  <si>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</si>
  <si>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</si>
  <si>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</si>
  <si>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</si>
  <si>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</si>
  <si>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</si>
  <si>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</si>
  <si>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</si>
  <si>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</si>
  <si>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</si>
  <si>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</si>
  <si>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</si>
  <si>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</si>
  <si>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</si>
  <si>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</si>
  <si>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</si>
  <si>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</si>
  <si>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</si>
  <si>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</si>
  <si>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</si>
  <si>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</si>
  <si>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</si>
  <si>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</si>
  <si>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</si>
  <si>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</si>
  <si>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</si>
  <si>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</si>
  <si>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</si>
  <si>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</si>
  <si>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</si>
  <si>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</si>
  <si>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</si>
  <si>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</si>
  <si>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</si>
  <si>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</si>
  <si>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</si>
  <si>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</si>
  <si>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</si>
  <si>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</si>
  <si>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</si>
  <si>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</si>
  <si>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</si>
  <si>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</si>
  <si>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</si>
  <si>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</si>
  <si>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</si>
  <si>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</si>
  <si>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</si>
  <si>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</si>
  <si>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</si>
  <si>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</si>
  <si>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</si>
  <si>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</si>
  <si>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</si>
  <si>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</si>
  <si>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</si>
  <si>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</si>
  <si>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</si>
  <si>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</si>
  <si>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</si>
  <si>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</si>
  <si>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</si>
  <si>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</si>
  <si>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</si>
  <si>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</si>
  <si>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</si>
  <si>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</si>
  <si>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</si>
  <si>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</si>
  <si>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</si>
  <si>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</si>
  <si>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</si>
  <si>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</si>
  <si>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</si>
  <si>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</si>
  <si>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</si>
  <si>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</si>
  <si>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</si>
  <si>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</si>
  <si>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</si>
  <si>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</si>
  <si>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</si>
  <si>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</si>
  <si>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</si>
  <si>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</si>
  <si>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</si>
  <si>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</si>
  <si>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</si>
  <si>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</si>
  <si>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</si>
  <si>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</si>
  <si>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</si>
  <si>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</si>
  <si>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</si>
  <si>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</si>
  <si>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</si>
  <si>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</si>
  <si>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</si>
  <si>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</si>
  <si>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</si>
  <si>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</si>
  <si>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</si>
  <si>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</si>
  <si>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</si>
  <si>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</si>
  <si>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</si>
  <si>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</si>
  <si>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Udvidelser</t>
  </si>
  <si>
    <t>Klimatilpasningsprojekter</t>
  </si>
  <si>
    <t>Flytning af ledninger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</si>
  <si>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</si>
  <si>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</si>
  <si>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</si>
  <si>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</si>
  <si>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</si>
  <si>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</si>
  <si>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</si>
  <si>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</si>
  <si>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</si>
  <si>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Betalinger til projekters medfinansiering ØR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</si>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</sst>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Spildevand/Faxe%20Spildevand%20AS%20(S018)/&#216;R2023/Bilag%20A%20-%20Faxe%20Spildevand%20AS%20(S018)%20-%20&#216;R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orside"/>
      <sheetName val="Fane 2.1. Økonomisk ramme 2023"/>
      <sheetName val="Fane 2.2. Økonomisk ramme 2024"/>
      <sheetName val="Fane 2.3. Økonomisk ramme 2025"/>
      <sheetName val="Fane 2.4. Økonomisk ramme 2026"/>
      <sheetName val="Fane 3. Omkostninger i ØR2022"/>
      <sheetName val="Fane 4.1. Gen. krav - drift"/>
      <sheetName val="Fane 4.2. Gen. krav - anlæg"/>
      <sheetName val="Fane 5. Individuelt eff. krav"/>
      <sheetName val="Fane 6. Ikke-påvirkelige omk."/>
      <sheetName val="Fane 7. Kontrol af ØR2021"/>
      <sheetName val="Fane 8. Skattesagen"/>
      <sheetName val="Fane 9. Korrektion af ØR2021"/>
      <sheetName val="Fane 10. Anlægsprojekter (§ 19)"/>
      <sheetName val="Fane 11.1. Varige tillæg"/>
      <sheetName val="Fane 11.2. Engangstillæg"/>
      <sheetName val="Fane 12. Periodevise driftsomk."/>
      <sheetName val="Fane 13. Tilknyttet virksomhed"/>
      <sheetName val="Fane 14. Bortfald"/>
      <sheetName val="Fane 15. Nøgle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5">
          <cell r="C15">
            <v>3.56E-2</v>
          </cell>
        </row>
      </sheetData>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jhPYauoxoG8R2sln7IFYKYsxRwjlSts1KEZ3D6WN7M8WeBizFbRCDuap+xyN/FHoaYVAl8ugPK7FC83g2Ibs4Q==" saltValue="YoSOYGDvx6eK5tcvzxAbl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943885</v>
      </c>
      <c r="D10" s="14" t="s">
        <v>3</v>
      </c>
      <c r="E10" s="1"/>
      <c r="F10" s="1"/>
    </row>
    <row r="11" spans="1:6" x14ac:dyDescent="0.25">
      <c r="A11" s="1"/>
      <c r="B11" s="94" t="s">
        <v>266</v>
      </c>
      <c r="C11" s="9">
        <v>248582286</v>
      </c>
      <c r="D11" s="14" t="s">
        <v>3</v>
      </c>
      <c r="E11" s="1"/>
      <c r="F11" s="1"/>
    </row>
    <row r="12" spans="1:6" x14ac:dyDescent="0.25">
      <c r="A12" s="1"/>
      <c r="B12" s="94" t="s">
        <v>267</v>
      </c>
      <c r="C12" s="9">
        <v>3498956</v>
      </c>
      <c r="D12" s="14" t="s">
        <v>3</v>
      </c>
      <c r="E12" s="1"/>
      <c r="F12" s="1"/>
    </row>
    <row r="13" spans="1:6" x14ac:dyDescent="0.25">
      <c r="A13" s="1"/>
      <c r="B13" s="94" t="s">
        <v>282</v>
      </c>
      <c r="C13" s="9">
        <v>4799433</v>
      </c>
      <c r="D13" s="14" t="s">
        <v>3</v>
      </c>
      <c r="E13" s="1"/>
      <c r="F13" s="1"/>
    </row>
    <row r="14" spans="1:6" x14ac:dyDescent="0.25">
      <c r="A14" s="1"/>
      <c r="B14" s="32" t="s">
        <v>200</v>
      </c>
      <c r="C14" s="12">
        <f>SUM(C10:C13)</f>
        <v>257824560</v>
      </c>
      <c r="D14" s="13" t="s">
        <v>3</v>
      </c>
      <c r="E14" s="1"/>
      <c r="F14" s="1"/>
    </row>
    <row r="15" spans="1:6" x14ac:dyDescent="0.25">
      <c r="A15" s="1"/>
      <c r="B15" s="32" t="s">
        <v>201</v>
      </c>
      <c r="C15" s="12">
        <f>C14*(1+'Fane 15. Nøgletal'!C15)^2</f>
        <v>276508425.20636165</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19560484</v>
      </c>
      <c r="D19" s="14" t="s">
        <v>3</v>
      </c>
      <c r="E19" s="1"/>
      <c r="F19" s="1"/>
    </row>
    <row r="20" spans="1:6" x14ac:dyDescent="0.25">
      <c r="A20" s="1"/>
      <c r="B20" s="94" t="s">
        <v>129</v>
      </c>
      <c r="C20" s="9">
        <v>19326143</v>
      </c>
      <c r="D20" s="14" t="s">
        <v>3</v>
      </c>
      <c r="E20" s="1"/>
      <c r="F20" s="1"/>
    </row>
    <row r="21" spans="1:6" x14ac:dyDescent="0.25">
      <c r="A21" s="1"/>
      <c r="B21" s="94" t="s">
        <v>155</v>
      </c>
      <c r="C21" s="9">
        <v>19352974</v>
      </c>
      <c r="D21" s="14" t="s">
        <v>3</v>
      </c>
      <c r="E21" s="1"/>
      <c r="F21" s="1"/>
    </row>
    <row r="22" spans="1:6" x14ac:dyDescent="0.25">
      <c r="A22" s="1"/>
      <c r="B22" s="33" t="s">
        <v>202</v>
      </c>
      <c r="C22" s="9">
        <v>19255921</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QYE4X95Wc/RuGahsBWhzdSv5BfJ2mxkalX2oFrCcD55diNZi9ubxI7k/iTiNFH4xbYC2IR5MwmtTZv8cgdwEYA==" saltValue="QfBDuGab78jHrZH3rn5BM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2089858.1427859068</v>
      </c>
      <c r="F9" s="14" t="s">
        <v>3</v>
      </c>
      <c r="G9" s="1"/>
    </row>
    <row r="10" spans="1:7" x14ac:dyDescent="0.25">
      <c r="A10" s="1"/>
      <c r="B10" s="136" t="s">
        <v>263</v>
      </c>
      <c r="C10" s="137"/>
      <c r="D10" s="138"/>
      <c r="E10" s="9">
        <v>2089858.1427859068</v>
      </c>
      <c r="F10" s="14" t="s">
        <v>3</v>
      </c>
      <c r="G10" s="1"/>
    </row>
    <row r="11" spans="1:7" x14ac:dyDescent="0.25">
      <c r="A11" s="1"/>
      <c r="B11" s="32"/>
      <c r="C11" s="27"/>
      <c r="D11" s="27"/>
      <c r="E11" s="27"/>
      <c r="F11" s="19"/>
      <c r="G11" s="1"/>
    </row>
    <row r="12" spans="1:7" ht="78.75" customHeight="1" x14ac:dyDescent="0.25">
      <c r="A12" s="1"/>
      <c r="B12" s="121" t="s">
        <v>288</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283</v>
      </c>
      <c r="C15" s="137"/>
      <c r="D15" s="138"/>
      <c r="E15" s="9">
        <v>-8717175.5</v>
      </c>
      <c r="F15" s="14" t="s">
        <v>3</v>
      </c>
      <c r="G15" s="1"/>
    </row>
    <row r="16" spans="1:7" x14ac:dyDescent="0.25">
      <c r="A16" s="1"/>
      <c r="B16" s="136" t="s">
        <v>284</v>
      </c>
      <c r="C16" s="137"/>
      <c r="D16" s="138"/>
      <c r="E16" s="9">
        <v>-8717175.5</v>
      </c>
      <c r="F16" s="14" t="s">
        <v>3</v>
      </c>
      <c r="G16" s="1"/>
    </row>
    <row r="17" spans="1:7" x14ac:dyDescent="0.25">
      <c r="A17" s="1"/>
      <c r="B17" s="32"/>
      <c r="C17" s="27"/>
      <c r="D17" s="27"/>
      <c r="E17" s="27"/>
      <c r="F17" s="19"/>
      <c r="G17" s="1"/>
    </row>
    <row r="18" spans="1:7" ht="31.5" customHeight="1" x14ac:dyDescent="0.25">
      <c r="A18" s="1"/>
      <c r="B18" s="121" t="s">
        <v>289</v>
      </c>
      <c r="C18" s="122"/>
      <c r="D18" s="122"/>
      <c r="E18" s="122"/>
      <c r="F18" s="123"/>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489990754.55831683</v>
      </c>
      <c r="F21" s="14" t="s">
        <v>3</v>
      </c>
      <c r="G21" s="1"/>
    </row>
    <row r="22" spans="1:7" x14ac:dyDescent="0.25">
      <c r="A22" s="1"/>
      <c r="B22" s="91" t="s">
        <v>207</v>
      </c>
      <c r="C22" s="92"/>
      <c r="D22" s="93"/>
      <c r="E22" s="9">
        <v>502044962</v>
      </c>
      <c r="F22" s="14" t="s">
        <v>3</v>
      </c>
      <c r="G22" s="1"/>
    </row>
    <row r="23" spans="1:7" x14ac:dyDescent="0.25">
      <c r="A23" s="1"/>
      <c r="B23" s="91" t="s">
        <v>33</v>
      </c>
      <c r="C23" s="92"/>
      <c r="D23" s="93"/>
      <c r="E23" s="9">
        <v>0</v>
      </c>
      <c r="F23" s="14" t="s">
        <v>3</v>
      </c>
      <c r="G23" s="1"/>
    </row>
    <row r="24" spans="1:7" x14ac:dyDescent="0.25">
      <c r="A24" s="1"/>
      <c r="B24" s="88" t="s">
        <v>268</v>
      </c>
      <c r="C24" s="89"/>
      <c r="D24" s="96"/>
      <c r="E24" s="72">
        <f>E21-(E22-E23)</f>
        <v>-12054207.441683173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285</v>
      </c>
      <c r="C27" s="132"/>
      <c r="D27" s="132"/>
      <c r="E27" s="132"/>
      <c r="F27" s="133"/>
      <c r="G27" s="1"/>
    </row>
    <row r="28" spans="1:7" x14ac:dyDescent="0.25">
      <c r="A28" s="1"/>
      <c r="B28" s="134" t="s">
        <v>286</v>
      </c>
      <c r="C28" s="135"/>
      <c r="D28" s="158"/>
      <c r="E28" s="73">
        <f>E16</f>
        <v>-8717175.5</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1" t="s">
        <v>143</v>
      </c>
      <c r="C32" s="152"/>
      <c r="D32" s="153"/>
      <c r="E32" s="74">
        <f>IF(AND(E9&gt;0,(E9+E24)&gt;0),0,IF(AND(E9&gt;0,(E9+E24)&lt;0),(E9+E24),IF(AND(E9&lt;0,E24&lt;0),E24,0)))</f>
        <v>-9964349.2988972664</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-2491087.3247243166</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b+sjAPMzeoQG0C83uebeXOqV+T7OW0kGqgpK5cMwJXBwq7RaOv+ZQcE1dGcSIMwoshB+0z70geYloTrvHhw+5A==" saltValue="OF2kFR/kZDaAzzqvyG1SU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273</v>
      </c>
      <c r="C10" s="160"/>
      <c r="D10" s="160"/>
      <c r="E10" s="160"/>
      <c r="F10" s="161"/>
      <c r="G10" s="9">
        <v>0</v>
      </c>
      <c r="H10" s="9" t="s">
        <v>3</v>
      </c>
      <c r="I10" s="1"/>
    </row>
    <row r="11" spans="1:9" x14ac:dyDescent="0.25">
      <c r="A11" s="1"/>
      <c r="B11" s="159" t="s">
        <v>274</v>
      </c>
      <c r="C11" s="160"/>
      <c r="D11" s="160"/>
      <c r="E11" s="160"/>
      <c r="F11" s="161"/>
      <c r="G11" s="9">
        <v>0</v>
      </c>
      <c r="H11" s="9" t="s">
        <v>3</v>
      </c>
      <c r="I11" s="1"/>
    </row>
    <row r="12" spans="1:9" x14ac:dyDescent="0.25">
      <c r="A12" s="1"/>
      <c r="B12" s="159" t="s">
        <v>275</v>
      </c>
      <c r="C12" s="160"/>
      <c r="D12" s="160"/>
      <c r="E12" s="160"/>
      <c r="F12" s="161"/>
      <c r="G12" s="9">
        <v>0</v>
      </c>
      <c r="H12" s="9" t="s">
        <v>3</v>
      </c>
      <c r="I12" s="1"/>
    </row>
    <row r="13" spans="1:9" x14ac:dyDescent="0.25">
      <c r="A13" s="1"/>
      <c r="B13" s="159" t="s">
        <v>276</v>
      </c>
      <c r="C13" s="160"/>
      <c r="D13" s="160"/>
      <c r="E13" s="160"/>
      <c r="F13" s="161"/>
      <c r="G13" s="9">
        <v>0</v>
      </c>
      <c r="H13" s="9" t="s">
        <v>3</v>
      </c>
      <c r="I13" s="1"/>
    </row>
    <row r="14" spans="1:9" x14ac:dyDescent="0.25">
      <c r="A14" s="1"/>
      <c r="B14" s="159" t="s">
        <v>277</v>
      </c>
      <c r="C14" s="160"/>
      <c r="D14" s="160"/>
      <c r="E14" s="160"/>
      <c r="F14" s="161"/>
      <c r="G14" s="9">
        <v>0</v>
      </c>
      <c r="H14" s="9" t="s">
        <v>3</v>
      </c>
      <c r="I14" s="1"/>
    </row>
    <row r="15" spans="1:9" x14ac:dyDescent="0.25">
      <c r="A15" s="1"/>
      <c r="B15" s="159" t="s">
        <v>278</v>
      </c>
      <c r="C15" s="160"/>
      <c r="D15" s="160"/>
      <c r="E15" s="160"/>
      <c r="F15" s="161"/>
      <c r="G15" s="9">
        <v>0</v>
      </c>
      <c r="H15" s="9" t="s">
        <v>3</v>
      </c>
      <c r="I15" s="1"/>
    </row>
    <row r="16" spans="1:9" x14ac:dyDescent="0.25">
      <c r="A16" s="1"/>
      <c r="B16" s="159" t="s">
        <v>279</v>
      </c>
      <c r="C16" s="160"/>
      <c r="D16" s="160"/>
      <c r="E16" s="160"/>
      <c r="F16" s="161"/>
      <c r="G16" s="9">
        <v>0</v>
      </c>
      <c r="H16" s="9" t="s">
        <v>3</v>
      </c>
      <c r="I16" s="1"/>
    </row>
    <row r="17" spans="1:9" x14ac:dyDescent="0.25">
      <c r="A17" s="1"/>
      <c r="B17" s="159" t="s">
        <v>280</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PnCq+ri6lUKi6KJOMYmJBvZq0oQ3U6PD+KkS/JlBXT8zxz3A0yFnY0/X/IzAskf1kuPfo4aTQ9uIDdpzOdhZUg==" saltValue="o4aUcze8EH9r8+Rsl724ZA=="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6270527.0894147092</v>
      </c>
      <c r="F10" s="8" t="s">
        <v>3</v>
      </c>
      <c r="G10" s="1"/>
    </row>
    <row r="11" spans="1:7" x14ac:dyDescent="0.25">
      <c r="A11" s="1"/>
      <c r="B11" s="136" t="s">
        <v>209</v>
      </c>
      <c r="C11" s="137"/>
      <c r="D11" s="138"/>
      <c r="E11" s="7">
        <v>57540</v>
      </c>
      <c r="F11" s="8" t="s">
        <v>3</v>
      </c>
      <c r="G11" s="1"/>
    </row>
    <row r="12" spans="1:7" x14ac:dyDescent="0.25">
      <c r="A12" s="1"/>
      <c r="B12" s="134" t="s">
        <v>101</v>
      </c>
      <c r="C12" s="135"/>
      <c r="D12" s="158"/>
      <c r="E12" s="10">
        <f>E11-E10</f>
        <v>-6212987.0894147092</v>
      </c>
      <c r="F12" s="11" t="s">
        <v>3</v>
      </c>
      <c r="G12" s="1"/>
    </row>
    <row r="13" spans="1:7" x14ac:dyDescent="0.25">
      <c r="A13" s="1"/>
      <c r="B13" s="131" t="s">
        <v>94</v>
      </c>
      <c r="C13" s="132"/>
      <c r="D13" s="132"/>
      <c r="E13" s="132"/>
      <c r="F13" s="133"/>
      <c r="G13" s="1"/>
    </row>
    <row r="14" spans="1:7" x14ac:dyDescent="0.25">
      <c r="A14" s="1"/>
      <c r="B14" s="136" t="s">
        <v>210</v>
      </c>
      <c r="C14" s="137"/>
      <c r="D14" s="138"/>
      <c r="E14" s="9">
        <v>19301918</v>
      </c>
      <c r="F14" s="8" t="s">
        <v>3</v>
      </c>
      <c r="G14" s="1"/>
    </row>
    <row r="15" spans="1:7" x14ac:dyDescent="0.25">
      <c r="A15" s="1"/>
      <c r="B15" s="121" t="s">
        <v>211</v>
      </c>
      <c r="C15" s="122"/>
      <c r="D15" s="123"/>
      <c r="E15" s="9">
        <v>2938487</v>
      </c>
      <c r="F15" s="8" t="s">
        <v>3</v>
      </c>
      <c r="G15" s="1"/>
    </row>
    <row r="16" spans="1:7" x14ac:dyDescent="0.25">
      <c r="A16" s="1"/>
      <c r="B16" s="134" t="s">
        <v>101</v>
      </c>
      <c r="C16" s="135"/>
      <c r="D16" s="158"/>
      <c r="E16" s="10">
        <f>E15-E14</f>
        <v>-16363431</v>
      </c>
      <c r="F16" s="11" t="s">
        <v>3</v>
      </c>
      <c r="G16" s="1"/>
    </row>
    <row r="17" spans="1:7" x14ac:dyDescent="0.25">
      <c r="A17" s="1"/>
      <c r="B17" s="32" t="s">
        <v>212</v>
      </c>
      <c r="C17" s="27"/>
      <c r="D17" s="27"/>
      <c r="E17" s="12">
        <f>E12+E16</f>
        <v>-22576418.089414708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hiqGnKWBy9bvRr6EnDWYA1mqMBoVoNtOIpeQS0n5ffqifzvFG3n8lRaxmvahXG0QtH3sxpZsNZVw/seeeZPZw==" saltValue="pyBECQ2o71+WuGUcnOqmn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281</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6coXnDnO9jcuTB7uyV/4Bx5ZGPvRqxQVrSXlJlWHsEUTa73siq6Yahhi/1rP+Pz1k3UqYSadFTJzbZC5f0aWBw==" saltValue="IpkOSiJ76pvE+uLUpCIgL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271</v>
      </c>
      <c r="C11" s="21">
        <v>0</v>
      </c>
      <c r="D11" s="14" t="s">
        <v>3</v>
      </c>
      <c r="E11" s="9">
        <v>3930291</v>
      </c>
      <c r="F11" s="14" t="s">
        <v>3</v>
      </c>
      <c r="G11" s="1"/>
    </row>
    <row r="12" spans="1:7" x14ac:dyDescent="0.25">
      <c r="A12" s="1"/>
      <c r="B12" s="23" t="s">
        <v>272</v>
      </c>
      <c r="C12" s="21">
        <v>0</v>
      </c>
      <c r="D12" s="14" t="s">
        <v>3</v>
      </c>
      <c r="E12" s="9">
        <v>25850</v>
      </c>
      <c r="F12" s="14" t="s">
        <v>3</v>
      </c>
      <c r="G12" s="1"/>
    </row>
    <row r="13" spans="1:7" x14ac:dyDescent="0.25">
      <c r="A13" s="1"/>
      <c r="B13" s="23" t="s">
        <v>270</v>
      </c>
      <c r="C13" s="21">
        <v>0</v>
      </c>
      <c r="D13" s="14" t="s">
        <v>3</v>
      </c>
      <c r="E13" s="9">
        <v>305994</v>
      </c>
      <c r="F13" s="14" t="s">
        <v>3</v>
      </c>
      <c r="G13" s="1"/>
    </row>
    <row r="14" spans="1:7" x14ac:dyDescent="0.25">
      <c r="A14" s="1"/>
      <c r="B14" s="32" t="s">
        <v>156</v>
      </c>
      <c r="C14" s="12">
        <f>SUM(C10:C13)</f>
        <v>0</v>
      </c>
      <c r="D14" s="13" t="s">
        <v>3</v>
      </c>
      <c r="E14" s="12">
        <f>SUM(E10:E13)</f>
        <v>4262135</v>
      </c>
      <c r="F14" s="13" t="s">
        <v>3</v>
      </c>
      <c r="G14" s="1"/>
    </row>
    <row r="15" spans="1:7" x14ac:dyDescent="0.25">
      <c r="A15" s="1"/>
      <c r="B15" s="32" t="s">
        <v>213</v>
      </c>
      <c r="C15" s="12">
        <f>C14*(1+'Fane 15. Nøgletal'!C15)</f>
        <v>0</v>
      </c>
      <c r="D15" s="13" t="s">
        <v>3</v>
      </c>
      <c r="E15" s="12">
        <f>E14*(1+'Fane 15. Nøgletal'!C15)</f>
        <v>4413867.0060000001</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9"/>
      <c r="B51" s="49"/>
      <c r="C51" s="49"/>
      <c r="D51" s="49"/>
      <c r="E51" s="49"/>
      <c r="F51" s="49"/>
      <c r="G51" s="49"/>
    </row>
  </sheetData>
  <sheetProtection algorithmName="SHA-512" hashValue="8VLVxO6GdJCVgi5QJjjs/MPZT6q5vmiy58eQob6/EoVYyFms28eorO5tu5jCdjbzg+q9XL35hSiIHf8lfsgi3Q==" saltValue="HArWCq9Xnaavs/g3cfcnO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271</v>
      </c>
      <c r="C10" s="21">
        <v>1397244</v>
      </c>
      <c r="D10" s="14" t="s">
        <v>3</v>
      </c>
      <c r="E10" s="9">
        <v>0</v>
      </c>
      <c r="F10" s="14" t="s">
        <v>3</v>
      </c>
      <c r="G10" s="1"/>
    </row>
    <row r="11" spans="1:7" x14ac:dyDescent="0.25">
      <c r="A11" s="1"/>
      <c r="B11" s="32" t="s">
        <v>232</v>
      </c>
      <c r="C11" s="12">
        <f>SUM(C10:C10)</f>
        <v>1397244</v>
      </c>
      <c r="D11" s="13" t="s">
        <v>3</v>
      </c>
      <c r="E11" s="12">
        <f>SUM(E10:E10)</f>
        <v>0</v>
      </c>
      <c r="F11" s="13" t="s">
        <v>3</v>
      </c>
      <c r="G11" s="1"/>
    </row>
    <row r="12" spans="1:7" x14ac:dyDescent="0.25">
      <c r="A12" s="1"/>
      <c r="B12" s="32" t="s">
        <v>136</v>
      </c>
      <c r="C12" s="12">
        <f>C11*(1+'[1]Fane 15. Nøgletal'!C15)^2</f>
        <v>1498498.5839558402</v>
      </c>
      <c r="D12" s="13" t="s">
        <v>3</v>
      </c>
      <c r="E12" s="12">
        <f>E11*(1+'[1]Fane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5+4tIG/1bSluJozhLOE5H9OZxgkq8aL5MmqBk91HjhFOrx+l/AIIQORMchuddhJpDfrXAzBqpqYrk4fUNFeFqA==" saltValue="+AiFl3oAkv17x+wN2opvKA==" spinCount="100000" sheet="1" objects="1" scenarios="1"/>
  <mergeCells count="5">
    <mergeCell ref="B3:F4"/>
    <mergeCell ref="B8:F8"/>
    <mergeCell ref="B14:F14"/>
    <mergeCell ref="B21:F21"/>
    <mergeCell ref="B28:F2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5420035.3174669594</v>
      </c>
      <c r="F10" s="14" t="s">
        <v>3</v>
      </c>
      <c r="G10" s="1"/>
    </row>
    <row r="11" spans="1:7" x14ac:dyDescent="0.25">
      <c r="A11" s="1"/>
      <c r="B11" s="125" t="s">
        <v>10</v>
      </c>
      <c r="C11" s="126"/>
      <c r="D11" s="127"/>
      <c r="E11" s="9">
        <f>-E10*'Fane 5. Individuelt eff. krav'!G9</f>
        <v>-9341.6115632726196</v>
      </c>
      <c r="F11" s="14" t="s">
        <v>3</v>
      </c>
      <c r="G11" s="1"/>
    </row>
    <row r="12" spans="1:7" x14ac:dyDescent="0.25">
      <c r="A12" s="1"/>
      <c r="B12" s="125" t="s">
        <v>24</v>
      </c>
      <c r="C12" s="126"/>
      <c r="D12" s="127"/>
      <c r="E12" s="9">
        <f>-E10*'Fane 15. Nøgletal'!C31</f>
        <v>-108400.70634933919</v>
      </c>
      <c r="F12" s="14" t="s">
        <v>3</v>
      </c>
      <c r="G12" s="1"/>
    </row>
    <row r="13" spans="1:7" x14ac:dyDescent="0.25">
      <c r="A13" s="1"/>
      <c r="B13" s="131" t="s">
        <v>92</v>
      </c>
      <c r="C13" s="132"/>
      <c r="D13" s="133"/>
      <c r="E13" s="12">
        <f>SUM(E10:E12)*(1+'Fane 15. Nøgletal'!C15)^2</f>
        <v>5686536.1751785325</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5420035.3174669594</v>
      </c>
      <c r="F16" s="14" t="s">
        <v>3</v>
      </c>
      <c r="G16" s="1"/>
    </row>
    <row r="17" spans="1:7" x14ac:dyDescent="0.25">
      <c r="A17" s="1"/>
      <c r="B17" s="125" t="s">
        <v>10</v>
      </c>
      <c r="C17" s="126"/>
      <c r="D17" s="127"/>
      <c r="E17" s="9">
        <f>-E16*'Fane 5. Individuelt eff. krav'!G9</f>
        <v>-9341.6115632726196</v>
      </c>
      <c r="F17" s="14" t="s">
        <v>3</v>
      </c>
      <c r="G17" s="1"/>
    </row>
    <row r="18" spans="1:7" x14ac:dyDescent="0.25">
      <c r="A18" s="1"/>
      <c r="B18" s="125" t="s">
        <v>24</v>
      </c>
      <c r="C18" s="126"/>
      <c r="D18" s="127"/>
      <c r="E18" s="9">
        <f>-E16*'Fane 15. Nøgletal'!C31</f>
        <v>-108400.70634933919</v>
      </c>
      <c r="F18" s="14" t="s">
        <v>3</v>
      </c>
      <c r="G18" s="1"/>
    </row>
    <row r="19" spans="1:7" x14ac:dyDescent="0.25">
      <c r="A19" s="1"/>
      <c r="B19" s="131" t="s">
        <v>131</v>
      </c>
      <c r="C19" s="132"/>
      <c r="D19" s="133"/>
      <c r="E19" s="12">
        <f>SUM(E16:E18)*(1+'Fane 15. Nøgletal'!C15)^3</f>
        <v>5888976.8630148889</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5420035.3174669594</v>
      </c>
      <c r="F22" s="14" t="s">
        <v>3</v>
      </c>
      <c r="G22" s="1"/>
    </row>
    <row r="23" spans="1:7" x14ac:dyDescent="0.25">
      <c r="A23" s="1"/>
      <c r="B23" s="125" t="s">
        <v>10</v>
      </c>
      <c r="C23" s="126"/>
      <c r="D23" s="127"/>
      <c r="E23" s="9">
        <f>-E22*'Fane 5. Individuelt eff. krav'!G9</f>
        <v>-9341.6115632726196</v>
      </c>
      <c r="F23" s="14" t="s">
        <v>3</v>
      </c>
      <c r="G23" s="1"/>
    </row>
    <row r="24" spans="1:7" x14ac:dyDescent="0.25">
      <c r="A24" s="1"/>
      <c r="B24" s="125" t="s">
        <v>24</v>
      </c>
      <c r="C24" s="126"/>
      <c r="D24" s="127"/>
      <c r="E24" s="9">
        <f>-E22*'Fane 15. Nøgletal'!C31</f>
        <v>-108400.70634933919</v>
      </c>
      <c r="F24" s="14" t="s">
        <v>3</v>
      </c>
      <c r="G24" s="1"/>
    </row>
    <row r="25" spans="1:7" x14ac:dyDescent="0.25">
      <c r="A25" s="1"/>
      <c r="B25" s="131" t="s">
        <v>158</v>
      </c>
      <c r="C25" s="132"/>
      <c r="D25" s="133"/>
      <c r="E25" s="12">
        <f>SUM(E22:E24)*(1+'Fane 15. Nøgletal'!C15)^4</f>
        <v>6098624.4393382184</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O2ULBDnIJAuBPOJ4IcN40bqDlfIrNdd5LRxUBA/jwvB7BlVKWzvJ3Ih6z/AXbp5GrTiEpD+UtafZll0NGHgAQ==" saltValue="8Huuak0REqF0uvd4LhUlH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140625" style="2" customWidth="1"/>
    <col min="2" max="2" width="40.42578125" style="2" customWidth="1"/>
    <col min="3" max="3" width="15.5703125" style="2" customWidth="1"/>
    <col min="4" max="4" width="3.28515625" style="2" customWidth="1"/>
    <col min="5" max="5" width="17.140625" style="2" customWidth="1"/>
    <col min="6" max="6" width="3.28515625" style="2" customWidth="1"/>
    <col min="7" max="7" width="2.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269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Fq4wGWzHa/hZagLZBjFWdKh4I2hkNyNISrL3E0FLheOEORIwVvzrf+yH4n3K4IK1cEfwuterdy0+ouIiXMUsw==" saltValue="4KQbrQhAbHmREPLXEH9Cl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fUgXFZ3prm739FXImadrM9gD8ajO741KoTnxSjhM5d1SDcX4PgAxI1kuaVSBF2MWlJDtpNG7HuBmojFtCXJ6gQ==" saltValue="gFCgrmYtlnZVXYGsLHdu/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279604274.79215819</v>
      </c>
      <c r="D9" s="8" t="s">
        <v>3</v>
      </c>
      <c r="E9" s="1"/>
    </row>
    <row r="10" spans="1:5" ht="17.25" customHeight="1" x14ac:dyDescent="0.25">
      <c r="A10" s="1"/>
      <c r="B10" s="82" t="s">
        <v>39</v>
      </c>
      <c r="C10" s="7">
        <f>'Fane 11.1. Varige tillæg'!C15</f>
        <v>0</v>
      </c>
      <c r="D10" s="8" t="s">
        <v>3</v>
      </c>
      <c r="E10" s="1"/>
    </row>
    <row r="11" spans="1:5" ht="17.25" customHeight="1" x14ac:dyDescent="0.25">
      <c r="A11" s="1"/>
      <c r="B11" s="82" t="s">
        <v>40</v>
      </c>
      <c r="C11" s="9">
        <f>'Fane 11.1. Varige tillæg'!E15</f>
        <v>4413867.0060000001</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1079827.772227722</v>
      </c>
      <c r="D16" s="8" t="s">
        <v>3</v>
      </c>
      <c r="E16" s="1"/>
    </row>
    <row r="17" spans="1:5" ht="17.25" customHeight="1" x14ac:dyDescent="0.25">
      <c r="A17" s="1"/>
      <c r="B17" s="82" t="s">
        <v>10</v>
      </c>
      <c r="C17" s="44">
        <f>-SUM(C9,C10:C16)*'Fane 5. Individuelt eff. krav'!G9</f>
        <v>-491375.85517596535</v>
      </c>
      <c r="D17" s="8" t="s">
        <v>3</v>
      </c>
      <c r="E17" s="1"/>
    </row>
    <row r="18" spans="1:5" ht="17.25" customHeight="1" x14ac:dyDescent="0.25">
      <c r="A18" s="1"/>
      <c r="B18" s="82" t="s">
        <v>24</v>
      </c>
      <c r="C18" s="44">
        <f>-'Fane 4.1. Gen. krav - drift'!G45</f>
        <v>-2365829.0020584646</v>
      </c>
      <c r="D18" s="8" t="s">
        <v>3</v>
      </c>
      <c r="E18" s="1"/>
    </row>
    <row r="19" spans="1:5" ht="17.25" customHeight="1" x14ac:dyDescent="0.25">
      <c r="A19" s="1"/>
      <c r="B19" s="82" t="s">
        <v>25</v>
      </c>
      <c r="C19" s="44">
        <f>-'Fane 4.2. Gen. krav - anlæg'!G43</f>
        <v>-2577551.2239719448</v>
      </c>
      <c r="D19" s="8" t="s">
        <v>3</v>
      </c>
      <c r="E19" s="48"/>
    </row>
    <row r="20" spans="1:5" ht="17.25" customHeight="1" x14ac:dyDescent="0.25">
      <c r="A20" s="1"/>
      <c r="B20" s="88" t="s">
        <v>21</v>
      </c>
      <c r="C20" s="10">
        <f>SUM(C9:C19)</f>
        <v>279663213.48917949</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296068909.20636165</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5686536.1751785325</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1498498.5839558402</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-32552.683945643443</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1465945.9000101967</v>
      </c>
      <c r="D30" s="11" t="s">
        <v>3</v>
      </c>
      <c r="E30" s="1"/>
    </row>
    <row r="31" spans="1:5" x14ac:dyDescent="0.25">
      <c r="A31" s="1"/>
      <c r="B31" s="32" t="s">
        <v>143</v>
      </c>
      <c r="C31" s="27"/>
      <c r="D31" s="19"/>
      <c r="E31" s="1"/>
    </row>
    <row r="32" spans="1:5" x14ac:dyDescent="0.25">
      <c r="A32" s="1"/>
      <c r="B32" s="30" t="s">
        <v>180</v>
      </c>
      <c r="C32" s="10">
        <f>'Fane 7. Kontrol af ØR2021'!E28</f>
        <v>-8717175.5</v>
      </c>
      <c r="D32" s="11" t="s">
        <v>3</v>
      </c>
      <c r="E32" s="1"/>
    </row>
    <row r="33" spans="1:5" ht="15" customHeight="1" x14ac:dyDescent="0.25">
      <c r="A33" s="1"/>
      <c r="B33" s="32" t="s">
        <v>185</v>
      </c>
      <c r="C33" s="27"/>
      <c r="D33" s="19"/>
      <c r="E33" s="1"/>
    </row>
    <row r="34" spans="1:5" x14ac:dyDescent="0.25">
      <c r="A34" s="1"/>
      <c r="B34" s="30" t="s">
        <v>185</v>
      </c>
      <c r="C34" s="10">
        <f>'Fane 9. Korrektion af ØR2021'!E17</f>
        <v>-22576418.089414708</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551591011.18131518</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7evLdq/5m5EppbRSRpyLiYUfCBski5atuqpApdj+1gUhUNRHIG3udDywpA456xMjWGARsMQ1P2GPT9ftNbo0g==" saltValue="1Y5G3TsdgJgdzgsf8Ul0Y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OSALQ2EFyPpgHa7vbz60ajjBGbINHGJHTlgcYj35/Y7Rq55hi4ixFIfu8k8aDRryDwMEuxUnxxIboo8EP/3guw==" saltValue="EilkAUy/QnfKXD3KgEY1B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279663213.48917949</v>
      </c>
      <c r="D9" s="8" t="s">
        <v>3</v>
      </c>
      <c r="E9" s="1"/>
    </row>
    <row r="10" spans="1:5" ht="15" customHeight="1" x14ac:dyDescent="0.25">
      <c r="A10" s="1"/>
      <c r="B10" s="25" t="s">
        <v>19</v>
      </c>
      <c r="C10" s="7">
        <f>SUM(C9:C9)*'Fane 15. Nøgletal'!C15</f>
        <v>9956010.4002147894</v>
      </c>
      <c r="D10" s="8" t="s">
        <v>3</v>
      </c>
      <c r="E10" s="1"/>
    </row>
    <row r="11" spans="1:5" ht="15" customHeight="1" x14ac:dyDescent="0.25">
      <c r="A11" s="1"/>
      <c r="B11" s="25" t="s">
        <v>10</v>
      </c>
      <c r="C11" s="9">
        <f>-SUM(C9:C10)*'Fane 5. Individuelt eff. krav'!G9</f>
        <v>-499168.38772475393</v>
      </c>
      <c r="D11" s="8" t="s">
        <v>3</v>
      </c>
      <c r="E11" s="1"/>
    </row>
    <row r="12" spans="1:5" ht="15" customHeight="1" x14ac:dyDescent="0.25">
      <c r="A12" s="1"/>
      <c r="B12" s="25" t="s">
        <v>24</v>
      </c>
      <c r="C12" s="9">
        <f>-'Fane 4.1. Gen. krav - drift'!G53</f>
        <v>-2401051.4642411112</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286719004.03742844</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305678268.14370817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5888976.8630148889</v>
      </c>
      <c r="D18" s="11" t="s">
        <v>3</v>
      </c>
      <c r="E18" s="1"/>
    </row>
    <row r="19" spans="1:5" x14ac:dyDescent="0.25">
      <c r="A19" s="1"/>
      <c r="B19" s="32" t="s">
        <v>143</v>
      </c>
      <c r="C19" s="27"/>
      <c r="D19" s="19"/>
      <c r="E19" s="1"/>
    </row>
    <row r="20" spans="1:5" ht="15" customHeight="1" x14ac:dyDescent="0.25">
      <c r="A20" s="1"/>
      <c r="B20" s="30" t="s">
        <v>180</v>
      </c>
      <c r="C20" s="10">
        <f>'Fane 7. Kontrol af ØR2021'!E34</f>
        <v>-2491087.3247243166</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595795161.71942723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fMddJ9hdoWslt5V/6xCQFmCF5/bDOLC58SSwwx49VRPO8ARH2hUa93EsawHH2SYh9NREfj6pHbSdEKiWfXNGdQ==" saltValue="ijdbu0xgAiFRy66Ni+c2b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286719004.03742844</v>
      </c>
      <c r="D9" s="8" t="s">
        <v>3</v>
      </c>
      <c r="E9" s="1"/>
    </row>
    <row r="10" spans="1:5" ht="15" customHeight="1" x14ac:dyDescent="0.25">
      <c r="A10" s="1"/>
      <c r="B10" s="25" t="s">
        <v>19</v>
      </c>
      <c r="C10" s="7">
        <f>SUM(C9:C9)*'Fane 15. Nøgletal'!C15</f>
        <v>10207196.543732453</v>
      </c>
      <c r="D10" s="8" t="s">
        <v>3</v>
      </c>
      <c r="E10" s="1"/>
    </row>
    <row r="11" spans="1:5" ht="15" customHeight="1" x14ac:dyDescent="0.25">
      <c r="A11" s="1"/>
      <c r="B11" s="25" t="s">
        <v>10</v>
      </c>
      <c r="C11" s="9">
        <f>-SUM(C9:C10)*'Fane 5. Individuelt eff. krav'!G9</f>
        <v>-511762.20565365098</v>
      </c>
      <c r="D11" s="8" t="s">
        <v>3</v>
      </c>
      <c r="E11" s="1"/>
    </row>
    <row r="12" spans="1:5" ht="15" customHeight="1" x14ac:dyDescent="0.25">
      <c r="A12" s="1"/>
      <c r="B12" s="25" t="s">
        <v>24</v>
      </c>
      <c r="C12" s="9">
        <f>-'Fane 4.1. Gen. krav - drift'!G58</f>
        <v>-2436798.3184407325</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293977640.0570665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315899234.79882413</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6098624.4393382184</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-2491087.3247243166</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613484411.97050452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uasvYdF+Np4NGi73gietx/UIxYH+k4cBszTDEw+HqHPFmMxYIR245L7fjbJAT/CMA9QmzVd6VvTbxw9P2SCHA==" saltValue="bfLkpt7bDCKfvoGUpe/I1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293977640.0570665</v>
      </c>
      <c r="D9" s="8" t="s">
        <v>3</v>
      </c>
      <c r="E9" s="1"/>
    </row>
    <row r="10" spans="1:5" ht="15" customHeight="1" x14ac:dyDescent="0.25">
      <c r="A10" s="1"/>
      <c r="B10" s="25" t="s">
        <v>19</v>
      </c>
      <c r="C10" s="7">
        <f>SUM(C9:C9)*'Fane 15. Nøgletal'!C15</f>
        <v>10465603.986031568</v>
      </c>
      <c r="D10" s="8" t="s">
        <v>3</v>
      </c>
      <c r="E10" s="1"/>
    </row>
    <row r="11" spans="1:5" ht="15" customHeight="1" x14ac:dyDescent="0.25">
      <c r="A11" s="1"/>
      <c r="B11" s="25" t="s">
        <v>10</v>
      </c>
      <c r="C11" s="9">
        <f>-SUM(C9:C10)*'Fane 5. Individuelt eff. krav'!G9</f>
        <v>-524718.08066416159</v>
      </c>
      <c r="D11" s="8" t="s">
        <v>3</v>
      </c>
      <c r="E11" s="1"/>
    </row>
    <row r="12" spans="1:5" ht="15" customHeight="1" x14ac:dyDescent="0.25">
      <c r="A12" s="1"/>
      <c r="B12" s="25" t="s">
        <v>24</v>
      </c>
      <c r="C12" s="9">
        <f>-'Fane 4.1. Gen. krav - drift'!G63</f>
        <v>-2473077.3718056786</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301445448.59062827</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326359228.68326235</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-2491087.3247243166</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625313589.9491663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XRH5PAZFLQhrfRWIKsxNCpKR0Hxf5zo1BjqcFxhpbRBptFbkOWtaskETSrfnNMxfdg5VkT6axrHgZzpW/vL0lg==" saltValue="UWtE6CLYYN+p1tT+coWQB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21" t="s">
        <v>192</v>
      </c>
      <c r="C9" s="122"/>
      <c r="D9" s="123"/>
      <c r="E9" s="7">
        <v>279811694.57081866</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4360046.8298000004</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937766.74662204157</v>
      </c>
      <c r="F16" s="8" t="s">
        <v>3</v>
      </c>
      <c r="G16" s="1"/>
    </row>
    <row r="17" spans="1:7" ht="15" customHeight="1" x14ac:dyDescent="0.25">
      <c r="A17" s="1"/>
      <c r="B17" s="121" t="s">
        <v>10</v>
      </c>
      <c r="C17" s="122"/>
      <c r="D17" s="123"/>
      <c r="E17" s="9">
        <v>-491395.74229784874</v>
      </c>
      <c r="F17" s="8" t="s">
        <v>3</v>
      </c>
      <c r="G17" s="1"/>
    </row>
    <row r="18" spans="1:7" ht="15" customHeight="1" x14ac:dyDescent="0.25">
      <c r="A18" s="1"/>
      <c r="B18" s="121" t="s">
        <v>24</v>
      </c>
      <c r="C18" s="122"/>
      <c r="D18" s="123"/>
      <c r="E18" s="9">
        <f>-'Fane 4.1. Gen. krav - drift'!G39</f>
        <v>-2406170.862743217</v>
      </c>
      <c r="F18" s="8" t="s">
        <v>3</v>
      </c>
      <c r="G18" s="1"/>
    </row>
    <row r="19" spans="1:7" ht="15" customHeight="1" x14ac:dyDescent="0.25">
      <c r="A19" s="1"/>
      <c r="B19" s="121" t="s">
        <v>25</v>
      </c>
      <c r="C19" s="122"/>
      <c r="D19" s="123"/>
      <c r="E19" s="9">
        <f>-'Fane 4.2. Gen. krav - anlæg'!G37</f>
        <v>-2607666.7500414937</v>
      </c>
      <c r="F19" s="8" t="s">
        <v>3</v>
      </c>
      <c r="G19" s="1"/>
    </row>
    <row r="20" spans="1:7" ht="15" customHeight="1" x14ac:dyDescent="0.25">
      <c r="A20" s="1"/>
      <c r="B20" s="54" t="s">
        <v>21</v>
      </c>
      <c r="C20" s="89"/>
      <c r="D20" s="96"/>
      <c r="E20" s="51">
        <f>SUM(E9:E19)</f>
        <v>279604274.79215819</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259621968</v>
      </c>
      <c r="F22" s="11" t="s">
        <v>3</v>
      </c>
      <c r="G22" s="1"/>
    </row>
    <row r="23" spans="1:7" ht="15" customHeight="1" x14ac:dyDescent="0.25">
      <c r="A23" s="1"/>
      <c r="B23" s="131" t="s">
        <v>86</v>
      </c>
      <c r="C23" s="132"/>
      <c r="D23" s="133"/>
      <c r="E23" s="27"/>
      <c r="F23" s="19"/>
      <c r="G23" s="1"/>
    </row>
    <row r="24" spans="1:7" ht="15" customHeight="1" x14ac:dyDescent="0.25">
      <c r="A24" s="1"/>
      <c r="B24" s="88" t="s">
        <v>86</v>
      </c>
      <c r="C24" s="37"/>
      <c r="D24" s="38"/>
      <c r="E24" s="10">
        <v>5273015.0912094181</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-8717175.5</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-28708017.607978299</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507074064.77538931</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PyGVK7J2eQlm+zhK0GkTCEyeY28/DDqHfzkRbaxNCyT1UzhzDoo1fLeQxqKl18JKYJSXb7nGjYWC9IvEOscW8A==" saltValue="qJtY6CG/a1WeXutv+5kBHw=="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42578125" style="2" customWidth="1"/>
    <col min="2" max="5" width="9.140625" style="2"/>
    <col min="6" max="6" width="25.5703125" style="2" customWidth="1"/>
    <col min="7" max="7" width="16.28515625" style="2" customWidth="1"/>
    <col min="8" max="8" width="3.42578125" style="2" customWidth="1"/>
    <col min="9" max="9" width="2.42578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109239873.53086534</v>
      </c>
      <c r="H5" s="14" t="s">
        <v>3</v>
      </c>
      <c r="I5" s="1"/>
    </row>
    <row r="6" spans="1:9" x14ac:dyDescent="0.25">
      <c r="A6" s="1"/>
      <c r="B6" s="121" t="s">
        <v>120</v>
      </c>
      <c r="C6" s="122"/>
      <c r="D6" s="122"/>
      <c r="E6" s="122"/>
      <c r="F6" s="123"/>
      <c r="G6" s="77">
        <v>5384141</v>
      </c>
      <c r="H6" s="14" t="s">
        <v>3</v>
      </c>
      <c r="I6" s="1"/>
    </row>
    <row r="7" spans="1:9" x14ac:dyDescent="0.25">
      <c r="A7" s="1"/>
      <c r="B7" s="136" t="s">
        <v>42</v>
      </c>
      <c r="C7" s="137"/>
      <c r="D7" s="137"/>
      <c r="E7" s="137"/>
      <c r="F7" s="138"/>
      <c r="G7" s="76">
        <f>SUM(G5:G6)*'Fane 15. Nøgletal'!C31</f>
        <v>2292480.2906173067</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108818972.62195238</v>
      </c>
      <c r="H11" s="14" t="s">
        <v>3</v>
      </c>
      <c r="I11" s="1"/>
    </row>
    <row r="12" spans="1:9" ht="15" customHeight="1" x14ac:dyDescent="0.25">
      <c r="A12" s="1"/>
      <c r="B12" s="136" t="s">
        <v>121</v>
      </c>
      <c r="C12" s="137"/>
      <c r="D12" s="137"/>
      <c r="E12" s="137"/>
      <c r="F12" s="138"/>
      <c r="G12" s="77">
        <v>-0.21125968247652055</v>
      </c>
      <c r="H12" s="14" t="s">
        <v>3</v>
      </c>
      <c r="I12" s="1"/>
    </row>
    <row r="13" spans="1:9" x14ac:dyDescent="0.25">
      <c r="A13" s="1"/>
      <c r="B13" s="121" t="s">
        <v>118</v>
      </c>
      <c r="C13" s="122"/>
      <c r="D13" s="122"/>
      <c r="E13" s="122"/>
      <c r="F13" s="123"/>
      <c r="G13" s="77">
        <v>5163987.5100000007</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2279659.1984138545</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108403751.19349374</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2168075.0238698749</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108328518.99016546</v>
      </c>
      <c r="H25" s="14" t="s">
        <v>3</v>
      </c>
      <c r="I25" s="1"/>
    </row>
    <row r="26" spans="1:9" x14ac:dyDescent="0.25">
      <c r="A26" s="1"/>
      <c r="B26" s="143" t="s">
        <v>50</v>
      </c>
      <c r="C26" s="144"/>
      <c r="D26" s="144"/>
      <c r="E26" s="144"/>
      <c r="F26" s="145"/>
      <c r="G26" s="77">
        <v>4852965.5200857604</v>
      </c>
      <c r="H26" s="14" t="s">
        <v>3</v>
      </c>
      <c r="I26" s="1"/>
    </row>
    <row r="27" spans="1:9" x14ac:dyDescent="0.25">
      <c r="A27" s="1"/>
      <c r="B27" s="136" t="s">
        <v>51</v>
      </c>
      <c r="C27" s="137"/>
      <c r="D27" s="137"/>
      <c r="E27" s="137"/>
      <c r="F27" s="138"/>
      <c r="G27" s="76">
        <f>(G25+G26)*'Fane 15. Nøgletal'!C31</f>
        <v>2263629.6902050246</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113102936.56000112</v>
      </c>
      <c r="H31" s="14" t="s">
        <v>3</v>
      </c>
      <c r="I31" s="1"/>
    </row>
    <row r="32" spans="1:9" x14ac:dyDescent="0.25">
      <c r="A32" s="1"/>
      <c r="B32" s="136" t="s">
        <v>137</v>
      </c>
      <c r="C32" s="137"/>
      <c r="D32" s="137"/>
      <c r="E32" s="137"/>
      <c r="F32" s="138"/>
      <c r="G32" s="76">
        <v>9257094.8640147597</v>
      </c>
      <c r="H32" s="14" t="s">
        <v>3</v>
      </c>
      <c r="I32" s="1"/>
    </row>
    <row r="33" spans="1:9" x14ac:dyDescent="0.25">
      <c r="A33" s="1"/>
      <c r="B33" s="136" t="s">
        <v>60</v>
      </c>
      <c r="C33" s="137"/>
      <c r="D33" s="137"/>
      <c r="E33" s="137"/>
      <c r="F33" s="138"/>
      <c r="G33" s="76">
        <f>(G31+G32)*'Fane 15. Nøgletal'!C31</f>
        <v>2447200.6284803175</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120308543.13716084</v>
      </c>
      <c r="H37" s="14" t="s">
        <v>3</v>
      </c>
      <c r="I37" s="1"/>
    </row>
    <row r="38" spans="1:9" x14ac:dyDescent="0.25">
      <c r="A38" s="1"/>
      <c r="B38" s="136" t="s">
        <v>164</v>
      </c>
      <c r="C38" s="137"/>
      <c r="D38" s="137"/>
      <c r="E38" s="137"/>
      <c r="F38" s="138"/>
      <c r="G38" s="76">
        <v>0</v>
      </c>
      <c r="H38" s="14" t="s">
        <v>3</v>
      </c>
      <c r="I38" s="1"/>
    </row>
    <row r="39" spans="1:9" x14ac:dyDescent="0.25">
      <c r="A39" s="1"/>
      <c r="B39" s="136" t="s">
        <v>162</v>
      </c>
      <c r="C39" s="137"/>
      <c r="D39" s="137"/>
      <c r="E39" s="137"/>
      <c r="F39" s="138"/>
      <c r="G39" s="76">
        <f>(G37+G38)*'Fane 15. Nøgletal'!C31</f>
        <v>2406170.862743217</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118291450.10292321</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0</v>
      </c>
      <c r="H44" s="14" t="s">
        <v>3</v>
      </c>
      <c r="I44" s="1"/>
    </row>
    <row r="45" spans="1:9" x14ac:dyDescent="0.25">
      <c r="A45" s="1"/>
      <c r="B45" s="136" t="s">
        <v>163</v>
      </c>
      <c r="C45" s="137"/>
      <c r="D45" s="137"/>
      <c r="E45" s="137"/>
      <c r="F45" s="138"/>
      <c r="G45" s="76">
        <f>SUM(G43:G44)*'Fane 15. Nøgletal'!C31</f>
        <v>2365829.0020584646</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120052573.21205555</v>
      </c>
      <c r="H52" s="14" t="s">
        <v>3</v>
      </c>
      <c r="I52" s="1"/>
    </row>
    <row r="53" spans="1:9" x14ac:dyDescent="0.25">
      <c r="A53" s="1"/>
      <c r="B53" s="136" t="s">
        <v>138</v>
      </c>
      <c r="C53" s="137"/>
      <c r="D53" s="137"/>
      <c r="E53" s="137"/>
      <c r="F53" s="138"/>
      <c r="G53" s="76">
        <f>(G52)*'Fane 15. Nøgletal'!C31</f>
        <v>2401051.4642411112</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121839915.92203663</v>
      </c>
      <c r="H57" s="14" t="s">
        <v>3</v>
      </c>
      <c r="I57" s="1"/>
    </row>
    <row r="58" spans="1:9" x14ac:dyDescent="0.25">
      <c r="A58" s="1"/>
      <c r="B58" s="91" t="s">
        <v>152</v>
      </c>
      <c r="C58" s="92"/>
      <c r="D58" s="92"/>
      <c r="E58" s="92"/>
      <c r="F58" s="93"/>
      <c r="G58" s="76">
        <f>(G57)*'Fane 15. Nøgletal'!C31</f>
        <v>2436798.3184407325</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123653868.59028392</v>
      </c>
      <c r="H62" s="14" t="s">
        <v>3</v>
      </c>
      <c r="I62" s="1"/>
    </row>
    <row r="63" spans="1:9" x14ac:dyDescent="0.25">
      <c r="A63" s="1"/>
      <c r="B63" s="91" t="s">
        <v>195</v>
      </c>
      <c r="C63" s="92"/>
      <c r="D63" s="92"/>
      <c r="E63" s="92"/>
      <c r="F63" s="93"/>
      <c r="G63" s="76">
        <f>(G62)*'Fane 15. Nøgletal'!C31</f>
        <v>2473077.3718056786</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kjEOHzdqLHSFjH8t1ocNyK/Tzy2wdxxhRaAHVssRhVOj0fvRE49h77Su6UatzLcJNptLTT2crNnTL5eyu4mM5A==" saltValue="XSxK8337/DCeaOHuuDBUSA=="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7109375" style="2" customWidth="1"/>
    <col min="2" max="5" width="9.140625" style="2"/>
    <col min="6" max="6" width="27.42578125" style="2" customWidth="1"/>
    <col min="7" max="7" width="14.140625" style="2" customWidth="1"/>
    <col min="8" max="8" width="3.28515625" style="2" customWidth="1"/>
    <col min="9" max="9" width="2.42578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153750234.8846961</v>
      </c>
      <c r="H5" s="14" t="s">
        <v>3</v>
      </c>
      <c r="I5" s="1"/>
    </row>
    <row r="6" spans="1:9" x14ac:dyDescent="0.25">
      <c r="A6" s="1"/>
      <c r="B6" s="136" t="s">
        <v>57</v>
      </c>
      <c r="C6" s="137"/>
      <c r="D6" s="137"/>
      <c r="E6" s="137"/>
      <c r="F6" s="138"/>
      <c r="G6" s="76">
        <f>G5*'Fane 15. Nøgletal'!C20</f>
        <v>1399127.1374507346</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155017252.13282219</v>
      </c>
      <c r="H10" s="14" t="s">
        <v>3</v>
      </c>
      <c r="I10" s="1"/>
    </row>
    <row r="11" spans="1:9" x14ac:dyDescent="0.25">
      <c r="A11" s="1"/>
      <c r="B11" s="136" t="s">
        <v>122</v>
      </c>
      <c r="C11" s="137"/>
      <c r="D11" s="137"/>
      <c r="E11" s="137"/>
      <c r="F11" s="138"/>
      <c r="G11" s="76">
        <v>-4300955.2128643636</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2667678.4554832536</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150639469.28760287</v>
      </c>
      <c r="H17" s="14" t="s">
        <v>3</v>
      </c>
      <c r="I17" s="1"/>
    </row>
    <row r="18" spans="1:9" x14ac:dyDescent="0.25">
      <c r="A18" s="1"/>
      <c r="B18" s="143" t="s">
        <v>68</v>
      </c>
      <c r="C18" s="144"/>
      <c r="D18" s="144"/>
      <c r="E18" s="144"/>
      <c r="F18" s="145"/>
      <c r="G18" s="76">
        <v>11631813.745952047</v>
      </c>
      <c r="H18" s="14" t="s">
        <v>3</v>
      </c>
      <c r="I18" s="1"/>
    </row>
    <row r="19" spans="1:9" x14ac:dyDescent="0.25">
      <c r="A19" s="1"/>
      <c r="B19" s="136" t="s">
        <v>69</v>
      </c>
      <c r="C19" s="137"/>
      <c r="D19" s="137"/>
      <c r="E19" s="137"/>
      <c r="F19" s="138"/>
      <c r="G19" s="76">
        <f>G17*'Fane 15. Nøgletal'!C21+G18*'Fane 15. Nøgletal'!C22</f>
        <v>2767515.3859803537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162645991.87023178</v>
      </c>
      <c r="H23" s="14" t="s">
        <v>3</v>
      </c>
      <c r="I23" s="1"/>
    </row>
    <row r="24" spans="1:9" x14ac:dyDescent="0.25">
      <c r="A24" s="1"/>
      <c r="B24" s="143" t="s">
        <v>72</v>
      </c>
      <c r="C24" s="144"/>
      <c r="D24" s="144"/>
      <c r="E24" s="144"/>
      <c r="F24" s="145"/>
      <c r="G24" s="76">
        <v>1686746.0488292768</v>
      </c>
      <c r="H24" s="14" t="s">
        <v>3</v>
      </c>
      <c r="I24" s="1"/>
    </row>
    <row r="25" spans="1:9" x14ac:dyDescent="0.25">
      <c r="A25" s="1"/>
      <c r="B25" s="136" t="s">
        <v>73</v>
      </c>
      <c r="C25" s="137"/>
      <c r="D25" s="137"/>
      <c r="E25" s="137"/>
      <c r="F25" s="138"/>
      <c r="G25" s="76">
        <f>(G23+G24)*'Fane 15. Nøgletal'!C23</f>
        <v>4667049.756901335</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162811102.21895429</v>
      </c>
      <c r="H29" s="14" t="s">
        <v>3</v>
      </c>
      <c r="I29" s="1"/>
    </row>
    <row r="30" spans="1:9" x14ac:dyDescent="0.25">
      <c r="A30" s="1"/>
      <c r="B30" s="136" t="s">
        <v>139</v>
      </c>
      <c r="C30" s="137"/>
      <c r="D30" s="137"/>
      <c r="E30" s="137"/>
      <c r="F30" s="138"/>
      <c r="G30" s="76">
        <v>13436358.675528599</v>
      </c>
      <c r="H30" s="14" t="s">
        <v>3</v>
      </c>
      <c r="I30" s="1"/>
    </row>
    <row r="31" spans="1:9" x14ac:dyDescent="0.25">
      <c r="A31" s="1"/>
      <c r="B31" s="136" t="s">
        <v>76</v>
      </c>
      <c r="C31" s="137"/>
      <c r="D31" s="137"/>
      <c r="E31" s="137"/>
      <c r="F31" s="138"/>
      <c r="G31" s="76">
        <f>G29*'Fane 15. Nøgletal'!C23+G30*'Fane 15. Nøgletal'!C24</f>
        <v>4993335.1665953388</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171819264.34278959</v>
      </c>
      <c r="H35" s="14" t="s">
        <v>3</v>
      </c>
      <c r="I35" s="1"/>
    </row>
    <row r="36" spans="1:9" x14ac:dyDescent="0.25">
      <c r="A36" s="1"/>
      <c r="B36" s="136" t="s">
        <v>167</v>
      </c>
      <c r="C36" s="137"/>
      <c r="D36" s="137"/>
      <c r="E36" s="137"/>
      <c r="F36" s="138"/>
      <c r="G36" s="76">
        <v>4374434.9843383403</v>
      </c>
      <c r="H36" s="14" t="s">
        <v>3</v>
      </c>
      <c r="I36" s="1"/>
    </row>
    <row r="37" spans="1:9" x14ac:dyDescent="0.25">
      <c r="A37" s="1"/>
      <c r="B37" s="136" t="s">
        <v>166</v>
      </c>
      <c r="C37" s="137"/>
      <c r="D37" s="137"/>
      <c r="E37" s="137"/>
      <c r="F37" s="138"/>
      <c r="G37" s="76">
        <f>(G35+G36)*'Fane 15. Nøgletal'!C25</f>
        <v>2607666.7500414937</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174158866.48459086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4571000.6714136004</v>
      </c>
      <c r="H42" s="14" t="s">
        <v>3</v>
      </c>
      <c r="I42" s="1"/>
    </row>
    <row r="43" spans="1:9" x14ac:dyDescent="0.25">
      <c r="A43" s="1"/>
      <c r="B43" s="136" t="s">
        <v>168</v>
      </c>
      <c r="C43" s="137"/>
      <c r="D43" s="137"/>
      <c r="E43" s="137"/>
      <c r="F43" s="138"/>
      <c r="G43" s="76">
        <f>(G41)*'Fane 15. Nøgletal'!C25+G42*'Fane 15. Nøgletal'!C26</f>
        <v>2577551.2239719448</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182423338.37921289</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188917609.22551289</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195643076.11394116</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wkw2YW7ejZIz/mpf65jP5Hjh/QpwLUppl967/5XlJkVBDtbwTcvYepylmHgVFilm6xjY6KFhzKFfRP1CqAJZKg==" saltValue="OWc4RhGjPe7GIEcHkouavA=="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1.7235333380887265E-3</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KgG/+Z7GZs7v7Puc85pTmXYH3eO+CnZMfT1++luXret+EV/cKlp3ZyxIn6UO5TgVFvr260DjAbV07M/CPApOeg==" saltValue="3kGe+OLqBFQJ0thG3pScw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2022-12-22T11:15:34Z</dcterms:modified>
</cp:coreProperties>
</file>