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lmtoft-Kjellerup Vandværk A.m.b.a (V10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2" i="7"/>
  <c r="C13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<sst xmlns="http://schemas.openxmlformats.org/spreadsheetml/2006/main" count="401" uniqueCount="152">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</sst>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6" fillId="7" borderId="1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yzd7tmrkhwIbh5EeEWMHEz10hYLUxddROzWlNUKep2ovcWOGPtasn0gh74Jn3NnV1Qd8Etp4osA9K1n6P3nXQ==" saltValue="XgVKxbTyhyyKH4OV8mHEH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5" t="s">
        <v>38</v>
      </c>
      <c r="C8" s="22"/>
      <c r="D8" s="22"/>
      <c r="E8" s="22"/>
      <c r="F8" s="56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5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S+qOXKpJSBl03On8m0uMdOuXrZDTzn7mh7oUY0zIUUKocUHNlfZGFAJcyQGDlAbiYDkwPltqMgsSV2NMfRYOYQ==" saltValue="9Hzldkzvu5Ule0xVxbZBy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5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5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4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5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5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4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5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5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4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5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5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dPwhYyyLC0Br+VoOyZl50NLFS1PC7eZdhQx5VPFz/QxoudxsfSPBRlYQAdsFKzSD3Wd9cEz6jk9TclHD8Xn/NA==" saltValue="DXE/Rq4tPTA2qjTt6ZSwX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XKW9yg3NvpDs0YEPGvd6/2l5gBPK/AFae9aCZykxs4JavDKMetmOtCt9d9wrLhfo/z8BYXmkhxGV6CoWtackFw==" saltValue="DE9vFFO42RDsxF4GcvIBv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17</v>
      </c>
      <c r="C9" s="53" t="s">
        <v>11</v>
      </c>
      <c r="D9" s="54"/>
      <c r="E9" s="53" t="s">
        <v>28</v>
      </c>
      <c r="F9" s="54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5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3" t="s">
        <v>17</v>
      </c>
      <c r="C15" s="53" t="s">
        <v>11</v>
      </c>
      <c r="D15" s="54"/>
      <c r="E15" s="53" t="s">
        <v>28</v>
      </c>
      <c r="F15" s="54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5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5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3" t="s">
        <v>17</v>
      </c>
      <c r="C21" s="53" t="s">
        <v>11</v>
      </c>
      <c r="D21" s="54"/>
      <c r="E21" s="53" t="s">
        <v>28</v>
      </c>
      <c r="F21" s="54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5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5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3" t="s">
        <v>17</v>
      </c>
      <c r="C27" s="53" t="s">
        <v>11</v>
      </c>
      <c r="D27" s="54"/>
      <c r="E27" s="53" t="s">
        <v>28</v>
      </c>
      <c r="F27" s="54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5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5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he41Q5HewE6AxCFbWU7v1WABWYH1FYX0Hc63hk0VDkIViVrUr02mrpTueU4cYBjEw11RjBQOx4R9rFjzgP5Rpg==" saltValue="UJM6P4x/KoMiT3w9cTQfV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5" t="s">
        <v>14</v>
      </c>
      <c r="C8" s="56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5"/>
      <c r="C15" s="56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5" t="s">
        <v>54</v>
      </c>
      <c r="C18" s="56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mLxZtSb0Csl6skGjVdzZWkiL6mT8DAk4SeiR+/maYJgb8zPYDo+gCiVquB2vo0BTSLuoxEbrRjAwbAoboJ37kg==" saltValue="jIWhglSKOvOzDI/WWSq+X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38" t="s">
        <v>24</v>
      </c>
      <c r="C9" s="38"/>
      <c r="D9" s="38"/>
      <c r="E9" s="7">
        <f>'Fane 3. Omkostninger i ØR2021'!E16</f>
        <v>3188791.3487781505</v>
      </c>
      <c r="F9" s="38" t="s">
        <v>3</v>
      </c>
      <c r="G9" s="1"/>
    </row>
    <row r="10" spans="1:7" ht="17.100000000000001" customHeight="1" x14ac:dyDescent="0.45">
      <c r="A10" s="1"/>
      <c r="B10" s="33" t="s">
        <v>121</v>
      </c>
      <c r="C10" s="38"/>
      <c r="D10" s="38"/>
      <c r="E10" s="7">
        <f>'Fane 3. Omkostninger i ØR2021'!E13*(1-'Fane 10. Nøgletal'!C19)*(1+'Fane 10. Nøgletal'!C13)</f>
        <v>0</v>
      </c>
      <c r="F10" s="38" t="s">
        <v>3</v>
      </c>
      <c r="G10" s="1"/>
    </row>
    <row r="11" spans="1:7" ht="17.100000000000001" customHeight="1" x14ac:dyDescent="0.45">
      <c r="A11" s="1"/>
      <c r="B11" s="29" t="s">
        <v>60</v>
      </c>
      <c r="C11" s="38"/>
      <c r="D11" s="38"/>
      <c r="E11" s="7">
        <f>'Fane 7.1. Varige tillæg'!C12+'Fane 7.1. Varige tillæg'!E12</f>
        <v>0</v>
      </c>
      <c r="F11" s="38" t="s">
        <v>3</v>
      </c>
      <c r="G11" s="1"/>
    </row>
    <row r="12" spans="1:7" ht="17.100000000000001" customHeight="1" x14ac:dyDescent="0.45">
      <c r="A12" s="1"/>
      <c r="B12" s="29" t="s">
        <v>62</v>
      </c>
      <c r="C12" s="38"/>
      <c r="D12" s="38"/>
      <c r="E12" s="8">
        <f>-('Fane 9. Bortfald'!C12+'Fane 9. Bortfald'!E12)</f>
        <v>0</v>
      </c>
      <c r="F12" s="38" t="s">
        <v>3</v>
      </c>
      <c r="G12" s="1"/>
    </row>
    <row r="13" spans="1:7" ht="17.100000000000001" customHeight="1" x14ac:dyDescent="0.45">
      <c r="A13" s="1"/>
      <c r="B13" s="29" t="s">
        <v>65</v>
      </c>
      <c r="C13" s="38"/>
      <c r="D13" s="38"/>
      <c r="E13" s="8">
        <f>'Fane 8. Tilknyttet virksomhed'!C12+'Fane 8. Tilknyttet virksomhed'!E12</f>
        <v>0</v>
      </c>
      <c r="F13" s="38" t="s">
        <v>3</v>
      </c>
      <c r="G13" s="1"/>
    </row>
    <row r="14" spans="1:7" ht="17.100000000000001" customHeight="1" x14ac:dyDescent="0.45">
      <c r="A14" s="1"/>
      <c r="B14" s="29" t="s">
        <v>18</v>
      </c>
      <c r="C14" s="38"/>
      <c r="D14" s="38"/>
      <c r="E14" s="8">
        <f>E9*'Fane 10. Nøgletal'!C13+SUM(E11:E13)*'Fane 10. Nøgletal'!C14</f>
        <v>38903.25445509344</v>
      </c>
      <c r="F14" s="38" t="s">
        <v>3</v>
      </c>
      <c r="G14" s="1"/>
    </row>
    <row r="15" spans="1:7" ht="17.100000000000001" customHeight="1" x14ac:dyDescent="0.45">
      <c r="A15" s="1"/>
      <c r="B15" s="29" t="s">
        <v>54</v>
      </c>
      <c r="C15" s="38"/>
      <c r="D15" s="38"/>
      <c r="E15" s="8">
        <f>-SUM(E9,E11:E14)*'Fane 10. Nøgletal'!C19</f>
        <v>-54870.808254965152</v>
      </c>
      <c r="F15" s="38" t="s">
        <v>3</v>
      </c>
      <c r="G15" s="1"/>
    </row>
    <row r="16" spans="1:7" ht="15" customHeight="1" x14ac:dyDescent="0.45">
      <c r="A16" s="1"/>
      <c r="B16" s="52" t="s">
        <v>20</v>
      </c>
      <c r="C16" s="40"/>
      <c r="D16" s="40"/>
      <c r="E16" s="9">
        <f>SUM(E9,E11:E15)</f>
        <v>3172823.7949782787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omk.'!C13</f>
        <v>1910493.1122319403</v>
      </c>
      <c r="F18" s="42" t="s">
        <v>3</v>
      </c>
      <c r="G18" s="1"/>
    </row>
    <row r="19" spans="1:7" ht="15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9" t="s">
        <v>39</v>
      </c>
      <c r="C20" s="38"/>
      <c r="D20" s="38"/>
      <c r="E20" s="8">
        <f>'Fane 7.2. Engangstillæg'!C13</f>
        <v>0</v>
      </c>
      <c r="F20" s="38" t="s">
        <v>3</v>
      </c>
      <c r="G20" s="1"/>
    </row>
    <row r="21" spans="1:7" x14ac:dyDescent="0.45">
      <c r="A21" s="1"/>
      <c r="B21" s="29" t="s">
        <v>40</v>
      </c>
      <c r="C21" s="38"/>
      <c r="D21" s="38"/>
      <c r="E21" s="8">
        <f>'Fane 7.2. Engangstillæg'!E13</f>
        <v>0</v>
      </c>
      <c r="F21" s="38" t="s">
        <v>3</v>
      </c>
      <c r="G21" s="1"/>
    </row>
    <row r="22" spans="1:7" ht="15" customHeight="1" x14ac:dyDescent="0.45">
      <c r="A22" s="1"/>
      <c r="B22" s="52" t="s">
        <v>43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-628313.20167369221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f>'Fane 5. Kontrol af ØR2020'!E29</f>
        <v>112859.35353110172</v>
      </c>
      <c r="F25" s="42" t="s">
        <v>3</v>
      </c>
      <c r="G25" s="1"/>
    </row>
    <row r="26" spans="1:7" x14ac:dyDescent="0.45">
      <c r="A26" s="1"/>
      <c r="B26" s="41" t="s">
        <v>147</v>
      </c>
      <c r="C26" s="41"/>
      <c r="D26" s="41"/>
      <c r="E26" s="41"/>
      <c r="F26" s="41"/>
      <c r="G26" s="1"/>
    </row>
    <row r="27" spans="1:7" x14ac:dyDescent="0.45">
      <c r="A27" s="1"/>
      <c r="B27" s="42" t="s">
        <v>148</v>
      </c>
      <c r="C27" s="42"/>
      <c r="D27" s="42"/>
      <c r="E27" s="9">
        <v>0</v>
      </c>
      <c r="F27" s="42" t="s">
        <v>3</v>
      </c>
      <c r="G27" s="1"/>
    </row>
    <row r="28" spans="1:7" x14ac:dyDescent="0.45">
      <c r="A28" s="1"/>
      <c r="B28" s="41" t="s">
        <v>26</v>
      </c>
      <c r="C28" s="41"/>
      <c r="D28" s="41"/>
      <c r="E28" s="10">
        <f>SUM(E16,E18,E22,E24,E25,E27)</f>
        <v>4567863.0590676283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1NrOZYhd8q8T4EbdFR28/y/rkYWTgmusB0csMx4ZWssFTiPRUAaghC7xjSXjfX4/ZCyu4UQ7WlkyqEKNeInq9Q==" saltValue="eq8VOBUbOB5k33Qf9swrW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38" t="s">
        <v>66</v>
      </c>
      <c r="C9" s="38"/>
      <c r="D9" s="38"/>
      <c r="E9" s="7">
        <f>'Fane 2.1. Økonomisk ramme 2022'!E16</f>
        <v>3172823.7949782787</v>
      </c>
      <c r="F9" s="38" t="s">
        <v>3</v>
      </c>
      <c r="G9" s="1"/>
    </row>
    <row r="10" spans="1:7" ht="15" customHeight="1" x14ac:dyDescent="0.45">
      <c r="A10" s="1"/>
      <c r="B10" s="29" t="s">
        <v>62</v>
      </c>
      <c r="C10" s="38"/>
      <c r="D10" s="38"/>
      <c r="E10" s="7">
        <f>-('Fane 9. Bortfald'!C18+'Fane 9. Bortfald'!E18)</f>
        <v>0</v>
      </c>
      <c r="F10" s="38" t="s">
        <v>3</v>
      </c>
      <c r="G10" s="1"/>
    </row>
    <row r="11" spans="1:7" ht="15" customHeight="1" x14ac:dyDescent="0.45">
      <c r="A11" s="1"/>
      <c r="B11" s="39" t="s">
        <v>18</v>
      </c>
      <c r="C11" s="38"/>
      <c r="D11" s="38"/>
      <c r="E11" s="8">
        <f>SUM(E9:E10)*'Fane 10. Nøgletal'!C14</f>
        <v>10470.318523428319</v>
      </c>
      <c r="F11" s="38" t="s">
        <v>3</v>
      </c>
      <c r="G11" s="1"/>
    </row>
    <row r="12" spans="1:7" ht="15" customHeight="1" x14ac:dyDescent="0.45">
      <c r="A12" s="1"/>
      <c r="B12" s="39" t="s">
        <v>54</v>
      </c>
      <c r="C12" s="38"/>
      <c r="D12" s="38"/>
      <c r="E12" s="8">
        <f>-SUM(E9:E11)*'Fane 10. Nøgletal'!C19</f>
        <v>-54115.999929529025</v>
      </c>
      <c r="F12" s="38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3129178.1135721779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omk.'!C13*(1+'Fane 10. Nøgletal'!C14)</f>
        <v>1916797.7395023059</v>
      </c>
      <c r="F15" s="42" t="s">
        <v>3</v>
      </c>
      <c r="G15" s="1"/>
    </row>
    <row r="16" spans="1:7" ht="15" customHeight="1" x14ac:dyDescent="0.45">
      <c r="A16" s="1"/>
      <c r="B16" s="41" t="s">
        <v>42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9" t="s">
        <v>39</v>
      </c>
      <c r="C17" s="38"/>
      <c r="D17" s="38"/>
      <c r="E17" s="8">
        <f>'Fane 7.2. Engangstillæg'!C20</f>
        <v>0</v>
      </c>
      <c r="F17" s="38" t="s">
        <v>3</v>
      </c>
      <c r="G17" s="1"/>
    </row>
    <row r="18" spans="1:7" ht="15" customHeight="1" x14ac:dyDescent="0.45">
      <c r="A18" s="1"/>
      <c r="B18" s="29" t="s">
        <v>40</v>
      </c>
      <c r="C18" s="38"/>
      <c r="D18" s="38"/>
      <c r="E18" s="8">
        <f>'Fane 7.2. Engangstillæg'!E20</f>
        <v>0</v>
      </c>
      <c r="F18" s="38" t="s">
        <v>3</v>
      </c>
      <c r="G18" s="1"/>
    </row>
    <row r="19" spans="1:7" ht="15" customHeight="1" x14ac:dyDescent="0.45">
      <c r="A19" s="1"/>
      <c r="B19" s="52" t="s">
        <v>43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85</v>
      </c>
      <c r="C20" s="41"/>
      <c r="D20" s="41"/>
      <c r="E20" s="41"/>
      <c r="F20" s="41"/>
      <c r="G20" s="1"/>
    </row>
    <row r="21" spans="1:7" x14ac:dyDescent="0.45">
      <c r="A21" s="1"/>
      <c r="B21" s="42" t="s">
        <v>149</v>
      </c>
      <c r="C21" s="42"/>
      <c r="D21" s="42"/>
      <c r="E21" s="9">
        <f>'Fane 5. Kontrol af ØR2020'!E35</f>
        <v>0</v>
      </c>
      <c r="F21" s="42" t="s">
        <v>3</v>
      </c>
      <c r="G21" s="1"/>
    </row>
    <row r="22" spans="1:7" x14ac:dyDescent="0.45">
      <c r="A22" s="1"/>
      <c r="B22" s="41" t="s">
        <v>47</v>
      </c>
      <c r="C22" s="41"/>
      <c r="D22" s="41"/>
      <c r="E22" s="10">
        <f>SUM(E13,E15,E19,E21)</f>
        <v>5045975.8530744836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WgeuKUZckEuVcyNa6Yafilfs+X252AYtBEj2Rqnh6qxcWqYfWzEixZ0P5m9bV5NQz6py6X/90yDxm4GauNfp/A==" saltValue="jnihlVD7MkDw54NvvPd6k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67</v>
      </c>
      <c r="C8" s="38"/>
      <c r="D8" s="38"/>
      <c r="E8" s="7">
        <f>'Fane 2.2. Økonomisk ramme 2023'!E13</f>
        <v>3129178.1135721779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Bortfald'!C24+'Fane 9. Bortfald'!E24)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10326.287774788187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-53371.57482289843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3086132.8265240677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omk.'!C13*(1+'Fane 10. Nøgletal'!C14)^2</f>
        <v>1923123.1720426634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Engangstillæg'!C27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Engangstillæg'!E27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68</v>
      </c>
      <c r="C21" s="41"/>
      <c r="D21" s="41"/>
      <c r="E21" s="10">
        <f>SUM(E12,E14,E18,E20)</f>
        <v>5009255.9985667309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neJBRW7rHLGL4VFXurW5yH1wxLBIsaIU3vmTvXdb/+5UBWcTNWAVERR6cu4OXO6xqOpCIMtxk7w5uBxuAoX03A==" saltValue="DBokM4L8ASJw3LXcmKTj7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103</v>
      </c>
      <c r="C8" s="38"/>
      <c r="D8" s="38"/>
      <c r="E8" s="7">
        <f>'Fane 2.3. Økonomisk ramme 2024'!E12</f>
        <v>3086132.8265240677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Bortfald'!C30+'Fane 9. Bortfald'!E30)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10184.238327529423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-52637.390102477155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3043679.6747491197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omk.'!C13*(1+'Fane 10. Nøgletal'!C14)^3</f>
        <v>1929469.4785104045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Engangstillæg'!C34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Engangstillæg'!E34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104</v>
      </c>
      <c r="C21" s="41"/>
      <c r="D21" s="41"/>
      <c r="E21" s="10">
        <f>SUM(E12,E14,E18,E20)</f>
        <v>4973149.1532595241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QlYFkmrPTQHhplb2CeBP9rT9UJfFPpp1d/8rCHKmcpRHPYStkfbprDFxRrDzbLrI+lgJJvTiL/Ja24kH69R05w==" saltValue="fOg5dj8sCtRDsvgdYJYUG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126</v>
      </c>
      <c r="C8" s="41"/>
      <c r="D8" s="41"/>
      <c r="E8" s="41"/>
      <c r="F8" s="41"/>
      <c r="G8" s="1"/>
    </row>
    <row r="9" spans="1:7" x14ac:dyDescent="0.45">
      <c r="A9" s="1"/>
      <c r="B9" s="76" t="s">
        <v>23</v>
      </c>
      <c r="C9" s="76"/>
      <c r="D9" s="76"/>
      <c r="E9" s="7">
        <v>3228106.6763005746</v>
      </c>
      <c r="F9" s="38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-23267.415407428103</v>
      </c>
      <c r="F10" s="38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8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8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8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39099.038982896389</v>
      </c>
      <c r="F14" s="38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-55146.951097892736</v>
      </c>
      <c r="F15" s="38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3188791.3487781505</v>
      </c>
      <c r="F16" s="42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1"/>
      <c r="F17" s="41"/>
      <c r="G17" s="1"/>
    </row>
    <row r="18" spans="1:7" x14ac:dyDescent="0.45">
      <c r="A18" s="1"/>
      <c r="B18" s="81" t="s">
        <v>12</v>
      </c>
      <c r="C18" s="81"/>
      <c r="D18" s="81"/>
      <c r="E18" s="9">
        <v>2152569.9409981202</v>
      </c>
      <c r="F18" s="42" t="s">
        <v>3</v>
      </c>
      <c r="G18" s="1"/>
    </row>
    <row r="19" spans="1:7" ht="15.4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.75" customHeight="1" x14ac:dyDescent="0.45">
      <c r="A20" s="1"/>
      <c r="B20" s="82" t="s">
        <v>39</v>
      </c>
      <c r="C20" s="83"/>
      <c r="D20" s="84"/>
      <c r="E20" s="57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5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-628313.20167369221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v>-112859.50441505481</v>
      </c>
      <c r="F25" s="42" t="s">
        <v>3</v>
      </c>
      <c r="G25" s="1"/>
    </row>
    <row r="26" spans="1:7" ht="15" customHeight="1" x14ac:dyDescent="0.45">
      <c r="A26" s="1"/>
      <c r="B26" s="41" t="s">
        <v>25</v>
      </c>
      <c r="C26" s="41"/>
      <c r="D26" s="41"/>
      <c r="E26" s="10">
        <f>E16+E18+E22+E24+E25</f>
        <v>4600188.5836875243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CiCuG6QzmxBZOBPHDcmCAujR8xKjOkpO5or43F/rBvywxAA2ahHxG2FsG36znuu+AMepyJcTAiTjYzCA4y8kdQ==" saltValue="MXDYXuEWpRbqUOrsSLRVP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2" t="s">
        <v>106</v>
      </c>
      <c r="D9" s="42"/>
      <c r="E9" s="1"/>
      <c r="F9" s="1"/>
    </row>
    <row r="10" spans="1:6" x14ac:dyDescent="0.45">
      <c r="A10" s="1"/>
      <c r="B10" s="28" t="s">
        <v>131</v>
      </c>
      <c r="C10" s="8">
        <v>1891399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6547</v>
      </c>
      <c r="D11" s="12" t="s">
        <v>3</v>
      </c>
      <c r="E11" s="1"/>
      <c r="F11" s="1"/>
    </row>
    <row r="12" spans="1:6" x14ac:dyDescent="0.45">
      <c r="A12" s="1"/>
      <c r="B12" s="55" t="s">
        <v>108</v>
      </c>
      <c r="C12" s="10">
        <f>SUM(C10:C11)</f>
        <v>1897946</v>
      </c>
      <c r="D12" s="11" t="s">
        <v>3</v>
      </c>
      <c r="E12" s="1"/>
      <c r="F12" s="1"/>
    </row>
    <row r="13" spans="1:6" x14ac:dyDescent="0.45">
      <c r="A13" s="1"/>
      <c r="B13" s="55" t="s">
        <v>109</v>
      </c>
      <c r="C13" s="10">
        <f>C12*(1+'Fane 10. Nøgletal'!C14)^2</f>
        <v>1910493.1122319403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aMQNdThspr2ZHcmsLdzVURr4D6aQlibmW8cdAZDQo4LFbGwQzXmQtRk7cKNPMZmJDpe193NwShSUO14ml4lD7g==" saltValue="VZ9cBXAZ++7KnGshzIGXi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151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7"/>
      <c r="C5" s="37"/>
      <c r="D5" s="37"/>
      <c r="E5" s="37"/>
      <c r="F5" s="37"/>
      <c r="G5" s="1"/>
    </row>
    <row r="6" spans="1:7" ht="15" customHeight="1" x14ac:dyDescent="0.45">
      <c r="A6" s="1"/>
      <c r="B6" s="37"/>
      <c r="C6" s="37"/>
      <c r="D6" s="37"/>
      <c r="E6" s="37"/>
      <c r="F6" s="37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1" t="s">
        <v>135</v>
      </c>
      <c r="C9" s="92"/>
      <c r="D9" s="93"/>
      <c r="E9" s="8">
        <v>-104944.44409183133</v>
      </c>
      <c r="F9" s="12" t="s">
        <v>3</v>
      </c>
      <c r="G9" s="1"/>
    </row>
    <row r="10" spans="1:7" x14ac:dyDescent="0.45">
      <c r="A10" s="1"/>
      <c r="B10" s="91" t="s">
        <v>136</v>
      </c>
      <c r="C10" s="92"/>
      <c r="D10" s="93"/>
      <c r="E10" s="8">
        <v>14526.435261721723</v>
      </c>
      <c r="F10" s="12" t="s">
        <v>3</v>
      </c>
      <c r="G10" s="1"/>
    </row>
    <row r="11" spans="1:7" x14ac:dyDescent="0.45">
      <c r="A11" s="1"/>
      <c r="B11" s="91" t="s">
        <v>137</v>
      </c>
      <c r="C11" s="92"/>
      <c r="D11" s="93"/>
      <c r="E11" s="8">
        <v>-135300.69823209383</v>
      </c>
      <c r="F11" s="12" t="s">
        <v>3</v>
      </c>
      <c r="G11" s="1"/>
    </row>
    <row r="12" spans="1:7" x14ac:dyDescent="0.45">
      <c r="A12" s="1"/>
      <c r="B12" s="55"/>
      <c r="C12" s="22"/>
      <c r="D12" s="22"/>
      <c r="E12" s="22"/>
      <c r="F12" s="56"/>
      <c r="G12" s="1"/>
    </row>
    <row r="13" spans="1:7" ht="51.75" customHeight="1" x14ac:dyDescent="0.45">
      <c r="A13" s="1"/>
      <c r="B13" s="94" t="s">
        <v>138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1" t="s">
        <v>140</v>
      </c>
      <c r="C16" s="92"/>
      <c r="D16" s="93"/>
      <c r="E16" s="8">
        <v>-112859.50441505481</v>
      </c>
      <c r="F16" s="12" t="s">
        <v>3</v>
      </c>
      <c r="G16" s="1"/>
    </row>
    <row r="17" spans="1:7" x14ac:dyDescent="0.45">
      <c r="A17" s="1"/>
      <c r="B17" s="91" t="s">
        <v>141</v>
      </c>
      <c r="C17" s="92"/>
      <c r="D17" s="93"/>
      <c r="E17" s="8">
        <v>-112859.50441505481</v>
      </c>
      <c r="F17" s="12" t="s">
        <v>3</v>
      </c>
      <c r="G17" s="1"/>
    </row>
    <row r="18" spans="1:7" x14ac:dyDescent="0.45">
      <c r="A18" s="1"/>
      <c r="B18" s="55"/>
      <c r="C18" s="22"/>
      <c r="D18" s="22"/>
      <c r="E18" s="22"/>
      <c r="F18" s="56"/>
      <c r="G18" s="1"/>
    </row>
    <row r="19" spans="1:7" ht="29.25" customHeight="1" x14ac:dyDescent="0.45">
      <c r="A19" s="1"/>
      <c r="B19" s="94" t="s">
        <v>142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6" t="s">
        <v>122</v>
      </c>
      <c r="C21" s="47"/>
      <c r="D21" s="47"/>
      <c r="E21" s="47"/>
      <c r="F21" s="48"/>
      <c r="G21" s="1"/>
    </row>
    <row r="22" spans="1:7" x14ac:dyDescent="0.45">
      <c r="A22" s="1"/>
      <c r="B22" s="49" t="s">
        <v>123</v>
      </c>
      <c r="C22" s="50"/>
      <c r="D22" s="51"/>
      <c r="E22" s="8">
        <v>4736402.4342948142</v>
      </c>
      <c r="F22" s="12" t="s">
        <v>3</v>
      </c>
      <c r="G22" s="1"/>
    </row>
    <row r="23" spans="1:7" x14ac:dyDescent="0.45">
      <c r="A23" s="1"/>
      <c r="B23" s="49" t="s">
        <v>124</v>
      </c>
      <c r="C23" s="50"/>
      <c r="D23" s="51"/>
      <c r="E23" s="8">
        <v>4372872</v>
      </c>
      <c r="F23" s="12" t="s">
        <v>3</v>
      </c>
      <c r="G23" s="1"/>
    </row>
    <row r="24" spans="1:7" x14ac:dyDescent="0.4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45">
      <c r="A25" s="1"/>
      <c r="B25" s="43" t="s">
        <v>125</v>
      </c>
      <c r="C25" s="44"/>
      <c r="D25" s="45"/>
      <c r="E25" s="34">
        <f>E22-(E23-E24)</f>
        <v>363530.43429481424</v>
      </c>
      <c r="F25" s="15" t="s">
        <v>3</v>
      </c>
      <c r="G25" s="1"/>
    </row>
    <row r="26" spans="1:7" x14ac:dyDescent="0.45">
      <c r="A26" s="1"/>
      <c r="B26" s="55"/>
      <c r="C26" s="22"/>
      <c r="D26" s="22"/>
      <c r="E26" s="22"/>
      <c r="F26" s="56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5" t="s">
        <v>144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112859.35353110172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146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a5sumjB9OaB19kPQurMXInX3zWJqqDNRXD6TaVbEczn1YIu5hXsqzU3rTzQc1nsgGN1Y+V6e2zCuHE5ima/cUA==" saltValue="JrswYu266/o7t8CncS1ex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27</v>
      </c>
      <c r="H9" s="54"/>
      <c r="I9" s="1"/>
    </row>
    <row r="10" spans="1:9" x14ac:dyDescent="0.45">
      <c r="A10" s="1"/>
      <c r="B10" s="35" t="s">
        <v>150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CpwQMsV4JHdZ4Q+lHTNahVVCy6lVtDclUG8xuGLm2h9ISxdKAoESa5zrSnu26b29mOfKLr5aszeuKSIfKSFGQ==" saltValue="498MGwWcYK1TlMbrbJUbL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2021-08-20T08:15:08Z</dcterms:modified>
</cp:coreProperties>
</file>