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Kalundborg Renseanlæg AS (S055)\ØR2024\"/>
    </mc:Choice>
  </mc:AlternateContent>
  <xr:revisionPtr revIDLastSave="0" documentId="13_ncr:1_{46F66A66-4EAE-4C1D-A2E6-B35A8159123F}"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1" iterateCount="1"/>
</workbook>
</file>

<file path=xl/calcChain.xml><?xml version="1.0" encoding="utf-8"?>
<calcChain xmlns="http://schemas.openxmlformats.org/spreadsheetml/2006/main">
  <c r="E16" i="44" l="1"/>
  <c r="E17" i="44"/>
  <c r="E25" i="44" l="1"/>
  <c r="E18" i="44"/>
  <c r="C9" i="2"/>
  <c r="E29" i="44" l="1"/>
  <c r="E31" i="44" s="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24" i="37" s="1"/>
  <c r="C25" i="37" s="1"/>
  <c r="C10" i="2" l="1"/>
  <c r="G35" i="36"/>
  <c r="G53" i="30" l="1"/>
  <c r="G37" i="36"/>
  <c r="G41" i="36" l="1"/>
  <c r="G27" i="30"/>
  <c r="G43" i="36" l="1"/>
  <c r="G31" i="30"/>
  <c r="E10" i="37"/>
  <c r="E24" i="37" s="1"/>
  <c r="E25"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<sst xmlns="http://schemas.openxmlformats.org/spreadsheetml/2006/main" count="677" uniqueCount="302">
  <si>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</si>
  <si>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</si>
  <si>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</si>
  <si>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</si>
  <si>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</si>
  <si>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</si>
  <si>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</si>
  <si>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</si>
  <si>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</si>
  <si>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</si>
  <si>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</si>
  <si>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</si>
  <si>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</si>
  <si>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</si>
  <si>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</si>
  <si>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</si>
  <si>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</si>
  <si>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</si>
  <si>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</si>
  <si>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</si>
  <si>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</si>
  <si>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</si>
  <si>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</si>
  <si>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</si>
  <si>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</si>
  <si>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</si>
  <si>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</si>
  <si>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</si>
  <si>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</si>
  <si>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</si>
  <si>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</si>
  <si>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</si>
  <si>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</si>
  <si>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</si>
  <si>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</si>
  <si>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</si>
  <si>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</si>
  <si>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</si>
  <si>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</si>
  <si>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</si>
  <si>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</si>
  <si>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</si>
  <si>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</si>
  <si>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</si>
  <si>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</si>
  <si>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</si>
  <si>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</si>
  <si>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</si>
  <si>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</si>
  <si>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</si>
  <si>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</si>
  <si>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</si>
  <si>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</si>
  <si>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</si>
  <si>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</si>
  <si>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</si>
  <si>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</si>
  <si>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</si>
  <si>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</si>
  <si>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</si>
  <si>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</si>
  <si>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</si>
  <si>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</si>
  <si>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</si>
  <si>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</si>
  <si>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</si>
  <si>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</si>
  <si>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</si>
  <si>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</si>
  <si>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</si>
  <si>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</si>
  <si>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</si>
  <si>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</si>
  <si>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</si>
  <si>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</si>
  <si>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</si>
  <si>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</si>
  <si>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</si>
  <si>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</si>
  <si>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</si>
  <si>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</si>
  <si>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</si>
  <si>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</si>
  <si>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</si>
  <si>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</si>
  <si>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</si>
  <si>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</si>
  <si>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</si>
  <si>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</si>
  <si>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</si>
  <si>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</si>
  <si>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</si>
  <si>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</si>
  <si>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</si>
  <si>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</si>
  <si>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</si>
  <si>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</si>
  <si>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</si>
  <si>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</si>
  <si>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</si>
  <si>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</si>
  <si>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</si>
  <si>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</si>
  <si>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</si>
  <si>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</si>
  <si>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</si>
  <si>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</si>
  <si>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</si>
  <si>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</si>
  <si>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</si>
  <si>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</si>
  <si>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</si>
  <si>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</si>
  <si>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</si>
  <si>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</si>
  <si>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</si>
  <si>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</si>
  <si>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</si>
  <si>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</si>
  <si>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</si>
  <si>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</si>
  <si>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</si>
  <si>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</si>
  <si>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</si>
  <si>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</si>
  <si>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</si>
  <si>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</si>
  <si>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</si>
  <si>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</si>
  <si>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</si>
  <si>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</si>
  <si>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</si>
  <si>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</si>
  <si>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</si>
  <si>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</si>
  <si>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</si>
  <si>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</si>
  <si>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</si>
  <si>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</si>
  <si>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</si>
  <si>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</si>
  <si>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</si>
  <si>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</si>
  <si>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</si>
  <si>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</si>
  <si>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</si>
  <si>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</si>
  <si>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</si>
  <si>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</si>
  <si>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</si>
  <si>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</si>
  <si>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</si>
  <si>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</si>
  <si>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</si>
  <si>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</si>
  <si>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</si>
  <si>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</si>
  <si>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</si>
  <si>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</si>
  <si>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</si>
  <si>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</si>
  <si>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</si>
  <si>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</si>
  <si>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</si>
  <si>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</si>
  <si>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</si>
  <si>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</si>
  <si>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</si>
  <si>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</si>
  <si>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</si>
  <si>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</si>
  <si>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</si>
  <si>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</si>
  <si>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</si>
  <si>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</si>
  <si>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</si>
  <si>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</si>
  <si>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</si>
  <si>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</si>
  <si>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</si>
  <si>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</si>
  <si>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</si>
  <si>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</si>
  <si>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</si>
  <si>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</si>
  <si>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</si>
  <si>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</si>
  <si>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</si>
  <si>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</si>
  <si>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</si>
  <si>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</si>
  <si>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</si>
  <si>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</si>
  <si>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</si>
  <si>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</si>
  <si>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</si>
  <si>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</si>
  <si>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</si>
  <si>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</si>
  <si>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</si>
  <si>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</si>
  <si>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</si>
  <si>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</si>
  <si>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</si>
  <si>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</si>
  <si>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</si>
  <si>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</si>
  <si>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</si>
  <si>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</si>
  <si>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</si>
  <si>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</si>
  <si>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</si>
  <si>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</si>
  <si>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</si>
  <si>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</si>
  <si>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</si>
  <si>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</si>
  <si>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</si>
  <si>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</si>
  <si>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</si>
  <si>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</si>
  <si>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</si>
  <si>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</si>
  <si>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</si>
  <si>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</si>
  <si>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</si>
  <si>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</si>
  <si>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</si>
  <si>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</si>
  <si>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</si>
  <si>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</si>
  <si>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</si>
  <si>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</si>
  <si>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</si>
  <si>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</si>
  <si>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</si>
  <si>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</si>
  <si>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</si>
  <si>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</si>
  <si>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</si>
  <si>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</si>
  <si>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</si>
  <si>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</si>
  <si>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</si>
  <si>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</si>
  <si>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</si>
  <si>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</si>
  <si>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</si>
  <si>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</si>
  <si>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</si>
  <si>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</si>
  <si>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</si>
  <si>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</si>
  <si>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</si>
  <si>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</si>
  <si>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</si>
  <si>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</si>
  <si>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</si>
  <si>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</si>
  <si>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</si>
  <si>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</si>
  <si>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</si>
  <si>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</si>
  <si>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</si>
  <si>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</si>
  <si>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</si>
  <si>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</si>
  <si>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</si>
  <si>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</si>
  <si>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</si>
  <si>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</si>
  <si>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</si>
  <si>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</si>
  <si>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</si>
  <si>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</si>
  <si>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</si>
  <si>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</si>
  <si>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</si>
  <si>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</si>
  <si>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</si>
  <si>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</si>
  <si>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</si>
  <si>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</si>
  <si>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</si>
  <si>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</si>
  <si>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</si>
  <si>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</si>
  <si>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</si>
  <si>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Automatiseret afkalkningsproces på renseanlæg</t>
  </si>
  <si>
    <t>Iso-certificering</t>
  </si>
  <si>
    <t>Kontrol for PFAS</t>
  </si>
  <si>
    <t>Nyt styringssystem</t>
  </si>
  <si>
    <t>Sammenlægning af renseanlæg</t>
  </si>
  <si>
    <t>Slammineralisering</t>
  </si>
  <si>
    <t>Ultimate Horizone</t>
  </si>
  <si>
    <t>Vandudviklingsprojekter</t>
  </si>
  <si>
    <t>Afkobling af industrivand</t>
  </si>
  <si>
    <t>Nyt laboratorium</t>
  </si>
  <si>
    <t>Opgradering af kemikalieopbevaring</t>
  </si>
  <si>
    <t>Ingen engangstillæg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</si>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</sst>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252</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196</v>
      </c>
      <c r="E13" s="104"/>
      <c r="F13" s="104"/>
      <c r="G13" s="105"/>
      <c r="H13" s="5"/>
      <c r="I13" s="1"/>
    </row>
    <row r="14" spans="1:9" x14ac:dyDescent="0.25">
      <c r="A14" s="1"/>
      <c r="B14" s="1"/>
      <c r="C14" s="6" t="s">
        <v>16</v>
      </c>
      <c r="D14" s="88" t="s">
        <v>197</v>
      </c>
      <c r="E14" s="89"/>
      <c r="F14" s="89"/>
      <c r="G14" s="90"/>
      <c r="H14" s="5"/>
      <c r="I14" s="1"/>
    </row>
    <row r="15" spans="1:9" x14ac:dyDescent="0.25">
      <c r="A15" s="1"/>
      <c r="B15" s="1"/>
      <c r="C15" s="6" t="s">
        <v>31</v>
      </c>
      <c r="D15" s="88" t="s">
        <v>262</v>
      </c>
      <c r="E15" s="89"/>
      <c r="F15" s="89"/>
      <c r="G15" s="90"/>
      <c r="H15" s="5"/>
      <c r="I15" s="1"/>
    </row>
    <row r="16" spans="1:9" x14ac:dyDescent="0.25">
      <c r="A16" s="1"/>
      <c r="B16" s="1"/>
      <c r="C16" s="6" t="s">
        <v>32</v>
      </c>
      <c r="D16" s="88" t="s">
        <v>263</v>
      </c>
      <c r="E16" s="89"/>
      <c r="F16" s="89"/>
      <c r="G16" s="90"/>
      <c r="H16" s="5"/>
      <c r="I16" s="1"/>
    </row>
    <row r="17" spans="1:9" x14ac:dyDescent="0.25">
      <c r="A17" s="1"/>
      <c r="B17" s="1"/>
      <c r="C17" s="6" t="s">
        <v>101</v>
      </c>
      <c r="D17" s="88" t="s">
        <v>198</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199</v>
      </c>
      <c r="E22" s="96"/>
      <c r="F22" s="96"/>
      <c r="G22" s="97"/>
      <c r="H22" s="5"/>
      <c r="I22" s="1"/>
    </row>
    <row r="23" spans="1:9" x14ac:dyDescent="0.25">
      <c r="A23" s="1"/>
      <c r="B23" s="1"/>
      <c r="C23" s="6" t="s">
        <v>8</v>
      </c>
      <c r="D23" s="95" t="s">
        <v>181</v>
      </c>
      <c r="E23" s="96"/>
      <c r="F23" s="96"/>
      <c r="G23" s="97"/>
      <c r="H23" s="5"/>
      <c r="I23" s="1"/>
    </row>
    <row r="24" spans="1:9" x14ac:dyDescent="0.25">
      <c r="A24" s="1"/>
      <c r="B24" s="1"/>
      <c r="C24" s="6" t="s">
        <v>9</v>
      </c>
      <c r="D24" s="95" t="s">
        <v>200</v>
      </c>
      <c r="E24" s="96"/>
      <c r="F24" s="96"/>
      <c r="G24" s="97"/>
      <c r="H24" s="5"/>
      <c r="I24" s="1"/>
    </row>
    <row r="25" spans="1:9" x14ac:dyDescent="0.25">
      <c r="A25" s="1"/>
      <c r="B25" s="1"/>
      <c r="C25" s="6" t="s">
        <v>166</v>
      </c>
      <c r="D25" s="95" t="s">
        <v>160</v>
      </c>
      <c r="E25" s="96"/>
      <c r="F25" s="96"/>
      <c r="G25" s="97"/>
      <c r="H25" s="1"/>
      <c r="I25" s="1"/>
    </row>
    <row r="26" spans="1:9" x14ac:dyDescent="0.25">
      <c r="A26" s="1"/>
      <c r="B26" s="1"/>
      <c r="C26" s="6" t="s">
        <v>167</v>
      </c>
      <c r="D26" s="95" t="s">
        <v>72</v>
      </c>
      <c r="E26" s="96"/>
      <c r="F26" s="96"/>
      <c r="G26" s="97"/>
      <c r="H26" s="1"/>
      <c r="I26" s="1"/>
    </row>
    <row r="27" spans="1:9" x14ac:dyDescent="0.25">
      <c r="A27" s="1"/>
      <c r="B27" s="1"/>
      <c r="C27" s="6" t="s">
        <v>168</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169</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R5rDV+bDAVGP6gjzGhLeQzzFXgMNlhMRg44kq4hSbFqkXnYJWfe2JNcxhoPtSi/g4MVjIKpW7zLLty2VGap40A==" saltValue="jiP0q2w8EJKChAsCSBwvZ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80" t="s">
        <v>272</v>
      </c>
      <c r="C10" s="9">
        <v>2763212</v>
      </c>
      <c r="D10" s="14" t="s">
        <v>3</v>
      </c>
      <c r="E10" s="1"/>
      <c r="F10" s="1"/>
    </row>
    <row r="11" spans="1:6" ht="15" customHeight="1" x14ac:dyDescent="0.25">
      <c r="A11" s="1"/>
      <c r="B11" s="80" t="s">
        <v>273</v>
      </c>
      <c r="C11" s="9">
        <v>207875</v>
      </c>
      <c r="D11" s="14" t="s">
        <v>3</v>
      </c>
      <c r="E11" s="1"/>
      <c r="F11" s="1"/>
    </row>
    <row r="12" spans="1:6" ht="26.25" x14ac:dyDescent="0.25">
      <c r="A12" s="1"/>
      <c r="B12" s="29" t="s">
        <v>274</v>
      </c>
      <c r="C12" s="9">
        <v>427988</v>
      </c>
      <c r="D12" s="14" t="s">
        <v>3</v>
      </c>
      <c r="E12" s="1"/>
      <c r="F12" s="1"/>
    </row>
    <row r="13" spans="1:6" x14ac:dyDescent="0.25">
      <c r="A13" s="1"/>
      <c r="B13" s="80" t="s">
        <v>275</v>
      </c>
      <c r="C13" s="9">
        <v>270624</v>
      </c>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3669699</v>
      </c>
      <c r="D20" s="13" t="s">
        <v>3</v>
      </c>
      <c r="E20" s="1"/>
      <c r="F20" s="1"/>
    </row>
    <row r="21" spans="1:6" x14ac:dyDescent="0.25">
      <c r="A21" s="1"/>
      <c r="B21" s="33" t="s">
        <v>227</v>
      </c>
      <c r="C21" s="12">
        <f>C20*(1+'Fane 15. Nøgletal'!C16)^2</f>
        <v>4286680.5020793602</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0" t="s">
        <v>109</v>
      </c>
      <c r="C25" s="9">
        <v>0</v>
      </c>
      <c r="D25" s="14" t="s">
        <v>3</v>
      </c>
      <c r="E25" s="1"/>
      <c r="F25" s="1"/>
    </row>
    <row r="26" spans="1:6" x14ac:dyDescent="0.25">
      <c r="A26" s="1"/>
      <c r="B26" s="80" t="s">
        <v>123</v>
      </c>
      <c r="C26" s="9">
        <v>0</v>
      </c>
      <c r="D26" s="14" t="s">
        <v>3</v>
      </c>
      <c r="E26" s="1"/>
      <c r="F26" s="1"/>
    </row>
    <row r="27" spans="1:6" x14ac:dyDescent="0.25">
      <c r="A27" s="1"/>
      <c r="B27" s="80" t="s">
        <v>142</v>
      </c>
      <c r="C27" s="9">
        <v>0</v>
      </c>
      <c r="D27" s="14" t="s">
        <v>3</v>
      </c>
      <c r="E27" s="1"/>
      <c r="F27" s="1"/>
    </row>
    <row r="28" spans="1:6" x14ac:dyDescent="0.25">
      <c r="A28" s="1"/>
      <c r="B28" s="34" t="s">
        <v>261</v>
      </c>
      <c r="C28" s="9">
        <v>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fVVP/EDjCwFAp47+TrAJEPDrRIN2SoxJ4tr9o2UMvadObZc5RKEq95lPDyv9aVdW9OEWqqF880gPVqSVXKSTFQ==" saltValue="8Gg9NWbbSEtvOxv1PS7pd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D5A4A-010E-41B1-82F7-60C0599818CF}">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276</v>
      </c>
      <c r="C9" s="120"/>
      <c r="D9" s="121"/>
      <c r="E9" s="9">
        <v>-515145</v>
      </c>
      <c r="F9" s="14" t="s">
        <v>3</v>
      </c>
      <c r="G9" s="1"/>
    </row>
    <row r="10" spans="1:7" ht="15" customHeight="1" x14ac:dyDescent="0.25">
      <c r="A10" s="1"/>
      <c r="B10" s="119" t="s">
        <v>143</v>
      </c>
      <c r="C10" s="120"/>
      <c r="D10" s="121"/>
      <c r="E10" s="9">
        <v>-4431275</v>
      </c>
      <c r="F10" s="14" t="s">
        <v>3</v>
      </c>
      <c r="G10" s="1"/>
    </row>
    <row r="11" spans="1:7" ht="15" customHeight="1" x14ac:dyDescent="0.25">
      <c r="A11" s="1"/>
      <c r="B11" s="119" t="s">
        <v>277</v>
      </c>
      <c r="C11" s="120"/>
      <c r="D11" s="121"/>
      <c r="E11" s="9">
        <v>-523865</v>
      </c>
      <c r="F11" s="14" t="s">
        <v>3</v>
      </c>
      <c r="G11" s="1"/>
    </row>
    <row r="12" spans="1:7" x14ac:dyDescent="0.25">
      <c r="A12" s="1"/>
      <c r="B12" s="33"/>
      <c r="C12" s="28"/>
      <c r="D12" s="28"/>
      <c r="E12" s="28"/>
      <c r="F12" s="19"/>
      <c r="G12" s="1"/>
    </row>
    <row r="13" spans="1:7" ht="42" customHeight="1" x14ac:dyDescent="0.25">
      <c r="A13" s="1"/>
      <c r="B13" s="113" t="s">
        <v>278</v>
      </c>
      <c r="C13" s="114"/>
      <c r="D13" s="114"/>
      <c r="E13" s="114"/>
      <c r="F13" s="115"/>
      <c r="G13" s="1"/>
    </row>
    <row r="14" spans="1:7" ht="15" customHeight="1" x14ac:dyDescent="0.25">
      <c r="A14" s="1"/>
      <c r="B14" s="1"/>
      <c r="C14" s="1"/>
      <c r="D14" s="1"/>
      <c r="E14" s="1"/>
      <c r="F14" s="1"/>
      <c r="G14" s="1"/>
    </row>
    <row r="15" spans="1:7" x14ac:dyDescent="0.25">
      <c r="A15" s="1"/>
      <c r="B15" s="74" t="s">
        <v>279</v>
      </c>
      <c r="C15" s="75"/>
      <c r="D15" s="75"/>
      <c r="E15" s="75"/>
      <c r="F15" s="76"/>
      <c r="G15" s="1"/>
    </row>
    <row r="16" spans="1:7" x14ac:dyDescent="0.25">
      <c r="A16" s="1"/>
      <c r="B16" s="77" t="s">
        <v>280</v>
      </c>
      <c r="C16" s="78"/>
      <c r="D16" s="79"/>
      <c r="E16" s="9">
        <f>IF(E11&lt;0,E11,0)</f>
        <v>-523865</v>
      </c>
      <c r="F16" s="14" t="s">
        <v>3</v>
      </c>
      <c r="G16" s="1"/>
    </row>
    <row r="17" spans="1:7" x14ac:dyDescent="0.25">
      <c r="A17" s="1"/>
      <c r="B17" s="77" t="s">
        <v>281</v>
      </c>
      <c r="C17" s="78"/>
      <c r="D17" s="79"/>
      <c r="E17" s="9">
        <f>IF(SUM(E10)&gt;0,SUM(E10),0)</f>
        <v>0</v>
      </c>
      <c r="F17" s="14" t="s">
        <v>3</v>
      </c>
      <c r="G17" s="1"/>
    </row>
    <row r="18" spans="1:7" x14ac:dyDescent="0.25">
      <c r="A18" s="1"/>
      <c r="B18" s="81" t="s">
        <v>282</v>
      </c>
      <c r="C18" s="82"/>
      <c r="D18" s="83"/>
      <c r="E18" s="62">
        <f>IF(SUM(E16:E17)&gt;0,0,SUM(E16:E17))</f>
        <v>-523865</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283</v>
      </c>
      <c r="C21" s="75"/>
      <c r="D21" s="75"/>
      <c r="E21" s="75"/>
      <c r="F21" s="76"/>
      <c r="G21" s="1"/>
    </row>
    <row r="22" spans="1:7" x14ac:dyDescent="0.25">
      <c r="A22" s="1"/>
      <c r="B22" s="77" t="s">
        <v>284</v>
      </c>
      <c r="C22" s="78"/>
      <c r="D22" s="79"/>
      <c r="E22" s="9">
        <v>42196512</v>
      </c>
      <c r="F22" s="14" t="s">
        <v>3</v>
      </c>
      <c r="G22" s="1"/>
    </row>
    <row r="23" spans="1:7" x14ac:dyDescent="0.25">
      <c r="A23" s="1"/>
      <c r="B23" s="77" t="s">
        <v>285</v>
      </c>
      <c r="C23" s="78"/>
      <c r="D23" s="79"/>
      <c r="E23" s="9">
        <v>42413600</v>
      </c>
      <c r="F23" s="14" t="s">
        <v>3</v>
      </c>
      <c r="G23" s="1"/>
    </row>
    <row r="24" spans="1:7" x14ac:dyDescent="0.25">
      <c r="A24" s="1"/>
      <c r="B24" s="77" t="s">
        <v>30</v>
      </c>
      <c r="C24" s="78"/>
      <c r="D24" s="79"/>
      <c r="E24" s="9">
        <v>0</v>
      </c>
      <c r="F24" s="14" t="s">
        <v>3</v>
      </c>
      <c r="G24" s="1"/>
    </row>
    <row r="25" spans="1:7" x14ac:dyDescent="0.25">
      <c r="A25" s="1"/>
      <c r="B25" s="81" t="s">
        <v>286</v>
      </c>
      <c r="C25" s="82"/>
      <c r="D25" s="83"/>
      <c r="E25" s="62">
        <f>E22-E23-E24</f>
        <v>-217088</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287</v>
      </c>
      <c r="C28" s="117"/>
      <c r="D28" s="117"/>
      <c r="E28" s="117"/>
      <c r="F28" s="118"/>
      <c r="G28" s="1"/>
    </row>
    <row r="29" spans="1:7" x14ac:dyDescent="0.25">
      <c r="A29" s="1"/>
      <c r="B29" s="131" t="s">
        <v>116</v>
      </c>
      <c r="C29" s="132"/>
      <c r="D29" s="133"/>
      <c r="E29" s="9">
        <f>IF(E18&lt;0,IF(E25&lt;0,SUM(E18,E25),IF(E10&gt;0,SUM(E10:E11),E18)),IF(AND(E25&lt;0,SUM(E25,E11)&lt;0),IF(E11&lt;0,E25,IF(SUM(E10:E11)&gt;0,SUM(E25,E11),IF(AND(E25&lt;0,E18=0,E11&gt;0),IF(SUM(E9:E11)&gt;0,E25+E11,E25)))),0))</f>
        <v>-740953</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-370476.5</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WZmIDMul+7y3oL2atjBpbHUJgcu4+aGPg6nB4gpElf9FJVz513nUVqE42g3ZPk7nsLLDUPD8UPknXlo8oEsXOQ==" saltValue="HI2Tz2hkAbDLL03AagllV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Uk5sHY1HA7NCNQhHY5SLpMY3ivzf6hMsD3EIZig4hRn3cv6v8aKneFpRXBh2aaUaSjxaDZ/uYOz9Ni2MqDha6g==" saltValue="pNqM+vEclqwbzOA1OGjyB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13" t="s">
        <v>82</v>
      </c>
      <c r="C10" s="114"/>
      <c r="D10" s="115"/>
      <c r="E10" s="7">
        <v>793280.46562534268</v>
      </c>
      <c r="F10" s="8" t="s">
        <v>3</v>
      </c>
      <c r="G10" s="1"/>
    </row>
    <row r="11" spans="1:7" x14ac:dyDescent="0.25">
      <c r="A11" s="1"/>
      <c r="B11" s="119" t="s">
        <v>229</v>
      </c>
      <c r="C11" s="120"/>
      <c r="D11" s="121"/>
      <c r="E11" s="7">
        <v>0</v>
      </c>
      <c r="F11" s="8" t="s">
        <v>3</v>
      </c>
      <c r="G11" s="1"/>
    </row>
    <row r="12" spans="1:7" x14ac:dyDescent="0.25">
      <c r="A12" s="1"/>
      <c r="B12" s="134" t="s">
        <v>83</v>
      </c>
      <c r="C12" s="135"/>
      <c r="D12" s="136"/>
      <c r="E12" s="10">
        <f>E11-E10</f>
        <v>-793280.46562534268</v>
      </c>
      <c r="F12" s="11" t="s">
        <v>3</v>
      </c>
      <c r="G12" s="1"/>
    </row>
    <row r="13" spans="1:7" x14ac:dyDescent="0.25">
      <c r="A13" s="1"/>
      <c r="B13" s="116" t="s">
        <v>78</v>
      </c>
      <c r="C13" s="117"/>
      <c r="D13" s="117"/>
      <c r="E13" s="117"/>
      <c r="F13" s="118"/>
      <c r="G13" s="1"/>
    </row>
    <row r="14" spans="1:7" x14ac:dyDescent="0.25">
      <c r="A14" s="1"/>
      <c r="B14" s="119" t="s">
        <v>230</v>
      </c>
      <c r="C14" s="120"/>
      <c r="D14" s="121"/>
      <c r="E14" s="7">
        <v>0</v>
      </c>
      <c r="F14" s="8" t="s">
        <v>3</v>
      </c>
      <c r="G14" s="1"/>
    </row>
    <row r="15" spans="1:7" x14ac:dyDescent="0.25">
      <c r="A15" s="1"/>
      <c r="B15" s="113" t="s">
        <v>231</v>
      </c>
      <c r="C15" s="114"/>
      <c r="D15" s="115"/>
      <c r="E15" s="7">
        <v>0</v>
      </c>
      <c r="F15" s="8" t="s">
        <v>3</v>
      </c>
      <c r="G15" s="1"/>
    </row>
    <row r="16" spans="1:7" x14ac:dyDescent="0.25">
      <c r="A16" s="1"/>
      <c r="B16" s="134" t="s">
        <v>83</v>
      </c>
      <c r="C16" s="135"/>
      <c r="D16" s="136"/>
      <c r="E16" s="10">
        <f>E15-E14</f>
        <v>0</v>
      </c>
      <c r="F16" s="11" t="s">
        <v>3</v>
      </c>
      <c r="G16" s="1"/>
    </row>
    <row r="17" spans="1:7" x14ac:dyDescent="0.25">
      <c r="A17" s="1"/>
      <c r="B17" s="33" t="s">
        <v>232</v>
      </c>
      <c r="C17" s="28"/>
      <c r="D17" s="28"/>
      <c r="E17" s="12">
        <f>E12+E16</f>
        <v>-793280.46562534268</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TvRB0YK+p1axS7gJw78QXWgy1uukm9kgiNDtbDqCRbv9yWIjG3ddmXabWn8T2fkxqANKwTUX4aVssZXdllsxg==" saltValue="GZq3e/DQiUXbEj1cfFS+5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kme03DD0smD0MENFujCcZsB+PDQUF0JV1Q5ZPAna7jEqcVvGdxdxYYfsiXZDMLNergNFzXRwnGpfd20FszxKNw==" saltValue="gEukWlo8U2Ye+KSLYj7OW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0</v>
      </c>
      <c r="D11" s="14" t="s">
        <v>3</v>
      </c>
      <c r="E11" s="9">
        <v>126236</v>
      </c>
      <c r="F11" s="14" t="s">
        <v>3</v>
      </c>
      <c r="G11" s="1"/>
    </row>
    <row r="12" spans="1:7" x14ac:dyDescent="0.25">
      <c r="A12" s="1"/>
      <c r="B12" s="24" t="s">
        <v>289</v>
      </c>
      <c r="C12" s="21"/>
      <c r="D12" s="14" t="s">
        <v>3</v>
      </c>
      <c r="E12" s="9"/>
      <c r="F12" s="14" t="s">
        <v>3</v>
      </c>
      <c r="G12" s="1"/>
    </row>
    <row r="13" spans="1:7" x14ac:dyDescent="0.25">
      <c r="A13" s="1"/>
      <c r="B13" s="24" t="s">
        <v>290</v>
      </c>
      <c r="C13" s="21">
        <v>162802</v>
      </c>
      <c r="D13" s="14" t="s">
        <v>3</v>
      </c>
      <c r="E13" s="9">
        <v>0</v>
      </c>
      <c r="F13" s="14" t="s">
        <v>3</v>
      </c>
      <c r="G13" s="1"/>
    </row>
    <row r="14" spans="1:7" x14ac:dyDescent="0.25">
      <c r="A14" s="1"/>
      <c r="B14" s="24" t="s">
        <v>291</v>
      </c>
      <c r="C14" s="21">
        <v>0</v>
      </c>
      <c r="D14" s="14" t="s">
        <v>3</v>
      </c>
      <c r="E14" s="9">
        <v>63849</v>
      </c>
      <c r="F14" s="14" t="s">
        <v>3</v>
      </c>
      <c r="G14" s="1"/>
    </row>
    <row r="15" spans="1:7" x14ac:dyDescent="0.25">
      <c r="A15" s="1"/>
      <c r="B15" s="24" t="s">
        <v>292</v>
      </c>
      <c r="C15" s="21"/>
      <c r="D15" s="14" t="s">
        <v>3</v>
      </c>
      <c r="E15" s="9"/>
      <c r="F15" s="14" t="s">
        <v>3</v>
      </c>
      <c r="G15" s="1"/>
    </row>
    <row r="16" spans="1:7" x14ac:dyDescent="0.25">
      <c r="A16" s="1"/>
      <c r="B16" s="24" t="s">
        <v>293</v>
      </c>
      <c r="C16" s="21">
        <v>308743</v>
      </c>
      <c r="D16" s="14" t="s">
        <v>3</v>
      </c>
      <c r="E16" s="9">
        <v>0</v>
      </c>
      <c r="F16" s="14" t="s">
        <v>3</v>
      </c>
      <c r="G16" s="1"/>
    </row>
    <row r="17" spans="1:7" x14ac:dyDescent="0.25">
      <c r="A17" s="1"/>
      <c r="B17" s="24" t="s">
        <v>294</v>
      </c>
      <c r="C17" s="21">
        <v>874404</v>
      </c>
      <c r="D17" s="14" t="s">
        <v>3</v>
      </c>
      <c r="E17" s="9">
        <v>7935</v>
      </c>
      <c r="F17" s="14" t="s">
        <v>3</v>
      </c>
      <c r="G17" s="1"/>
    </row>
    <row r="18" spans="1:7" x14ac:dyDescent="0.25">
      <c r="A18" s="1"/>
      <c r="B18" s="24" t="s">
        <v>295</v>
      </c>
      <c r="C18" s="21">
        <v>293601</v>
      </c>
      <c r="D18" s="14" t="s">
        <v>3</v>
      </c>
      <c r="E18" s="9">
        <v>0</v>
      </c>
      <c r="F18" s="14" t="s">
        <v>3</v>
      </c>
      <c r="G18" s="1"/>
    </row>
    <row r="19" spans="1:7" x14ac:dyDescent="0.25">
      <c r="A19" s="1"/>
      <c r="B19" s="24" t="s">
        <v>296</v>
      </c>
      <c r="C19" s="21">
        <v>0</v>
      </c>
      <c r="D19" s="14" t="s">
        <v>3</v>
      </c>
      <c r="E19" s="9">
        <v>442310</v>
      </c>
      <c r="F19" s="14" t="s">
        <v>3</v>
      </c>
      <c r="G19" s="1"/>
    </row>
    <row r="20" spans="1:7" x14ac:dyDescent="0.25">
      <c r="A20" s="1"/>
      <c r="B20" s="24" t="s">
        <v>297</v>
      </c>
      <c r="C20" s="21">
        <v>0</v>
      </c>
      <c r="D20" s="14" t="s">
        <v>3</v>
      </c>
      <c r="E20" s="9">
        <v>53180</v>
      </c>
      <c r="F20" s="14" t="s">
        <v>3</v>
      </c>
      <c r="G20" s="1"/>
    </row>
    <row r="21" spans="1:7" x14ac:dyDescent="0.25">
      <c r="A21" s="1"/>
      <c r="B21" s="24" t="s">
        <v>298</v>
      </c>
      <c r="C21" s="21">
        <v>0</v>
      </c>
      <c r="D21" s="14" t="s">
        <v>3</v>
      </c>
      <c r="E21" s="9">
        <v>3961</v>
      </c>
      <c r="F21" s="14" t="s">
        <v>3</v>
      </c>
      <c r="G21" s="1"/>
    </row>
    <row r="22" spans="1:7" x14ac:dyDescent="0.25">
      <c r="A22" s="1"/>
      <c r="B22" s="24" t="s">
        <v>292</v>
      </c>
      <c r="C22" s="21"/>
      <c r="D22" s="14"/>
      <c r="E22" s="9">
        <v>300514</v>
      </c>
      <c r="F22" s="14"/>
      <c r="G22" s="1"/>
    </row>
    <row r="23" spans="1:7" x14ac:dyDescent="0.25">
      <c r="A23" s="1"/>
      <c r="B23" s="24" t="s">
        <v>289</v>
      </c>
      <c r="C23" s="21">
        <v>1043905</v>
      </c>
      <c r="D23" s="14" t="s">
        <v>3</v>
      </c>
      <c r="E23" s="9">
        <v>0</v>
      </c>
      <c r="F23" s="14" t="s">
        <v>3</v>
      </c>
      <c r="G23" s="1"/>
    </row>
    <row r="24" spans="1:7" x14ac:dyDescent="0.25">
      <c r="A24" s="1"/>
      <c r="B24" s="33" t="s">
        <v>144</v>
      </c>
      <c r="C24" s="12">
        <f>SUM(C10:C23)</f>
        <v>2683455</v>
      </c>
      <c r="D24" s="13" t="s">
        <v>3</v>
      </c>
      <c r="E24" s="12">
        <f>SUM(E10:E23)</f>
        <v>997985</v>
      </c>
      <c r="F24" s="13" t="s">
        <v>3</v>
      </c>
      <c r="G24" s="1"/>
    </row>
    <row r="25" spans="1:7" x14ac:dyDescent="0.25">
      <c r="A25" s="1"/>
      <c r="B25" s="33" t="s">
        <v>233</v>
      </c>
      <c r="C25" s="12">
        <f>C24*(1+'Fane 15. Nøgletal'!C16)</f>
        <v>2900278.1639999999</v>
      </c>
      <c r="D25" s="13" t="s">
        <v>3</v>
      </c>
      <c r="E25" s="12">
        <f>E24*(1+'Fane 15. Nøgletal'!C16)</f>
        <v>1078622.1880000001</v>
      </c>
      <c r="F25" s="13" t="s">
        <v>3</v>
      </c>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BKjuhJ/4IqgYTkW30oMY1LeBgkOe67Kp+OxcZsjVcZKdB+fTGW4gVE0VihgwqE4QjVbIwBJebCSYmYpNlaPYw==" saltValue="0SSuk6d2ELf6Mg+MxT1QO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260</v>
      </c>
      <c r="C8" s="117"/>
      <c r="D8" s="117"/>
      <c r="E8" s="117"/>
      <c r="F8" s="118"/>
      <c r="G8" s="1"/>
    </row>
    <row r="9" spans="1:7" x14ac:dyDescent="0.25">
      <c r="A9" s="1"/>
      <c r="B9" s="85" t="s">
        <v>17</v>
      </c>
      <c r="C9" s="85" t="s">
        <v>11</v>
      </c>
      <c r="D9" s="86"/>
      <c r="E9" s="85" t="s">
        <v>28</v>
      </c>
      <c r="F9" s="32"/>
      <c r="G9" s="1"/>
    </row>
    <row r="10" spans="1:7" x14ac:dyDescent="0.25">
      <c r="A10" s="1"/>
      <c r="B10" s="24" t="s">
        <v>299</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gxHpkXh8JyTfvrIZ7nTwuqxPfczOkRpxaf43oJDnAKh2prPMXs8EryShon/b5LRUKM2oH5221Lk7Yj9TlbdWw==" saltValue="/TMN327kBMPFAMAXZws2y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236</v>
      </c>
      <c r="C10" s="141"/>
      <c r="D10" s="142"/>
      <c r="E10" s="9">
        <v>279595.21916468238</v>
      </c>
      <c r="F10" s="14" t="s">
        <v>3</v>
      </c>
      <c r="G10" s="1"/>
    </row>
    <row r="11" spans="1:7" x14ac:dyDescent="0.25">
      <c r="A11" s="1"/>
      <c r="B11" s="149" t="s">
        <v>10</v>
      </c>
      <c r="C11" s="150"/>
      <c r="D11" s="151"/>
      <c r="E11" s="9">
        <f>-E10*'Fane 5. Individuelt eff. krav'!G9</f>
        <v>-5591.9043832936477</v>
      </c>
      <c r="F11" s="14" t="s">
        <v>3</v>
      </c>
      <c r="G11" s="1"/>
    </row>
    <row r="12" spans="1:7" x14ac:dyDescent="0.25">
      <c r="A12" s="1"/>
      <c r="B12" s="149" t="s">
        <v>23</v>
      </c>
      <c r="C12" s="150"/>
      <c r="D12" s="151"/>
      <c r="E12" s="9">
        <f>-E10*'Fane 15. Nøgletal'!C33</f>
        <v>-5591.9043832936477</v>
      </c>
      <c r="F12" s="14" t="s">
        <v>3</v>
      </c>
      <c r="G12" s="1"/>
    </row>
    <row r="13" spans="1:7" x14ac:dyDescent="0.25">
      <c r="A13" s="1"/>
      <c r="B13" s="116" t="s">
        <v>111</v>
      </c>
      <c r="C13" s="117"/>
      <c r="D13" s="118"/>
      <c r="E13" s="12">
        <f>SUM(E10:E12)*(1+'Fane 15. Nøgletal'!C16)^2</f>
        <v>313539.05578880868</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236</v>
      </c>
      <c r="C16" s="141"/>
      <c r="D16" s="142"/>
      <c r="E16" s="9">
        <v>279595.21916468238</v>
      </c>
      <c r="F16" s="14" t="s">
        <v>3</v>
      </c>
      <c r="G16" s="1"/>
    </row>
    <row r="17" spans="1:7" x14ac:dyDescent="0.25">
      <c r="A17" s="1"/>
      <c r="B17" s="149" t="s">
        <v>10</v>
      </c>
      <c r="C17" s="150"/>
      <c r="D17" s="151"/>
      <c r="E17" s="9">
        <f>-E16*'Fane 5. Individuelt eff. krav'!G9</f>
        <v>-5591.9043832936477</v>
      </c>
      <c r="F17" s="14" t="s">
        <v>3</v>
      </c>
      <c r="G17" s="1"/>
    </row>
    <row r="18" spans="1:7" x14ac:dyDescent="0.25">
      <c r="A18" s="1"/>
      <c r="B18" s="149" t="s">
        <v>23</v>
      </c>
      <c r="C18" s="150"/>
      <c r="D18" s="151"/>
      <c r="E18" s="9">
        <f>-E16*'Fane 15. Nøgletal'!C33</f>
        <v>-5591.9043832936477</v>
      </c>
      <c r="F18" s="14" t="s">
        <v>3</v>
      </c>
      <c r="G18" s="1"/>
    </row>
    <row r="19" spans="1:7" x14ac:dyDescent="0.25">
      <c r="A19" s="1"/>
      <c r="B19" s="116" t="s">
        <v>125</v>
      </c>
      <c r="C19" s="117"/>
      <c r="D19" s="118"/>
      <c r="E19" s="12">
        <f>SUM(E16:E18)*(1+'Fane 15. Nøgletal'!C16)^3</f>
        <v>338873.01149654441</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236</v>
      </c>
      <c r="C22" s="141"/>
      <c r="D22" s="142"/>
      <c r="E22" s="9">
        <v>279595.21916468238</v>
      </c>
      <c r="F22" s="14" t="s">
        <v>3</v>
      </c>
      <c r="G22" s="1"/>
    </row>
    <row r="23" spans="1:7" x14ac:dyDescent="0.25">
      <c r="A23" s="1"/>
      <c r="B23" s="149" t="s">
        <v>10</v>
      </c>
      <c r="C23" s="150"/>
      <c r="D23" s="151"/>
      <c r="E23" s="9">
        <f>-E22*'Fane 5. Individuelt eff. krav'!G9</f>
        <v>-5591.9043832936477</v>
      </c>
      <c r="F23" s="14" t="s">
        <v>3</v>
      </c>
      <c r="G23" s="1"/>
    </row>
    <row r="24" spans="1:7" x14ac:dyDescent="0.25">
      <c r="A24" s="1"/>
      <c r="B24" s="149" t="s">
        <v>23</v>
      </c>
      <c r="C24" s="150"/>
      <c r="D24" s="151"/>
      <c r="E24" s="9">
        <f>-E22*'Fane 15. Nøgletal'!C33</f>
        <v>-5591.9043832936477</v>
      </c>
      <c r="F24" s="14" t="s">
        <v>3</v>
      </c>
      <c r="G24" s="1"/>
    </row>
    <row r="25" spans="1:7" x14ac:dyDescent="0.25">
      <c r="A25" s="1"/>
      <c r="B25" s="116" t="s">
        <v>146</v>
      </c>
      <c r="C25" s="117"/>
      <c r="D25" s="118"/>
      <c r="E25" s="12">
        <f>SUM(E22:E24)*(1+'Fane 15. Nøgletal'!C16)^4</f>
        <v>366253.95082546514</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0" t="s">
        <v>236</v>
      </c>
      <c r="C28" s="141"/>
      <c r="D28" s="142"/>
      <c r="E28" s="9">
        <v>279595.21916468238</v>
      </c>
      <c r="F28" s="14" t="s">
        <v>3</v>
      </c>
      <c r="G28" s="1"/>
    </row>
    <row r="29" spans="1:7" x14ac:dyDescent="0.25">
      <c r="A29" s="1"/>
      <c r="B29" s="149" t="s">
        <v>10</v>
      </c>
      <c r="C29" s="150"/>
      <c r="D29" s="151"/>
      <c r="E29" s="9">
        <f>-E28*'Fane 5. Individuelt eff. krav'!G9</f>
        <v>-5591.9043832936477</v>
      </c>
      <c r="F29" s="14" t="s">
        <v>3</v>
      </c>
      <c r="G29" s="1"/>
    </row>
    <row r="30" spans="1:7" x14ac:dyDescent="0.25">
      <c r="A30" s="1"/>
      <c r="B30" s="149" t="s">
        <v>23</v>
      </c>
      <c r="C30" s="150"/>
      <c r="D30" s="151"/>
      <c r="E30" s="9">
        <f>-E28*'Fane 15. Nøgletal'!C33</f>
        <v>-5591.9043832936477</v>
      </c>
      <c r="F30" s="14" t="s">
        <v>3</v>
      </c>
      <c r="G30" s="1"/>
    </row>
    <row r="31" spans="1:7" x14ac:dyDescent="0.25">
      <c r="A31" s="1"/>
      <c r="B31" s="116" t="s">
        <v>238</v>
      </c>
      <c r="C31" s="117"/>
      <c r="D31" s="118"/>
      <c r="E31" s="12">
        <f>SUM(E28:E30)*(1+'Fane 15. Nøgletal'!C16)^5</f>
        <v>395847.27005216276</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BFZOD6UcSItOWgQUwsiSdqUplql/Xr25+6T1GLO+TOiP+LdQyxZE53gXC3Udf6bpXWqwHFx/3G7kmED1Tg/bg==" saltValue="0oIr3sUh1tTndsdH6J33L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bS7FVlGjHZStfG/cAnKh0C3jEH0AfghLaJgvWpGKV+6y9bH575v0IcEok8tR0YgzA+hwJcnoiGJLEEAlVyHzzg==" saltValue="HwVelX/xAAYAUb3oy6aVi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Uv6SQ437vxLpe8aNsUxYFE8B5ZdrvFTFVcRAw/j0iUo+aeXPsrUUu2X96uz+qpqHy3/VtDlFqyPnhtbIJODcA==" saltValue="drY0xRfYnT22i0h/q8alU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38643507.784393229</v>
      </c>
      <c r="D9" s="8" t="s">
        <v>3</v>
      </c>
      <c r="E9" s="1"/>
    </row>
    <row r="10" spans="1:5" ht="17.25" customHeight="1" x14ac:dyDescent="0.25">
      <c r="A10" s="1"/>
      <c r="B10" s="87" t="s">
        <v>36</v>
      </c>
      <c r="C10" s="7">
        <f>'Fane 11.1. Varige tillæg'!C25</f>
        <v>2900278.1639999999</v>
      </c>
      <c r="D10" s="8" t="s">
        <v>3</v>
      </c>
      <c r="E10" s="1"/>
    </row>
    <row r="11" spans="1:5" ht="17.25" customHeight="1" x14ac:dyDescent="0.25">
      <c r="A11" s="1"/>
      <c r="B11" s="87" t="s">
        <v>37</v>
      </c>
      <c r="C11" s="9">
        <f>'Fane 11.1. Varige tillæg'!E25</f>
        <v>1078622.1880000001</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3443890.5774205728</v>
      </c>
      <c r="D16" s="8" t="s">
        <v>3</v>
      </c>
      <c r="E16" s="1"/>
    </row>
    <row r="17" spans="1:5" ht="17.25" customHeight="1" x14ac:dyDescent="0.25">
      <c r="A17" s="1"/>
      <c r="B17" s="87" t="s">
        <v>10</v>
      </c>
      <c r="C17" s="41">
        <f>-SUM(C9,C10:C16)*'Fane 5. Individuelt eff. krav'!G9</f>
        <v>-921325.97427627596</v>
      </c>
      <c r="D17" s="8" t="s">
        <v>3</v>
      </c>
      <c r="E17" s="1"/>
    </row>
    <row r="18" spans="1:5" ht="17.25" customHeight="1" x14ac:dyDescent="0.25">
      <c r="A18" s="1"/>
      <c r="B18" s="87" t="s">
        <v>23</v>
      </c>
      <c r="C18" s="41">
        <f>-'Fane 4.1. Gen. krav - drift'!G54</f>
        <v>-576117.68386620551</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44568855.055671319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4286680.5020793602</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313539.05578880868</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0</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0</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-370476.5</v>
      </c>
      <c r="D32" s="11" t="s">
        <v>3</v>
      </c>
      <c r="E32" s="1"/>
    </row>
    <row r="33" spans="1:5" ht="15" customHeight="1" x14ac:dyDescent="0.25">
      <c r="A33" s="1"/>
      <c r="B33" s="33" t="s">
        <v>200</v>
      </c>
      <c r="C33" s="28"/>
      <c r="D33" s="19"/>
      <c r="E33" s="1"/>
    </row>
    <row r="34" spans="1:5" x14ac:dyDescent="0.25">
      <c r="A34" s="1"/>
      <c r="B34" s="31" t="s">
        <v>200</v>
      </c>
      <c r="C34" s="10">
        <f>'Fane 9. Korrektion af ØR2022'!E17</f>
        <v>-793280.46562534268</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300</v>
      </c>
      <c r="C37" s="28"/>
      <c r="D37" s="19"/>
      <c r="E37" s="1"/>
    </row>
    <row r="38" spans="1:5" x14ac:dyDescent="0.25">
      <c r="A38" s="1"/>
      <c r="B38" s="70" t="s">
        <v>301</v>
      </c>
      <c r="C38" s="10">
        <v>1675085.7172961724</v>
      </c>
      <c r="D38" s="11" t="s">
        <v>3</v>
      </c>
      <c r="E38" s="1"/>
    </row>
    <row r="39" spans="1:5" x14ac:dyDescent="0.25">
      <c r="A39" s="1"/>
      <c r="B39" s="33" t="s">
        <v>108</v>
      </c>
      <c r="C39" s="49">
        <f>SUM(C34,C32,C24,C30,C22,C20,C36,C38)</f>
        <v>49680403.365210325</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32X13ZlBIMXEl98II4OeYkxOZz6TDuwSFAdE9EhHBdDDsHV9AUpILhtm0F92ArBasI8uczRV/+mmWPnmZHMkw==" saltValue="XZCFJiRrn4ld+jtuWBoDc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hNOabANIE5fXZv9l7lTBLHSR3m62z2N1A6qaxjLSmnoN4eGrMAQwv0wZrkFvJm7H07IhIV1tETjERyHVvcMX0A==" saltValue="9D4BgQI6gvwCq+iQ5j0Ca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44568855.055671319</v>
      </c>
      <c r="D9" s="8" t="s">
        <v>3</v>
      </c>
      <c r="E9" s="1"/>
    </row>
    <row r="10" spans="1:5" ht="15" customHeight="1" x14ac:dyDescent="0.25">
      <c r="A10" s="1"/>
      <c r="B10" s="26" t="s">
        <v>19</v>
      </c>
      <c r="C10" s="7">
        <f>SUM(C9:C9)*'Fane 15. Nøgletal'!C16</f>
        <v>3601163.4884982426</v>
      </c>
      <c r="D10" s="8" t="s">
        <v>3</v>
      </c>
      <c r="E10" s="1"/>
    </row>
    <row r="11" spans="1:5" ht="15" customHeight="1" x14ac:dyDescent="0.25">
      <c r="A11" s="1"/>
      <c r="B11" s="26" t="s">
        <v>10</v>
      </c>
      <c r="C11" s="9">
        <f>-SUM(C9:C10)*'Fane 5. Individuelt eff. krav'!G9</f>
        <v>-963400.37088339124</v>
      </c>
      <c r="D11" s="8" t="s">
        <v>3</v>
      </c>
      <c r="E11" s="1"/>
    </row>
    <row r="12" spans="1:5" ht="15" customHeight="1" x14ac:dyDescent="0.25">
      <c r="A12" s="1"/>
      <c r="B12" s="26" t="s">
        <v>23</v>
      </c>
      <c r="C12" s="9">
        <f>-'Fane 4.1. Gen. krav - drift'!G59</f>
        <v>-610214.63286814303</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46596403.540418029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4633044.2866473729</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338873.01149654441</v>
      </c>
      <c r="D18" s="11" t="s">
        <v>3</v>
      </c>
      <c r="E18" s="1"/>
    </row>
    <row r="19" spans="1:5" x14ac:dyDescent="0.25">
      <c r="A19" s="1"/>
      <c r="B19" s="33" t="s">
        <v>116</v>
      </c>
      <c r="C19" s="28"/>
      <c r="D19" s="19"/>
      <c r="E19" s="1"/>
    </row>
    <row r="20" spans="1:5" ht="15" customHeight="1" x14ac:dyDescent="0.25">
      <c r="A20" s="1"/>
      <c r="B20" s="31" t="s">
        <v>138</v>
      </c>
      <c r="C20" s="10">
        <f>'Fane 7. Kontrol af ØR2022'!E31</f>
        <v>-370476.5</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51197844.338561945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IzHuIqBvpOzjbvIE1mGHmOgQlpPKLd/xlu2rvpJZURbgZ0kp0VoE18/z3rkFWlqc9JD8cuuJ0JuvZx23Fk5rg==" saltValue="tnkNw/XVbQNGCl+iUfhpm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46596403.540418029</v>
      </c>
      <c r="D9" s="8" t="s">
        <v>3</v>
      </c>
      <c r="E9" s="1"/>
    </row>
    <row r="10" spans="1:5" ht="15" customHeight="1" x14ac:dyDescent="0.25">
      <c r="A10" s="1"/>
      <c r="B10" s="26" t="s">
        <v>19</v>
      </c>
      <c r="C10" s="7">
        <f>SUM(C9:C9)*'Fane 15. Nøgletal'!C16</f>
        <v>3764989.4060657765</v>
      </c>
      <c r="D10" s="8" t="s">
        <v>3</v>
      </c>
      <c r="E10" s="1"/>
    </row>
    <row r="11" spans="1:5" ht="15" customHeight="1" x14ac:dyDescent="0.25">
      <c r="A11" s="1"/>
      <c r="B11" s="26" t="s">
        <v>10</v>
      </c>
      <c r="C11" s="9">
        <f>-SUM(C9:C10)*'Fane 5. Individuelt eff. krav'!G9</f>
        <v>-1007227.8589296761</v>
      </c>
      <c r="D11" s="8" t="s">
        <v>3</v>
      </c>
      <c r="E11" s="1"/>
    </row>
    <row r="12" spans="1:5" ht="15" customHeight="1" x14ac:dyDescent="0.25">
      <c r="A12" s="1"/>
      <c r="B12" s="26" t="s">
        <v>23</v>
      </c>
      <c r="C12" s="9">
        <f>-'Fane 4.1. Gen. krav - drift'!G64</f>
        <v>-646329.5756998111</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48707835.511854313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5007394.2650084803</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366253.95082546514</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54081483.72768826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5205rvNFhE1kKmgVfVHXC5BljnXbIgYzwUsrl2r+eliruepXlwD+dVmGyigCEQDqkN5KG8FaVF0BfxFW022FQ==" saltValue="XLtzxwTCns8v65dV3XYhX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48707835.511854313</v>
      </c>
      <c r="D9" s="8" t="s">
        <v>3</v>
      </c>
      <c r="E9" s="1"/>
      <c r="F9" s="1"/>
    </row>
    <row r="10" spans="1:6" ht="15" customHeight="1" x14ac:dyDescent="0.25">
      <c r="A10" s="1"/>
      <c r="B10" s="26" t="s">
        <v>19</v>
      </c>
      <c r="C10" s="7">
        <f>SUM(C9:C9)*'Fane 15. Nøgletal'!C16</f>
        <v>3935593.1093578283</v>
      </c>
      <c r="D10" s="8" t="s">
        <v>3</v>
      </c>
      <c r="E10" s="1"/>
      <c r="F10" s="1"/>
    </row>
    <row r="11" spans="1:6" ht="15" customHeight="1" x14ac:dyDescent="0.25">
      <c r="A11" s="1"/>
      <c r="B11" s="26" t="s">
        <v>10</v>
      </c>
      <c r="C11" s="9">
        <f>-SUM(C9:C10)*'Fane 5. Individuelt eff. krav'!G9</f>
        <v>-1052868.5724242427</v>
      </c>
      <c r="D11" s="8" t="s">
        <v>3</v>
      </c>
      <c r="E11" s="1"/>
      <c r="F11" s="1"/>
    </row>
    <row r="12" spans="1:6" ht="15" customHeight="1" x14ac:dyDescent="0.25">
      <c r="A12" s="1"/>
      <c r="B12" s="26" t="s">
        <v>23</v>
      </c>
      <c r="C12" s="9">
        <f>-'Fane 4.1. Gen. krav - drift'!G69</f>
        <v>-684581.94530802872</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50905978.10347987</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5411991.7216211651</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395847.27005216276</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56713817.095153198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OBN0VPkLOpxkBZBx+98BnSdgYilrAR2YPIudlLaa17zJkBAG32ZAIoiYR7ga3YJ30LDd63VhTy1Ii8cbwoAAaA==" saltValue="2y/b9e79JpZwZfiCEv5Kr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40051130.341835327</v>
      </c>
      <c r="D9" s="8" t="s">
        <v>3</v>
      </c>
      <c r="E9" s="1"/>
    </row>
    <row r="10" spans="1:5" x14ac:dyDescent="0.25">
      <c r="A10" s="1"/>
      <c r="B10" s="87" t="s">
        <v>36</v>
      </c>
      <c r="C10" s="7">
        <v>0</v>
      </c>
      <c r="D10" s="8" t="s">
        <v>3</v>
      </c>
      <c r="E10" s="1"/>
    </row>
    <row r="11" spans="1:5" x14ac:dyDescent="0.25">
      <c r="A11" s="1"/>
      <c r="B11" s="87" t="s">
        <v>37</v>
      </c>
      <c r="C11" s="9">
        <v>0</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132168.73012805657</v>
      </c>
      <c r="D16" s="8" t="s">
        <v>3</v>
      </c>
      <c r="E16" s="1"/>
    </row>
    <row r="17" spans="1:5" x14ac:dyDescent="0.25">
      <c r="A17" s="1"/>
      <c r="B17" s="87" t="s">
        <v>10</v>
      </c>
      <c r="C17" s="41">
        <v>-803665.98143926775</v>
      </c>
      <c r="D17" s="8" t="s">
        <v>3</v>
      </c>
      <c r="E17" s="1"/>
    </row>
    <row r="18" spans="1:5" x14ac:dyDescent="0.25">
      <c r="A18" s="1"/>
      <c r="B18" s="87" t="s">
        <v>23</v>
      </c>
      <c r="C18" s="41">
        <v>-484736.61901348724</v>
      </c>
      <c r="D18" s="8" t="s">
        <v>3</v>
      </c>
      <c r="E18" s="1"/>
    </row>
    <row r="19" spans="1:5" x14ac:dyDescent="0.25">
      <c r="A19" s="1"/>
      <c r="B19" s="87" t="s">
        <v>24</v>
      </c>
      <c r="C19" s="41">
        <v>-251388.68711740026</v>
      </c>
      <c r="D19" s="8" t="s">
        <v>3</v>
      </c>
      <c r="E19" s="47"/>
    </row>
    <row r="20" spans="1:5" x14ac:dyDescent="0.25">
      <c r="A20" s="1"/>
      <c r="B20" s="81" t="s">
        <v>21</v>
      </c>
      <c r="C20" s="10">
        <v>38643507.784393229</v>
      </c>
      <c r="D20" s="11" t="s">
        <v>3</v>
      </c>
      <c r="E20" s="1"/>
    </row>
    <row r="21" spans="1:5" x14ac:dyDescent="0.25">
      <c r="A21" s="1"/>
      <c r="B21" s="33" t="s">
        <v>12</v>
      </c>
      <c r="C21" s="28"/>
      <c r="D21" s="19"/>
      <c r="E21" s="1"/>
    </row>
    <row r="22" spans="1:5" x14ac:dyDescent="0.25">
      <c r="A22" s="1"/>
      <c r="B22" s="31" t="s">
        <v>12</v>
      </c>
      <c r="C22" s="10">
        <v>4496051.2899600007</v>
      </c>
      <c r="D22" s="11" t="s">
        <v>3</v>
      </c>
      <c r="E22" s="1"/>
    </row>
    <row r="23" spans="1:5" x14ac:dyDescent="0.25">
      <c r="A23" s="1"/>
      <c r="B23" s="33" t="s">
        <v>74</v>
      </c>
      <c r="C23" s="28"/>
      <c r="D23" s="19"/>
      <c r="E23" s="1"/>
    </row>
    <row r="24" spans="1:5" x14ac:dyDescent="0.25">
      <c r="A24" s="1"/>
      <c r="B24" s="81" t="s">
        <v>74</v>
      </c>
      <c r="C24" s="10">
        <v>286915.65504188341</v>
      </c>
      <c r="D24" s="11" t="s">
        <v>3</v>
      </c>
      <c r="E24" s="1"/>
    </row>
    <row r="25" spans="1:5" x14ac:dyDescent="0.25">
      <c r="A25" s="1"/>
      <c r="B25" s="44" t="s">
        <v>73</v>
      </c>
      <c r="C25" s="42"/>
      <c r="D25" s="43"/>
      <c r="E25" s="1"/>
    </row>
    <row r="26" spans="1:5" x14ac:dyDescent="0.25">
      <c r="A26" s="1"/>
      <c r="B26" s="87" t="s">
        <v>158</v>
      </c>
      <c r="C26" s="69">
        <v>0</v>
      </c>
      <c r="D26" s="8" t="s">
        <v>3</v>
      </c>
      <c r="E26" s="1"/>
    </row>
    <row r="27" spans="1:5" x14ac:dyDescent="0.25">
      <c r="A27" s="1"/>
      <c r="B27" s="87" t="s">
        <v>70</v>
      </c>
      <c r="C27" s="69">
        <v>0</v>
      </c>
      <c r="D27" s="8" t="s">
        <v>3</v>
      </c>
      <c r="E27" s="1"/>
    </row>
    <row r="28" spans="1:5" x14ac:dyDescent="0.25">
      <c r="A28" s="1"/>
      <c r="B28" s="87" t="s">
        <v>161</v>
      </c>
      <c r="C28" s="69">
        <v>0</v>
      </c>
      <c r="D28" s="8" t="s">
        <v>3</v>
      </c>
      <c r="E28" s="1"/>
    </row>
    <row r="29" spans="1:5" x14ac:dyDescent="0.25">
      <c r="A29" s="1"/>
      <c r="B29" s="87"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-1856545.1543813832</v>
      </c>
      <c r="D32" s="11" t="s">
        <v>3</v>
      </c>
      <c r="E32" s="1"/>
    </row>
    <row r="33" spans="1:5" x14ac:dyDescent="0.25">
      <c r="A33" s="1"/>
      <c r="B33" s="33" t="s">
        <v>266</v>
      </c>
      <c r="C33" s="28"/>
      <c r="D33" s="19"/>
      <c r="E33" s="1"/>
    </row>
    <row r="34" spans="1:5" x14ac:dyDescent="0.25">
      <c r="A34" s="1"/>
      <c r="B34" s="31" t="s">
        <v>266</v>
      </c>
      <c r="C34" s="10">
        <v>-437807.61267369078</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41132121.962340042</v>
      </c>
      <c r="D37" s="30" t="s">
        <v>3</v>
      </c>
      <c r="E37" s="1"/>
    </row>
    <row r="38" spans="1:5" ht="30" customHeight="1" x14ac:dyDescent="0.25">
      <c r="A38" s="1"/>
      <c r="B38" s="111" t="s">
        <v>268</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nvKdt0gRQt4HrH2zFDriFDF5ZBoZePIjV88c1hFC0dIheQy4uI4gl1JsJdGPjJPkytlHaCitDclT/mfXR8Tcw==" saltValue="ZitCfu20gXc8uwJvZtfpG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6" t="s">
        <v>46</v>
      </c>
      <c r="C4" s="117"/>
      <c r="D4" s="117"/>
      <c r="E4" s="117"/>
      <c r="F4" s="117"/>
      <c r="G4" s="117"/>
      <c r="H4" s="118"/>
      <c r="I4" s="1"/>
    </row>
    <row r="5" spans="1:9" x14ac:dyDescent="0.25">
      <c r="A5" s="1"/>
      <c r="B5" s="119" t="s">
        <v>38</v>
      </c>
      <c r="C5" s="120"/>
      <c r="D5" s="120"/>
      <c r="E5" s="120"/>
      <c r="F5" s="121"/>
      <c r="G5" s="63">
        <v>23851367.769403886</v>
      </c>
      <c r="H5" s="14" t="s">
        <v>3</v>
      </c>
      <c r="I5" s="1"/>
    </row>
    <row r="6" spans="1:9" x14ac:dyDescent="0.25">
      <c r="A6" s="1"/>
      <c r="B6" s="113" t="s">
        <v>102</v>
      </c>
      <c r="C6" s="114"/>
      <c r="D6" s="114"/>
      <c r="E6" s="114"/>
      <c r="F6" s="115"/>
      <c r="G6" s="66">
        <v>260945</v>
      </c>
      <c r="H6" s="14" t="s">
        <v>3</v>
      </c>
      <c r="I6" s="1"/>
    </row>
    <row r="7" spans="1:9" x14ac:dyDescent="0.25">
      <c r="A7" s="1"/>
      <c r="B7" s="119" t="s">
        <v>39</v>
      </c>
      <c r="C7" s="120"/>
      <c r="D7" s="120"/>
      <c r="E7" s="120"/>
      <c r="F7" s="121"/>
      <c r="G7" s="23">
        <f>SUM(G5:G6)*'Fane 15. Nøgletal'!C33</f>
        <v>482246.25538807776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23778081.140511088</v>
      </c>
      <c r="H11" s="14" t="s">
        <v>3</v>
      </c>
      <c r="I11" s="1"/>
    </row>
    <row r="12" spans="1:9" ht="15" customHeight="1" x14ac:dyDescent="0.25">
      <c r="A12" s="1"/>
      <c r="B12" s="119" t="s">
        <v>103</v>
      </c>
      <c r="C12" s="120"/>
      <c r="D12" s="120"/>
      <c r="E12" s="120"/>
      <c r="F12" s="121"/>
      <c r="G12" s="66">
        <v>172561.27396173589</v>
      </c>
      <c r="H12" s="14" t="s">
        <v>3</v>
      </c>
      <c r="I12" s="1"/>
    </row>
    <row r="13" spans="1:9" x14ac:dyDescent="0.25">
      <c r="A13" s="1"/>
      <c r="B13" s="113" t="s">
        <v>100</v>
      </c>
      <c r="C13" s="114"/>
      <c r="D13" s="114"/>
      <c r="E13" s="114"/>
      <c r="F13" s="115"/>
      <c r="G13" s="66">
        <v>265510.63979180605</v>
      </c>
      <c r="H13" s="14" t="s">
        <v>3</v>
      </c>
      <c r="I13" s="1"/>
    </row>
    <row r="14" spans="1:9" x14ac:dyDescent="0.25">
      <c r="A14" s="1"/>
      <c r="B14" s="122" t="s">
        <v>244</v>
      </c>
      <c r="C14" s="123"/>
      <c r="D14" s="123"/>
      <c r="E14" s="123"/>
      <c r="F14" s="124"/>
      <c r="G14" s="66">
        <v>0</v>
      </c>
      <c r="H14" s="14" t="s">
        <v>3</v>
      </c>
      <c r="I14" s="1"/>
    </row>
    <row r="15" spans="1:9" x14ac:dyDescent="0.25">
      <c r="A15" s="1"/>
      <c r="B15" s="119" t="s">
        <v>41</v>
      </c>
      <c r="C15" s="120"/>
      <c r="D15" s="120"/>
      <c r="E15" s="120"/>
      <c r="F15" s="121"/>
      <c r="G15" s="23">
        <f>SUM(G11:G14)*'Fane 15. Nøgletal'!C33</f>
        <v>484323.0610852926</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23876979.942071818</v>
      </c>
      <c r="H19" s="14" t="s">
        <v>3</v>
      </c>
      <c r="I19" s="1"/>
    </row>
    <row r="20" spans="1:9" x14ac:dyDescent="0.25">
      <c r="A20" s="1"/>
      <c r="B20" s="122" t="s">
        <v>245</v>
      </c>
      <c r="C20" s="123"/>
      <c r="D20" s="123"/>
      <c r="E20" s="123"/>
      <c r="F20" s="124"/>
      <c r="G20" s="66">
        <v>0</v>
      </c>
      <c r="H20" s="14" t="s">
        <v>3</v>
      </c>
      <c r="I20" s="1"/>
    </row>
    <row r="21" spans="1:9" x14ac:dyDescent="0.25">
      <c r="A21" s="1"/>
      <c r="B21" s="119" t="s">
        <v>43</v>
      </c>
      <c r="C21" s="120"/>
      <c r="D21" s="120"/>
      <c r="E21" s="120"/>
      <c r="F21" s="121"/>
      <c r="G21" s="23">
        <f>SUM(G19:G20)*'Fane 15. Nøgletal'!C33</f>
        <v>477539.59884143638</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23860409.31799202</v>
      </c>
      <c r="H25" s="14" t="s">
        <v>3</v>
      </c>
      <c r="I25" s="1"/>
    </row>
    <row r="26" spans="1:9" x14ac:dyDescent="0.25">
      <c r="A26" s="1"/>
      <c r="B26" s="122" t="s">
        <v>246</v>
      </c>
      <c r="C26" s="123"/>
      <c r="D26" s="123"/>
      <c r="E26" s="123"/>
      <c r="F26" s="124"/>
      <c r="G26" s="66">
        <v>0</v>
      </c>
      <c r="H26" s="14" t="s">
        <v>3</v>
      </c>
      <c r="I26" s="1"/>
    </row>
    <row r="27" spans="1:9" x14ac:dyDescent="0.25">
      <c r="A27" s="1"/>
      <c r="B27" s="119" t="s">
        <v>45</v>
      </c>
      <c r="C27" s="120"/>
      <c r="D27" s="120"/>
      <c r="E27" s="120"/>
      <c r="F27" s="121"/>
      <c r="G27" s="23">
        <f>(G25+G26)*'Fane 15. Nøgletal'!C33</f>
        <v>477208.18635984045</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23843850.193925332</v>
      </c>
      <c r="H31" s="14" t="s">
        <v>3</v>
      </c>
      <c r="I31" s="1"/>
    </row>
    <row r="32" spans="1:9" x14ac:dyDescent="0.25">
      <c r="A32" s="1"/>
      <c r="B32" s="119" t="s">
        <v>243</v>
      </c>
      <c r="C32" s="120"/>
      <c r="D32" s="120"/>
      <c r="E32" s="120"/>
      <c r="F32" s="121"/>
      <c r="G32" s="63">
        <v>0</v>
      </c>
      <c r="H32" s="14" t="s">
        <v>3</v>
      </c>
      <c r="I32" s="1"/>
    </row>
    <row r="33" spans="1:9" x14ac:dyDescent="0.25">
      <c r="A33" s="1"/>
      <c r="B33" s="119" t="s">
        <v>54</v>
      </c>
      <c r="C33" s="120"/>
      <c r="D33" s="120"/>
      <c r="E33" s="120"/>
      <c r="F33" s="121"/>
      <c r="G33" s="23">
        <f>(G31+G32)*'Fane 15. Nøgletal'!C33</f>
        <v>476877.00387850666</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23444084.201573979</v>
      </c>
      <c r="H37" s="14" t="s">
        <v>3</v>
      </c>
      <c r="I37" s="1"/>
    </row>
    <row r="38" spans="1:9" x14ac:dyDescent="0.25">
      <c r="A38" s="1"/>
      <c r="B38" s="119" t="s">
        <v>242</v>
      </c>
      <c r="C38" s="120"/>
      <c r="D38" s="120"/>
      <c r="E38" s="120"/>
      <c r="F38" s="121"/>
      <c r="G38" s="63">
        <v>1206030.5734179001</v>
      </c>
      <c r="H38" s="14" t="s">
        <v>3</v>
      </c>
      <c r="I38" s="1"/>
    </row>
    <row r="39" spans="1:9" x14ac:dyDescent="0.25">
      <c r="A39" s="1"/>
      <c r="B39" s="119" t="s">
        <v>128</v>
      </c>
      <c r="C39" s="120"/>
      <c r="D39" s="120"/>
      <c r="E39" s="120"/>
      <c r="F39" s="121"/>
      <c r="G39" s="23">
        <f>(G37+G38)*'Fane 15. Nøgletal'!C33</f>
        <v>493002.29549983755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24236830.950674362</v>
      </c>
      <c r="H43" s="14" t="s">
        <v>3</v>
      </c>
      <c r="I43" s="1"/>
    </row>
    <row r="44" spans="1:9" x14ac:dyDescent="0.25">
      <c r="A44" s="1"/>
      <c r="B44" s="125" t="s">
        <v>157</v>
      </c>
      <c r="C44" s="126"/>
      <c r="D44" s="126"/>
      <c r="E44" s="126"/>
      <c r="F44" s="127"/>
      <c r="G44" s="63">
        <v>0</v>
      </c>
      <c r="H44" s="14" t="s">
        <v>3</v>
      </c>
      <c r="I44" s="1"/>
    </row>
    <row r="45" spans="1:9" x14ac:dyDescent="0.25">
      <c r="A45" s="1"/>
      <c r="B45" s="119" t="s">
        <v>129</v>
      </c>
      <c r="C45" s="120"/>
      <c r="D45" s="120"/>
      <c r="E45" s="120"/>
      <c r="F45" s="121"/>
      <c r="G45" s="23">
        <f>SUM(G43:G44)*'Fane 15. Nøgletal'!C33</f>
        <v>484736.61901348724</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25671263.553659074</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3134620.6396511998</v>
      </c>
      <c r="H53" s="14" t="s">
        <v>3</v>
      </c>
      <c r="I53" s="1"/>
    </row>
    <row r="54" spans="1:9" x14ac:dyDescent="0.25">
      <c r="A54" s="1"/>
      <c r="B54" s="119" t="s">
        <v>210</v>
      </c>
      <c r="C54" s="120"/>
      <c r="D54" s="120"/>
      <c r="E54" s="120"/>
      <c r="F54" s="121"/>
      <c r="G54" s="23">
        <f>(G52)*'Fane 15. Nøgletal'!C33+(G53)*'Fane 15. Nøgletal'!C33</f>
        <v>576117.68386620551</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77" t="s">
        <v>212</v>
      </c>
      <c r="C58" s="78"/>
      <c r="D58" s="78"/>
      <c r="E58" s="78"/>
      <c r="F58" s="79"/>
      <c r="G58" s="23">
        <f>(G52+G53-G54)*(1+'Fane 15. Nøgletal'!C16)</f>
        <v>30510731.643407151</v>
      </c>
      <c r="H58" s="14" t="s">
        <v>3</v>
      </c>
      <c r="I58" s="1"/>
    </row>
    <row r="59" spans="1:9" x14ac:dyDescent="0.25">
      <c r="A59" s="1"/>
      <c r="B59" s="77" t="s">
        <v>211</v>
      </c>
      <c r="C59" s="78"/>
      <c r="D59" s="78"/>
      <c r="E59" s="78"/>
      <c r="F59" s="79"/>
      <c r="G59" s="23">
        <f>(G58)*'Fane 15. Nøgletal'!C33</f>
        <v>610214.63286814303</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256</v>
      </c>
      <c r="C62" s="117"/>
      <c r="D62" s="117"/>
      <c r="E62" s="117"/>
      <c r="F62" s="117"/>
      <c r="G62" s="117"/>
      <c r="H62" s="118"/>
      <c r="I62" s="1"/>
    </row>
    <row r="63" spans="1:9" x14ac:dyDescent="0.25">
      <c r="A63" s="1"/>
      <c r="B63" s="77" t="s">
        <v>213</v>
      </c>
      <c r="C63" s="78"/>
      <c r="D63" s="78"/>
      <c r="E63" s="78"/>
      <c r="F63" s="79"/>
      <c r="G63" s="23">
        <f>(G58-G59)*(1+'Fane 15. Nøgletal'!C16)</f>
        <v>32316478.784990557</v>
      </c>
      <c r="H63" s="14" t="s">
        <v>3</v>
      </c>
      <c r="I63" s="1"/>
    </row>
    <row r="64" spans="1:9" x14ac:dyDescent="0.25">
      <c r="A64" s="1"/>
      <c r="B64" s="77" t="s">
        <v>214</v>
      </c>
      <c r="C64" s="78"/>
      <c r="D64" s="78"/>
      <c r="E64" s="78"/>
      <c r="F64" s="79"/>
      <c r="G64" s="23">
        <f>(G63)*'Fane 15. Nøgletal'!C33</f>
        <v>646329.5756998111</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257</v>
      </c>
      <c r="C67" s="117"/>
      <c r="D67" s="117"/>
      <c r="E67" s="117"/>
      <c r="F67" s="117"/>
      <c r="G67" s="117"/>
      <c r="H67" s="118"/>
      <c r="I67" s="1"/>
    </row>
    <row r="68" spans="1:9" x14ac:dyDescent="0.25">
      <c r="A68" s="1"/>
      <c r="B68" s="77" t="s">
        <v>213</v>
      </c>
      <c r="C68" s="78"/>
      <c r="D68" s="78"/>
      <c r="E68" s="78"/>
      <c r="F68" s="79"/>
      <c r="G68" s="23">
        <f>(G63-G64)*(1+'Fane 15. Nøgletal'!C16)</f>
        <v>34229097.265401438</v>
      </c>
      <c r="H68" s="14" t="s">
        <v>3</v>
      </c>
      <c r="I68" s="1"/>
    </row>
    <row r="69" spans="1:9" x14ac:dyDescent="0.25">
      <c r="A69" s="1"/>
      <c r="B69" s="77" t="s">
        <v>214</v>
      </c>
      <c r="C69" s="78"/>
      <c r="D69" s="78"/>
      <c r="E69" s="78"/>
      <c r="F69" s="79"/>
      <c r="G69" s="23">
        <f>(G68)*'Fane 15. Nøgletal'!C33</f>
        <v>684581.94530802872</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M5ZQSekAP54ViSGPwTBA042SwDf0hgmDptL/BmOgtGELaRR+2/EciTE4Tu99VJB5RtRJkerl/JtciHRFAiAMFA==" saltValue="yAYGowR3Cnsah0Mo9c6fI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63">
        <v>17436331.202303279</v>
      </c>
      <c r="H5" s="14" t="s">
        <v>3</v>
      </c>
      <c r="I5" s="1"/>
    </row>
    <row r="6" spans="1:9" x14ac:dyDescent="0.25">
      <c r="A6" s="1"/>
      <c r="B6" s="119" t="s">
        <v>51</v>
      </c>
      <c r="C6" s="120"/>
      <c r="D6" s="120"/>
      <c r="E6" s="120"/>
      <c r="F6" s="121"/>
      <c r="G6" s="23">
        <f>G5*'Fane 15. Nøgletal'!C21</f>
        <v>158670.61394095985</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17580019.648658659</v>
      </c>
      <c r="H10" s="14" t="s">
        <v>3</v>
      </c>
      <c r="I10" s="1"/>
    </row>
    <row r="11" spans="1:9" x14ac:dyDescent="0.25">
      <c r="A11" s="1"/>
      <c r="B11" s="119" t="s">
        <v>104</v>
      </c>
      <c r="C11" s="120"/>
      <c r="D11" s="120"/>
      <c r="E11" s="120"/>
      <c r="F11" s="121"/>
      <c r="G11" s="63">
        <v>-60375.032856828257</v>
      </c>
      <c r="H11" s="14" t="s">
        <v>3</v>
      </c>
      <c r="I11" s="1"/>
    </row>
    <row r="12" spans="1:9" x14ac:dyDescent="0.25">
      <c r="A12" s="1"/>
      <c r="B12" s="122" t="s">
        <v>247</v>
      </c>
      <c r="C12" s="123"/>
      <c r="D12" s="123"/>
      <c r="E12" s="123"/>
      <c r="F12" s="124"/>
      <c r="G12" s="66">
        <v>0</v>
      </c>
      <c r="H12" s="14" t="s">
        <v>3</v>
      </c>
      <c r="I12" s="1"/>
    </row>
    <row r="13" spans="1:9" x14ac:dyDescent="0.25">
      <c r="A13" s="1"/>
      <c r="B13" s="119" t="s">
        <v>58</v>
      </c>
      <c r="C13" s="120"/>
      <c r="D13" s="120"/>
      <c r="E13" s="120"/>
      <c r="F13" s="121"/>
      <c r="G13" s="23">
        <f>SUM(G10:G12)*'Fane 15. Nøgletal'!C22</f>
        <v>310097.70969969238</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17510713.976958923</v>
      </c>
      <c r="H17" s="14" t="s">
        <v>3</v>
      </c>
      <c r="I17" s="1"/>
    </row>
    <row r="18" spans="1:9" x14ac:dyDescent="0.25">
      <c r="A18" s="1"/>
      <c r="B18" s="122" t="s">
        <v>248</v>
      </c>
      <c r="C18" s="123"/>
      <c r="D18" s="123"/>
      <c r="E18" s="123"/>
      <c r="F18" s="124"/>
      <c r="G18" s="63">
        <v>33244.818275889993</v>
      </c>
      <c r="H18" s="14" t="s">
        <v>3</v>
      </c>
      <c r="I18" s="1"/>
    </row>
    <row r="19" spans="1:9" x14ac:dyDescent="0.25">
      <c r="A19" s="1"/>
      <c r="B19" s="119" t="s">
        <v>61</v>
      </c>
      <c r="C19" s="120"/>
      <c r="D19" s="120"/>
      <c r="E19" s="120"/>
      <c r="F19" s="121"/>
      <c r="G19" s="23">
        <f>G17*'Fane 15. Nøgletal'!C22+G18*'Fane 15. Nøgletal'!C23</f>
        <v>310228.86731117318</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17573234.407503739</v>
      </c>
      <c r="H23" s="14" t="s">
        <v>3</v>
      </c>
      <c r="I23" s="1"/>
    </row>
    <row r="24" spans="1:9" x14ac:dyDescent="0.25">
      <c r="A24" s="1"/>
      <c r="B24" s="122" t="s">
        <v>249</v>
      </c>
      <c r="C24" s="123"/>
      <c r="D24" s="123"/>
      <c r="E24" s="123"/>
      <c r="F24" s="124"/>
      <c r="G24" s="63">
        <v>0</v>
      </c>
      <c r="H24" s="14" t="s">
        <v>3</v>
      </c>
      <c r="I24" s="1"/>
    </row>
    <row r="25" spans="1:9" x14ac:dyDescent="0.25">
      <c r="A25" s="1"/>
      <c r="B25" s="119" t="s">
        <v>64</v>
      </c>
      <c r="C25" s="120"/>
      <c r="D25" s="120"/>
      <c r="E25" s="120"/>
      <c r="F25" s="121"/>
      <c r="G25" s="23">
        <f>(G23+G24)*'Fane 15. Nøgletal'!C24</f>
        <v>499079.85717310623</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17410515.394972146</v>
      </c>
      <c r="H29" s="14" t="s">
        <v>3</v>
      </c>
      <c r="I29" s="1"/>
    </row>
    <row r="30" spans="1:9" x14ac:dyDescent="0.25">
      <c r="A30" s="1"/>
      <c r="B30" s="119" t="s">
        <v>250</v>
      </c>
      <c r="C30" s="120"/>
      <c r="D30" s="120"/>
      <c r="E30" s="120"/>
      <c r="F30" s="121"/>
      <c r="G30" s="63">
        <v>87350.98500072</v>
      </c>
      <c r="H30" s="14" t="s">
        <v>3</v>
      </c>
      <c r="I30" s="1"/>
    </row>
    <row r="31" spans="1:9" x14ac:dyDescent="0.25">
      <c r="A31" s="1"/>
      <c r="B31" s="119" t="s">
        <v>67</v>
      </c>
      <c r="C31" s="120"/>
      <c r="D31" s="120"/>
      <c r="E31" s="120"/>
      <c r="F31" s="121"/>
      <c r="G31" s="23">
        <f>G29*'Fane 15. Nøgletal'!C24+G30*'Fane 15. Nøgletal'!C25</f>
        <v>496860.78930472879</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17057108.909117341</v>
      </c>
      <c r="H35" s="14" t="s">
        <v>3</v>
      </c>
      <c r="I35" s="1"/>
    </row>
    <row r="36" spans="1:9" x14ac:dyDescent="0.25">
      <c r="A36" s="1"/>
      <c r="B36" s="119" t="s">
        <v>251</v>
      </c>
      <c r="C36" s="120"/>
      <c r="D36" s="120"/>
      <c r="E36" s="120"/>
      <c r="F36" s="121"/>
      <c r="G36" s="63">
        <v>127070.53231004001</v>
      </c>
      <c r="H36" s="14" t="s">
        <v>3</v>
      </c>
      <c r="I36" s="1"/>
    </row>
    <row r="37" spans="1:9" x14ac:dyDescent="0.25">
      <c r="A37" s="1"/>
      <c r="B37" s="119" t="s">
        <v>131</v>
      </c>
      <c r="C37" s="120"/>
      <c r="D37" s="120"/>
      <c r="E37" s="120"/>
      <c r="F37" s="121"/>
      <c r="G37" s="23">
        <f>(G35+G36)*'Fane 15. Nøgletal'!C26</f>
        <v>254325.85573312524</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16985722.102527045</v>
      </c>
      <c r="H41" s="14" t="s">
        <v>3</v>
      </c>
      <c r="I41" s="1"/>
    </row>
    <row r="42" spans="1:9" x14ac:dyDescent="0.25">
      <c r="A42" s="1"/>
      <c r="B42" s="40" t="s">
        <v>156</v>
      </c>
      <c r="C42" s="78"/>
      <c r="D42" s="78"/>
      <c r="E42" s="78"/>
      <c r="F42" s="79"/>
      <c r="G42" s="63">
        <v>0</v>
      </c>
      <c r="H42" s="14" t="s">
        <v>3</v>
      </c>
      <c r="I42" s="1"/>
    </row>
    <row r="43" spans="1:9" x14ac:dyDescent="0.25">
      <c r="A43" s="1"/>
      <c r="B43" s="119" t="s">
        <v>132</v>
      </c>
      <c r="C43" s="120"/>
      <c r="D43" s="120"/>
      <c r="E43" s="120"/>
      <c r="F43" s="121"/>
      <c r="G43" s="23">
        <f>(G41)*'Fane 15. Nøgletal'!C26+G42*'Fane 15. Nøgletal'!C27</f>
        <v>251388.68711740026</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259</v>
      </c>
      <c r="C52" s="117"/>
      <c r="D52" s="117"/>
      <c r="E52" s="117"/>
      <c r="F52" s="117"/>
      <c r="G52" s="117"/>
      <c r="H52" s="118"/>
      <c r="I52" s="1"/>
    </row>
    <row r="53" spans="1:9" x14ac:dyDescent="0.25">
      <c r="A53" s="1"/>
      <c r="B53" s="119" t="s">
        <v>217</v>
      </c>
      <c r="C53" s="120"/>
      <c r="D53" s="120"/>
      <c r="E53" s="120"/>
      <c r="F53" s="121"/>
      <c r="G53" s="23">
        <f>(G41+G42-G43)*(1+'Fane 15. Nøgletal'!C16)</f>
        <v>18086467.555374745</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1165774.8607904001</v>
      </c>
      <c r="H54" s="14" t="s">
        <v>3</v>
      </c>
      <c r="I54" s="1"/>
    </row>
    <row r="55" spans="1:9" x14ac:dyDescent="0.25">
      <c r="A55" s="1"/>
      <c r="B55" s="119" t="s">
        <v>218</v>
      </c>
      <c r="C55" s="120"/>
      <c r="D55" s="120"/>
      <c r="E55" s="120"/>
      <c r="F55" s="121"/>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258</v>
      </c>
      <c r="C58" s="117"/>
      <c r="D58" s="117"/>
      <c r="E58" s="117"/>
      <c r="F58" s="117"/>
      <c r="G58" s="117"/>
      <c r="H58" s="118"/>
      <c r="I58" s="1"/>
    </row>
    <row r="59" spans="1:9" x14ac:dyDescent="0.25">
      <c r="A59" s="1"/>
      <c r="B59" s="119" t="s">
        <v>219</v>
      </c>
      <c r="C59" s="120"/>
      <c r="D59" s="120"/>
      <c r="E59" s="120"/>
      <c r="F59" s="121"/>
      <c r="G59" s="23">
        <f>(G53+G54-G55)*(1+'Fane 15. Nøgletal'!C16)</f>
        <v>20807823.60339129</v>
      </c>
      <c r="H59" s="14" t="s">
        <v>3</v>
      </c>
      <c r="I59" s="1"/>
    </row>
    <row r="60" spans="1:9" x14ac:dyDescent="0.25">
      <c r="A60" s="1"/>
      <c r="B60" s="119" t="s">
        <v>220</v>
      </c>
      <c r="C60" s="120"/>
      <c r="D60" s="120"/>
      <c r="E60" s="120"/>
      <c r="F60" s="121"/>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22489095.750545304</v>
      </c>
      <c r="H64" s="14" t="s">
        <v>3</v>
      </c>
      <c r="I64" s="1"/>
    </row>
    <row r="65" spans="1:9" x14ac:dyDescent="0.25">
      <c r="A65" s="1"/>
      <c r="B65" s="119" t="s">
        <v>222</v>
      </c>
      <c r="C65" s="120"/>
      <c r="D65" s="120"/>
      <c r="E65" s="120"/>
      <c r="F65" s="121"/>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24306214.687189363</v>
      </c>
      <c r="H69" s="14" t="s">
        <v>3</v>
      </c>
      <c r="I69" s="1"/>
    </row>
    <row r="70" spans="1:9" x14ac:dyDescent="0.25">
      <c r="A70" s="1"/>
      <c r="B70" s="119" t="s">
        <v>222</v>
      </c>
      <c r="C70" s="120"/>
      <c r="D70" s="120"/>
      <c r="E70" s="120"/>
      <c r="F70" s="121"/>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lHSrwCtTP/O9TDr9DylzLwrSyP3JgHkUbY0rnmv3YHKatu565617AT06qJy0F8sI9E8dVg8pxhqUugSmvY3z7w==" saltValue="UsxLlrunTEtHKhmBr6MNI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271</v>
      </c>
      <c r="C9" s="120"/>
      <c r="D9" s="120"/>
      <c r="E9" s="120"/>
      <c r="F9" s="121"/>
      <c r="G9" s="22">
        <v>0.02</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7szrcgt7U6z2EOc1wiDhV8KlZfmczzs6dq+kd+6K95iWoxSqfoAn0xr815RBaerIwgnmeoEjlw2rr8nJNtPjg==" saltValue="kHX2KPENUh1l5f3aCi2wB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2023-11-28T14:52:43Z</dcterms:modified>
</cp:coreProperties>
</file>