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ALSNÆS SPILDEVAND AS (S035)\ØR2022\"/>
    </mc:Choice>
  </mc:AlternateContent>
  <bookViews>
    <workbookView xWindow="3105" yWindow="1005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3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4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1" i="37" s="1"/>
  <c r="E12" i="37" s="1"/>
  <c r="C11" i="2" l="1"/>
  <c r="G34" i="30"/>
  <c r="E18" i="27" s="1"/>
  <c r="G37" i="36" l="1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<sst xmlns="http://schemas.openxmlformats.org/spreadsheetml/2006/main" count="702" uniqueCount="284">
  <si>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</si>
  <si>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</si>
  <si>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</si>
  <si>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</si>
  <si>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</si>
  <si>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</si>
  <si>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</si>
  <si>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</si>
  <si>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</si>
  <si>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</si>
  <si>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</si>
  <si>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</si>
  <si>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</si>
  <si>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</si>
  <si>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</si>
  <si>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</si>
  <si>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</si>
  <si>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</si>
  <si>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</si>
  <si>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</si>
  <si>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</si>
  <si>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</si>
  <si>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</si>
  <si>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</si>
  <si>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</si>
  <si>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</si>
  <si>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</si>
  <si>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</si>
  <si>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</si>
  <si>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</si>
  <si>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</si>
  <si>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</si>
  <si>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</si>
  <si>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</si>
  <si>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</si>
  <si>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</si>
  <si>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</si>
  <si>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</si>
  <si>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</si>
  <si>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</si>
  <si>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</si>
  <si>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</si>
  <si>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</si>
  <si>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</si>
  <si>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</si>
  <si>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</si>
  <si>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</si>
  <si>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</si>
  <si>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</si>
  <si>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</si>
  <si>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</si>
  <si>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</si>
  <si>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</si>
  <si>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</si>
  <si>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</si>
  <si>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</si>
  <si>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</si>
  <si>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</si>
  <si>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</si>
  <si>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</si>
  <si>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</si>
  <si>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</si>
  <si>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</si>
  <si>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</si>
  <si>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</si>
  <si>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</si>
  <si>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</si>
  <si>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</si>
  <si>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</si>
  <si>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</si>
  <si>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</si>
  <si>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</si>
  <si>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</si>
  <si>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</si>
  <si>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</si>
  <si>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</si>
  <si>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</si>
  <si>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</si>
  <si>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</si>
  <si>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</si>
  <si>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</si>
  <si>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</si>
  <si>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</si>
  <si>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</si>
  <si>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</si>
  <si>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</si>
  <si>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</si>
  <si>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</si>
  <si>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</si>
  <si>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</si>
  <si>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</si>
  <si>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</si>
  <si>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</si>
  <si>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</si>
  <si>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</si>
  <si>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</si>
  <si>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</si>
  <si>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</si>
  <si>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</si>
  <si>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</si>
  <si>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</si>
  <si>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</si>
  <si>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</si>
  <si>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</si>
  <si>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</si>
  <si>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</si>
  <si>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</si>
  <si>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</si>
  <si>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</si>
  <si>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</si>
  <si>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</si>
  <si>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</si>
  <si>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</si>
  <si>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</si>
  <si>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</si>
  <si>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</si>
  <si>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</si>
  <si>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</si>
  <si>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</si>
  <si>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</si>
  <si>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</si>
  <si>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</si>
  <si>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</si>
  <si>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</si>
  <si>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</si>
  <si>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</si>
  <si>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</si>
  <si>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</si>
  <si>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</si>
  <si>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</si>
  <si>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</si>
  <si>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</si>
  <si>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</si>
  <si>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</si>
  <si>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</si>
  <si>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</si>
  <si>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</si>
  <si>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</si>
  <si>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</si>
  <si>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</si>
  <si>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</si>
  <si>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</si>
  <si>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</si>
  <si>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</si>
  <si>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</si>
  <si>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</si>
  <si>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</si>
  <si>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</si>
  <si>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</si>
  <si>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</si>
  <si>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</si>
  <si>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</si>
  <si>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</si>
  <si>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</si>
  <si>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</si>
  <si>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</si>
  <si>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</si>
  <si>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</si>
  <si>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</si>
  <si>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</si>
  <si>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</si>
  <si>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</si>
  <si>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</si>
  <si>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</si>
  <si>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</si>
  <si>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</si>
  <si>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</si>
  <si>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</si>
  <si>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</si>
  <si>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</si>
  <si>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</si>
  <si>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</si>
  <si>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</si>
  <si>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</si>
  <si>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</si>
  <si>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</si>
  <si>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</si>
  <si>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</si>
  <si>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</si>
  <si>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</si>
  <si>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</si>
  <si>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</si>
  <si>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</si>
  <si>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</si>
  <si>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</si>
  <si>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</si>
  <si>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</si>
  <si>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</si>
  <si>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</si>
  <si>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</si>
  <si>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</si>
  <si>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</si>
  <si>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</si>
  <si>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</si>
  <si>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</si>
  <si>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</si>
  <si>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</si>
  <si>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</si>
  <si>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</si>
  <si>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</si>
  <si>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</si>
  <si>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</si>
  <si>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</si>
  <si>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</si>
  <si>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</si>
  <si>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</si>
  <si>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</si>
  <si>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</si>
  <si>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</si>
  <si>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</si>
  <si>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</si>
  <si>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</si>
  <si>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</si>
  <si>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</si>
  <si>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</si>
  <si>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</si>
  <si>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</si>
  <si>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</si>
  <si>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</si>
  <si>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</si>
  <si>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</si>
  <si>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</si>
  <si>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</si>
  <si>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</si>
  <si>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</si>
  <si>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</si>
  <si>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</si>
  <si>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</si>
  <si>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</si>
  <si>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</si>
  <si>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</si>
  <si>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</si>
  <si>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</si>
  <si>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</si>
  <si>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</si>
  <si>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</si>
  <si>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</si>
  <si>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</si>
  <si>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</si>
  <si>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</si>
  <si>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</si>
  <si>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</si>
  <si>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</si>
  <si>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</si>
  <si>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</si>
  <si>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</si>
  <si>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</si>
  <si>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</si>
  <si>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</si>
  <si>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</si>
  <si>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</si>
  <si>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</si>
  <si>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</si>
  <si>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</si>
  <si>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</si>
  <si>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</si>
  <si>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</si>
  <si>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</si>
  <si>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</si>
  <si>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</si>
  <si>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</si>
  <si>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Udlejning af arealer</t>
  </si>
  <si>
    <t>Spildevandsafgift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</si>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</sst>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6" t="s">
        <v>282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8" t="s">
        <v>245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17</v>
      </c>
      <c r="D14" s="78" t="s">
        <v>246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37</v>
      </c>
      <c r="D15" s="78" t="s">
        <v>160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38</v>
      </c>
      <c r="D16" s="78" t="s">
        <v>247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144</v>
      </c>
      <c r="D17" s="78" t="s">
        <v>248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124</v>
      </c>
      <c r="D18" s="75" t="s">
        <v>110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125</v>
      </c>
      <c r="D19" s="75" t="s">
        <v>111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7</v>
      </c>
      <c r="D20" s="75" t="s">
        <v>10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126</v>
      </c>
      <c r="D21" s="82" t="s">
        <v>13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91</v>
      </c>
      <c r="D22" s="69" t="s">
        <v>249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8</v>
      </c>
      <c r="D23" s="69" t="s">
        <v>195</v>
      </c>
      <c r="E23" s="70"/>
      <c r="F23" s="70"/>
      <c r="G23" s="71"/>
      <c r="H23" s="1"/>
      <c r="I23" s="1"/>
    </row>
    <row r="24" spans="1:9" x14ac:dyDescent="0.25">
      <c r="A24" s="1"/>
      <c r="B24" s="1"/>
      <c r="C24" s="6" t="s">
        <v>9</v>
      </c>
      <c r="D24" s="69" t="s">
        <v>39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127</v>
      </c>
      <c r="D25" s="69" t="s">
        <v>92</v>
      </c>
      <c r="E25" s="70"/>
      <c r="F25" s="70"/>
      <c r="G25" s="71"/>
      <c r="H25" s="1"/>
      <c r="I25" s="1"/>
    </row>
    <row r="26" spans="1:9" x14ac:dyDescent="0.25">
      <c r="A26" s="1"/>
      <c r="B26" s="1"/>
      <c r="C26" s="6" t="s">
        <v>128</v>
      </c>
      <c r="D26" s="69" t="s">
        <v>93</v>
      </c>
      <c r="E26" s="70"/>
      <c r="F26" s="70"/>
      <c r="G26" s="71"/>
      <c r="H26" s="1"/>
      <c r="I26" s="1"/>
    </row>
    <row r="27" spans="1:9" x14ac:dyDescent="0.25">
      <c r="A27" s="1"/>
      <c r="B27" s="1"/>
      <c r="C27" s="6" t="s">
        <v>129</v>
      </c>
      <c r="D27" s="69" t="s">
        <v>94</v>
      </c>
      <c r="E27" s="70"/>
      <c r="F27" s="70"/>
      <c r="G27" s="71"/>
      <c r="H27" s="1"/>
      <c r="I27" s="1"/>
    </row>
    <row r="28" spans="1:9" x14ac:dyDescent="0.25">
      <c r="A28" s="1"/>
      <c r="B28" s="1"/>
      <c r="C28" s="6" t="s">
        <v>16</v>
      </c>
      <c r="D28" s="69" t="s">
        <v>161</v>
      </c>
      <c r="E28" s="70"/>
      <c r="F28" s="70"/>
      <c r="G28" s="71"/>
      <c r="H28" s="1"/>
      <c r="I28" s="1"/>
    </row>
    <row r="29" spans="1:9" x14ac:dyDescent="0.25">
      <c r="A29" s="1"/>
      <c r="B29" s="1"/>
      <c r="C29" s="6" t="s">
        <v>41</v>
      </c>
      <c r="D29" s="69" t="s">
        <v>40</v>
      </c>
      <c r="E29" s="70"/>
      <c r="F29" s="70"/>
      <c r="G29" s="71"/>
      <c r="H29" s="1"/>
      <c r="I29" s="1"/>
    </row>
    <row r="30" spans="1:9" x14ac:dyDescent="0.25">
      <c r="A30" s="1"/>
      <c r="B30" s="1"/>
      <c r="C30" s="6" t="s">
        <v>42</v>
      </c>
      <c r="D30" s="72" t="s">
        <v>123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/riOLtIPXEzVFVqEAyDXEElIrOXNWrgvzXqCPBXJO5oEetLXcvq9HvO6jMW2nL698PfrwBRandQFsNV1wP90Q==" saltValue="C5Fcq9nXJwnAzHJwr4YFL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208</v>
      </c>
      <c r="C8" s="100"/>
      <c r="D8" s="101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x14ac:dyDescent="0.25">
      <c r="A10" s="1"/>
      <c r="B10" s="65" t="s">
        <v>262</v>
      </c>
      <c r="C10" s="9">
        <v>1130137</v>
      </c>
      <c r="D10" s="14" t="s">
        <v>3</v>
      </c>
      <c r="E10" s="1"/>
      <c r="F10" s="1"/>
    </row>
    <row r="11" spans="1:6" x14ac:dyDescent="0.25">
      <c r="A11" s="1"/>
      <c r="B11" s="65" t="s">
        <v>263</v>
      </c>
      <c r="C11" s="9">
        <v>63823</v>
      </c>
      <c r="D11" s="14" t="s">
        <v>3</v>
      </c>
      <c r="E11" s="1"/>
      <c r="F11" s="1"/>
    </row>
    <row r="12" spans="1:6" x14ac:dyDescent="0.25">
      <c r="A12" s="1"/>
      <c r="B12" s="65" t="s">
        <v>264</v>
      </c>
      <c r="C12" s="9">
        <v>766620</v>
      </c>
      <c r="D12" s="14" t="s">
        <v>3</v>
      </c>
      <c r="E12" s="1"/>
      <c r="F12" s="1"/>
    </row>
    <row r="13" spans="1:6" x14ac:dyDescent="0.25">
      <c r="A13" s="1"/>
      <c r="B13" s="38" t="s">
        <v>209</v>
      </c>
      <c r="C13" s="12">
        <f>SUM(C10:C12)</f>
        <v>1960580</v>
      </c>
      <c r="D13" s="13" t="s">
        <v>3</v>
      </c>
      <c r="E13" s="1"/>
      <c r="F13" s="1"/>
    </row>
    <row r="14" spans="1:6" x14ac:dyDescent="0.25">
      <c r="A14" s="1"/>
      <c r="B14" s="38" t="s">
        <v>210</v>
      </c>
      <c r="C14" s="12">
        <f>C13*(1+'Fane 14. Nøgletal'!C14)^2</f>
        <v>1973541.1787162004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99" t="s">
        <v>142</v>
      </c>
      <c r="C17" s="100"/>
      <c r="D17" s="101"/>
      <c r="E17" s="1"/>
      <c r="F17" s="1"/>
    </row>
    <row r="18" spans="1:6" x14ac:dyDescent="0.25">
      <c r="A18" s="1"/>
      <c r="B18" s="65" t="s">
        <v>116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65" t="s">
        <v>117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65" t="s">
        <v>154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5" t="s">
        <v>211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99"/>
      <c r="C22" s="100"/>
      <c r="D22" s="10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9" t="s">
        <v>115</v>
      </c>
      <c r="C25" s="100"/>
      <c r="D25" s="101"/>
      <c r="E25" s="1"/>
      <c r="F25" s="1"/>
    </row>
    <row r="26" spans="1:6" x14ac:dyDescent="0.25">
      <c r="A26" s="1"/>
      <c r="B26" s="65" t="s">
        <v>116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65" t="s">
        <v>117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5" t="s">
        <v>154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5" t="s">
        <v>211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99"/>
      <c r="C30" s="100"/>
      <c r="D30" s="10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jng7rJHEtQvmIdhu1if78VvrVRNp+g096OUpUDzocGZNOd1pVXToe5oKtd9thMsA1/qWWIfAoGnUzFT6OLcJaw==" saltValue="RBRPoaqgWojP4uAoiJTkFQ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61"/>
      <c r="C5" s="61"/>
      <c r="D5" s="61"/>
      <c r="E5" s="61"/>
      <c r="F5" s="61"/>
      <c r="G5" s="1"/>
    </row>
    <row r="6" spans="1:7" ht="15" customHeight="1" x14ac:dyDescent="0.25">
      <c r="A6" s="1"/>
      <c r="B6" s="61"/>
      <c r="C6" s="61"/>
      <c r="D6" s="61"/>
      <c r="E6" s="61"/>
      <c r="F6" s="6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266</v>
      </c>
      <c r="C8" s="100"/>
      <c r="D8" s="100"/>
      <c r="E8" s="100"/>
      <c r="F8" s="101"/>
      <c r="G8" s="1"/>
    </row>
    <row r="9" spans="1:7" x14ac:dyDescent="0.25">
      <c r="A9" s="1"/>
      <c r="B9" s="104" t="s">
        <v>267</v>
      </c>
      <c r="C9" s="105"/>
      <c r="D9" s="106"/>
      <c r="E9" s="9">
        <v>20535333.14790836</v>
      </c>
      <c r="F9" s="14" t="s">
        <v>3</v>
      </c>
      <c r="G9" s="1"/>
    </row>
    <row r="10" spans="1:7" x14ac:dyDescent="0.25">
      <c r="A10" s="1"/>
      <c r="B10" s="104" t="s">
        <v>268</v>
      </c>
      <c r="C10" s="105"/>
      <c r="D10" s="106"/>
      <c r="E10" s="9">
        <v>20016033.74066551</v>
      </c>
      <c r="F10" s="14" t="s">
        <v>3</v>
      </c>
      <c r="G10" s="1"/>
    </row>
    <row r="11" spans="1:7" x14ac:dyDescent="0.25">
      <c r="A11" s="1"/>
      <c r="B11" s="104" t="s">
        <v>269</v>
      </c>
      <c r="C11" s="105"/>
      <c r="D11" s="106"/>
      <c r="E11" s="9">
        <v>20016033.74066551</v>
      </c>
      <c r="F11" s="14" t="s">
        <v>3</v>
      </c>
      <c r="G11" s="1"/>
    </row>
    <row r="12" spans="1:7" x14ac:dyDescent="0.25">
      <c r="A12" s="1"/>
      <c r="B12" s="104" t="s">
        <v>270</v>
      </c>
      <c r="C12" s="105"/>
      <c r="D12" s="106"/>
      <c r="E12" s="9">
        <v>7836759.3868508041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9" t="s">
        <v>271</v>
      </c>
      <c r="C14" s="90"/>
      <c r="D14" s="90"/>
      <c r="E14" s="90"/>
      <c r="F14" s="91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272</v>
      </c>
      <c r="C16" s="100"/>
      <c r="D16" s="100"/>
      <c r="E16" s="100"/>
      <c r="F16" s="101"/>
      <c r="G16" s="1"/>
    </row>
    <row r="17" spans="1:7" x14ac:dyDescent="0.25">
      <c r="A17" s="1"/>
      <c r="B17" s="104" t="s">
        <v>273</v>
      </c>
      <c r="C17" s="105"/>
      <c r="D17" s="106"/>
      <c r="E17" s="9">
        <v>0</v>
      </c>
      <c r="F17" s="14" t="s">
        <v>3</v>
      </c>
      <c r="G17" s="1"/>
    </row>
    <row r="18" spans="1:7" x14ac:dyDescent="0.25">
      <c r="A18" s="1"/>
      <c r="B18" s="104" t="s">
        <v>274</v>
      </c>
      <c r="C18" s="105"/>
      <c r="D18" s="106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89" t="s">
        <v>275</v>
      </c>
      <c r="C20" s="90"/>
      <c r="D20" s="90"/>
      <c r="E20" s="90"/>
      <c r="F20" s="9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213</v>
      </c>
      <c r="C22" s="57"/>
      <c r="D22" s="57"/>
      <c r="E22" s="57"/>
      <c r="F22" s="58"/>
      <c r="G22" s="1"/>
    </row>
    <row r="23" spans="1:7" x14ac:dyDescent="0.25">
      <c r="A23" s="1"/>
      <c r="B23" s="62" t="s">
        <v>214</v>
      </c>
      <c r="C23" s="63"/>
      <c r="D23" s="64"/>
      <c r="E23" s="9">
        <v>71638743.622545704</v>
      </c>
      <c r="F23" s="14" t="s">
        <v>3</v>
      </c>
      <c r="G23" s="1"/>
    </row>
    <row r="24" spans="1:7" x14ac:dyDescent="0.25">
      <c r="A24" s="1"/>
      <c r="B24" s="62" t="s">
        <v>215</v>
      </c>
      <c r="C24" s="63"/>
      <c r="D24" s="64"/>
      <c r="E24" s="9">
        <v>80478080</v>
      </c>
      <c r="F24" s="14" t="s">
        <v>3</v>
      </c>
      <c r="G24" s="1"/>
    </row>
    <row r="25" spans="1:7" x14ac:dyDescent="0.25">
      <c r="A25" s="1"/>
      <c r="B25" s="62" t="s">
        <v>36</v>
      </c>
      <c r="C25" s="63"/>
      <c r="D25" s="64"/>
      <c r="E25" s="9">
        <v>0</v>
      </c>
      <c r="F25" s="14" t="s">
        <v>3</v>
      </c>
      <c r="G25" s="1"/>
    </row>
    <row r="26" spans="1:7" x14ac:dyDescent="0.25">
      <c r="A26" s="1"/>
      <c r="B26" s="59" t="s">
        <v>276</v>
      </c>
      <c r="C26" s="60"/>
      <c r="D26" s="67"/>
      <c r="E26" s="48">
        <f>E23-(E24-E25)</f>
        <v>-8839336.3774542958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9" t="s">
        <v>186</v>
      </c>
      <c r="C30" s="100"/>
      <c r="D30" s="100"/>
      <c r="E30" s="100"/>
      <c r="F30" s="101"/>
      <c r="G30" s="1"/>
    </row>
    <row r="31" spans="1:7" x14ac:dyDescent="0.25">
      <c r="A31" s="1"/>
      <c r="B31" s="116" t="s">
        <v>280</v>
      </c>
      <c r="C31" s="117"/>
      <c r="D31" s="118"/>
      <c r="E31" s="9">
        <v>0</v>
      </c>
      <c r="F31" s="14"/>
      <c r="G31" s="1"/>
    </row>
    <row r="32" spans="1:7" x14ac:dyDescent="0.2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-1002576.9906034917</v>
      </c>
      <c r="F32" s="14" t="s">
        <v>3</v>
      </c>
      <c r="G32" s="1"/>
    </row>
    <row r="33" spans="1:7" x14ac:dyDescent="0.2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25">
      <c r="A34" s="1"/>
      <c r="B34" s="119" t="s">
        <v>188</v>
      </c>
      <c r="C34" s="119"/>
      <c r="D34" s="119"/>
      <c r="E34" s="10">
        <f>E32/E33</f>
        <v>-501288.49530174583</v>
      </c>
      <c r="F34" s="17" t="s">
        <v>3</v>
      </c>
      <c r="G34" s="1"/>
    </row>
    <row r="35" spans="1:7" x14ac:dyDescent="0.25">
      <c r="A35" s="1"/>
      <c r="B35" s="120"/>
      <c r="C35" s="121"/>
      <c r="D35" s="121"/>
      <c r="E35" s="121"/>
      <c r="F35" s="122"/>
      <c r="G35" s="1"/>
    </row>
    <row r="36" spans="1:7" ht="75" customHeight="1" x14ac:dyDescent="0.25">
      <c r="A36" s="1"/>
      <c r="B36" s="89" t="s">
        <v>279</v>
      </c>
      <c r="C36" s="90"/>
      <c r="D36" s="90"/>
      <c r="E36" s="90"/>
      <c r="F36" s="9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waVqcx1cJs7JkbVxHmJ/pSX+rFhjbKV4CypJ2Se9MC7g/AFefW9IUTyI+1XPiYi17449ltCRdbWcwiYvv41mIw==" saltValue="9nOhbabTdZb1asYD+3r7eA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9" t="s">
        <v>217</v>
      </c>
      <c r="C9" s="100"/>
      <c r="D9" s="100"/>
      <c r="E9" s="100"/>
      <c r="F9" s="101"/>
      <c r="G9" s="1"/>
    </row>
    <row r="10" spans="1:7" x14ac:dyDescent="0.25">
      <c r="A10" s="1"/>
      <c r="B10" s="89" t="s">
        <v>118</v>
      </c>
      <c r="C10" s="90"/>
      <c r="D10" s="91"/>
      <c r="E10" s="7">
        <v>0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25">
      <c r="A12" s="1"/>
      <c r="B12" s="102" t="s">
        <v>119</v>
      </c>
      <c r="C12" s="103"/>
      <c r="D12" s="123"/>
      <c r="E12" s="10">
        <f>E11-E10</f>
        <v>0</v>
      </c>
      <c r="F12" s="11" t="s">
        <v>3</v>
      </c>
      <c r="G12" s="1"/>
    </row>
    <row r="13" spans="1:7" x14ac:dyDescent="0.25">
      <c r="A13" s="1"/>
      <c r="B13" s="99" t="s">
        <v>109</v>
      </c>
      <c r="C13" s="100"/>
      <c r="D13" s="100"/>
      <c r="E13" s="100"/>
      <c r="F13" s="101"/>
      <c r="G13" s="1"/>
    </row>
    <row r="14" spans="1:7" x14ac:dyDescent="0.2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25">
      <c r="A15" s="1"/>
      <c r="B15" s="89" t="s">
        <v>220</v>
      </c>
      <c r="C15" s="90"/>
      <c r="D15" s="91"/>
      <c r="E15" s="9">
        <v>0</v>
      </c>
      <c r="F15" s="8" t="s">
        <v>3</v>
      </c>
      <c r="G15" s="1"/>
    </row>
    <row r="16" spans="1:7" x14ac:dyDescent="0.25">
      <c r="A16" s="1"/>
      <c r="B16" s="102" t="s">
        <v>119</v>
      </c>
      <c r="C16" s="103"/>
      <c r="D16" s="123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189hY9Wet/Lr2b5WhFNcrKjKGJOMA0JiHC62+wPJJl9OMAUw94iz6aOXVhS2Siajar/yN5rTcBQXPkHr3aTpbw==" saltValue="XujL5DOkFmniZloqNNO9R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178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8" t="s">
        <v>281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9" t="s">
        <v>179</v>
      </c>
      <c r="C11" s="100"/>
      <c r="D11" s="10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IomHv1dqeYbW4hmpp4fqcjrZm8pQrP7inrTr87JrjbTC4zDSGWBPbPOhC3oVtu1dF8J/hFMg1uS8shwdYB6FIA==" saltValue="j5Y8602KS459lUug6pI4Q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0+6paKwVEQjSZ+AThz5rOxGAl9nGv6rX9XQ/FTbfdjI2dB+Vs8S7Bz0iysJppCGr8pO+zuwILItN7x0EfCDmEg==" saltValue="4I0j/s579W9RA/dGTpEkR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112</v>
      </c>
      <c r="C8" s="100"/>
      <c r="D8" s="100"/>
      <c r="E8" s="100"/>
      <c r="F8" s="101"/>
      <c r="G8" s="1"/>
    </row>
    <row r="9" spans="1:7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278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113</v>
      </c>
      <c r="C16" s="100"/>
      <c r="D16" s="100"/>
      <c r="E16" s="100"/>
      <c r="F16" s="101"/>
      <c r="G16" s="1"/>
    </row>
    <row r="17" spans="1:7" x14ac:dyDescent="0.2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25">
      <c r="A18" s="1"/>
      <c r="B18" s="25" t="s">
        <v>278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9" t="s">
        <v>166</v>
      </c>
      <c r="C24" s="100"/>
      <c r="D24" s="100"/>
      <c r="E24" s="100"/>
      <c r="F24" s="101"/>
      <c r="G24" s="1"/>
    </row>
    <row r="25" spans="1:7" x14ac:dyDescent="0.2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25">
      <c r="A26" s="1"/>
      <c r="B26" s="25" t="s">
        <v>278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224</v>
      </c>
      <c r="C32" s="100"/>
      <c r="D32" s="100"/>
      <c r="E32" s="100"/>
      <c r="F32" s="101"/>
      <c r="G32" s="1"/>
    </row>
    <row r="33" spans="1:7" x14ac:dyDescent="0.2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25">
      <c r="A34" s="1"/>
      <c r="B34" s="25" t="s">
        <v>278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WkoY2+vriC/jwYblM37Z6+mwe0nR37PXjauc/W5hS3r2voM4vau/UcTXyRxzGthfyGM0h+3txRhXhoujQeU3g==" saltValue="xS6rCqt4/AZla1ebhBNLp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103</v>
      </c>
      <c r="C8" s="100"/>
      <c r="D8" s="100"/>
      <c r="E8" s="100"/>
      <c r="F8" s="101"/>
      <c r="G8" s="1"/>
    </row>
    <row r="9" spans="1:7" x14ac:dyDescent="0.2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3" t="s">
        <v>26</v>
      </c>
      <c r="C11" s="94"/>
      <c r="D11" s="95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9" t="s">
        <v>105</v>
      </c>
      <c r="C12" s="100"/>
      <c r="D12" s="101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104</v>
      </c>
      <c r="C14" s="100"/>
      <c r="D14" s="100"/>
      <c r="E14" s="100"/>
      <c r="F14" s="101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3" t="s">
        <v>26</v>
      </c>
      <c r="C17" s="94"/>
      <c r="D17" s="95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9" t="s">
        <v>106</v>
      </c>
      <c r="C18" s="100"/>
      <c r="D18" s="101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155</v>
      </c>
      <c r="C20" s="100"/>
      <c r="D20" s="100"/>
      <c r="E20" s="100"/>
      <c r="F20" s="101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3" t="s">
        <v>26</v>
      </c>
      <c r="C23" s="94"/>
      <c r="D23" s="95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9" t="s">
        <v>156</v>
      </c>
      <c r="C24" s="100"/>
      <c r="D24" s="101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227</v>
      </c>
      <c r="C26" s="100"/>
      <c r="D26" s="100"/>
      <c r="E26" s="100"/>
      <c r="F26" s="101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3" t="s">
        <v>26</v>
      </c>
      <c r="C29" s="94"/>
      <c r="D29" s="95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9" t="s">
        <v>228</v>
      </c>
      <c r="C30" s="100"/>
      <c r="D30" s="101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luVyCQG0buYblPDWtCPsHfWx/0ecfd+fgJUEg/KkD2HahiZwySSkAXlCN2S/1bAxExmeUkGgmeZFDHc2iDXaXA==" saltValue="zkh/+GSr+xnQegmOAiknY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157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158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36694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36694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36815.090200000006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6qWJcXXFqbvzNzt7//RSm3ryUZXCF6ddu+8xAv0w/OFX0JJUQsiqLuRksHzMBxWZ8UKwFAKUHSaDeE6Gmh/E1A==" saltValue="hiFGW08XRpruYMGAkYqkC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107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108</v>
      </c>
      <c r="C14" s="100"/>
      <c r="D14" s="100"/>
      <c r="E14" s="100"/>
      <c r="F14" s="10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169</v>
      </c>
      <c r="C20" s="100"/>
      <c r="D20" s="100"/>
      <c r="E20" s="100"/>
      <c r="F20" s="10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231</v>
      </c>
      <c r="C26" s="100"/>
      <c r="D26" s="100"/>
      <c r="E26" s="100"/>
      <c r="F26" s="10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bgChjMOLN5VSkx4fmhBoRyT+rHHmCy/m+WGS0Vuro30LI5RNvZwjNksNFc97uq0A0vxyakPRPZLgzRZvGE8WQ==" saltValue="kn3EUV6jVD6eNqfI0RbZQ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189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5" t="s">
        <v>137</v>
      </c>
      <c r="C9" s="26">
        <v>1.2699999999999999E-2</v>
      </c>
      <c r="D9" s="1"/>
    </row>
    <row r="10" spans="1:4" x14ac:dyDescent="0.25">
      <c r="A10" s="1"/>
      <c r="B10" s="65" t="s">
        <v>138</v>
      </c>
      <c r="C10" s="26">
        <v>1.7500000000000002E-2</v>
      </c>
      <c r="D10" s="1"/>
    </row>
    <row r="11" spans="1:4" x14ac:dyDescent="0.25">
      <c r="A11" s="1"/>
      <c r="B11" s="65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5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5" t="s">
        <v>139</v>
      </c>
      <c r="C19" s="23">
        <v>9.1000000000000004E-3</v>
      </c>
      <c r="D19" s="1"/>
    </row>
    <row r="20" spans="1:4" x14ac:dyDescent="0.25">
      <c r="A20" s="1"/>
      <c r="B20" s="65" t="s">
        <v>190</v>
      </c>
      <c r="C20" s="23">
        <v>1.77E-2</v>
      </c>
      <c r="D20" s="1"/>
    </row>
    <row r="21" spans="1:4" x14ac:dyDescent="0.25">
      <c r="A21" s="1"/>
      <c r="B21" s="65" t="s">
        <v>191</v>
      </c>
      <c r="C21" s="23">
        <v>8.6999999999999994E-3</v>
      </c>
      <c r="D21" s="1"/>
    </row>
    <row r="22" spans="1:4" x14ac:dyDescent="0.25">
      <c r="A22" s="1"/>
      <c r="B22" s="65" t="s">
        <v>140</v>
      </c>
      <c r="C22" s="41">
        <v>2.8400000000000002E-2</v>
      </c>
      <c r="D22" s="1"/>
    </row>
    <row r="23" spans="1:4" x14ac:dyDescent="0.25">
      <c r="A23" s="1"/>
      <c r="B23" s="65" t="s">
        <v>192</v>
      </c>
      <c r="C23" s="41">
        <v>2.75E-2</v>
      </c>
      <c r="D23" s="1"/>
    </row>
    <row r="24" spans="1:4" x14ac:dyDescent="0.25">
      <c r="A24" s="1"/>
      <c r="B24" s="65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5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4kA44jjsWZ+NQNlXr6cPNqmHofRopMKW7DmAcqDt3COJnie6gYuvnNavYfirSZHpveh2cKnICJCvqLocpdklZQ==" saltValue="hVJPWijJ1pByL/913r8+H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68012986.078900203</v>
      </c>
      <c r="D9" s="8" t="s">
        <v>3</v>
      </c>
      <c r="E9" s="1"/>
    </row>
    <row r="10" spans="1:5" ht="17.100000000000001" customHeight="1" x14ac:dyDescent="0.25">
      <c r="A10" s="1"/>
      <c r="B10" s="53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3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3" t="s">
        <v>149</v>
      </c>
      <c r="C14" s="9">
        <f>'Fane 12. Tilknyttet virksomhed'!C12</f>
        <v>36815.090200000006</v>
      </c>
      <c r="D14" s="8" t="s">
        <v>3</v>
      </c>
      <c r="E14" s="1"/>
    </row>
    <row r="15" spans="1:5" ht="17.100000000000001" customHeight="1" x14ac:dyDescent="0.2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20</v>
      </c>
      <c r="C16" s="9">
        <f>SUM(C9:C15)*'Fane 14. Nøgletal'!C14</f>
        <v>224564.34385803068</v>
      </c>
      <c r="D16" s="8" t="s">
        <v>3</v>
      </c>
      <c r="E16" s="1"/>
    </row>
    <row r="17" spans="1:5" ht="17.100000000000001" customHeight="1" x14ac:dyDescent="0.25">
      <c r="A17" s="1"/>
      <c r="B17" s="53" t="s">
        <v>10</v>
      </c>
      <c r="C17" s="9">
        <f>-SUM(C9:C16)*'Fane 5. Individuelt eff. krav'!G12</f>
        <v>-1365487.310259165</v>
      </c>
      <c r="D17" s="8" t="s">
        <v>3</v>
      </c>
      <c r="E17" s="1"/>
    </row>
    <row r="18" spans="1:5" ht="17.100000000000001" customHeight="1" x14ac:dyDescent="0.25">
      <c r="A18" s="1"/>
      <c r="B18" s="53" t="s">
        <v>26</v>
      </c>
      <c r="C18" s="9">
        <f>-'Fane 4.1. Gen. krav - drift'!G40</f>
        <v>-524502.7698698896</v>
      </c>
      <c r="D18" s="8" t="s">
        <v>3</v>
      </c>
      <c r="E18" s="1"/>
    </row>
    <row r="19" spans="1:5" ht="17.100000000000001" customHeight="1" x14ac:dyDescent="0.25">
      <c r="A19" s="1"/>
      <c r="B19" s="53" t="s">
        <v>27</v>
      </c>
      <c r="C19" s="9">
        <f>-'Fane 4.2. Gen. krav - anlæg'!G37</f>
        <v>-699559.57950400037</v>
      </c>
      <c r="D19" s="8" t="s">
        <v>3</v>
      </c>
      <c r="E19" s="1"/>
    </row>
    <row r="20" spans="1:5" ht="17.100000000000001" customHeight="1" x14ac:dyDescent="0.25">
      <c r="A20" s="1"/>
      <c r="B20" s="59" t="s">
        <v>22</v>
      </c>
      <c r="C20" s="10">
        <f>SUM(C9:C19)</f>
        <v>65684815.853325196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1973541.1787162004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9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3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9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283</v>
      </c>
      <c r="C30" s="10">
        <f>'Fane 7. Kontrol af ØR2020'!E34</f>
        <v>-501288.49530174583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6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67157068.536739647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Gxem2Eq1LBKwDEEW7AMMF6UXXsgjWD6Nft4O1GW/LNgNZ7Nsb73DFgAWipqAyzm8XWj4S+PUf5AURBdKDzgCMw==" saltValue="RbvrXhoIeiX/jqKVt8TfY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65684815.853325196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216759.89231597315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-1318031.5149128234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-515708.95643025107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-691480.47784984147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63376354.796448261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Nøgletal'!C14)+'Fane 6. Ikke-påvirkelige omk.'!C19+'Fane 6. Ikke-påvirkelige omk.'!C27</f>
        <v>1980053.8646059639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283</v>
      </c>
      <c r="C26" s="10">
        <f>'Fane 7. Kontrol af ØR2020'!E34</f>
        <v>-501288.49530174583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6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64855120.165752478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hsuBvYeF6qbxJFhPazNtPGqRZ6lvzM031MTzviup9VKLJf51FFJC+FjTScgr25MGG+lubjzZiDiPokHspeiCXw==" saltValue="owX7LNwdfgC41vTACccJ9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63376354.796448261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209141.97082827927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-1271709.9353455307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-507062.5800667415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-683494.68044803012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61123229.571416236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Nøgletal'!C14)^2+'Fane 6. Ikke-påvirkelige omk.'!C20+'Fane 6. Ikke-påvirkelige omk.'!C28</f>
        <v>1986588.0423591638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63109817.613775402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1Bgac7CnzEnRoVABAPq0Syu7+at5SyQaOgcEAAb35W6+SxlOS8Tgkqib8DNnd8R44a1QUYRJ1B3En7T3Oiuaeg==" saltValue="CKohoPHMECkFhbjAgnWvW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61123229.571416236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201706.65758567359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-1226498.7245800381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-498561.16884934256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-675601.10974268476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58924275.225829847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Nøgletal'!C14)^3+'Fane 6. Ikke-påvirkelige omk.'!C21+'Fane 6. Ikke-påvirkelige omk.'!C29</f>
        <v>1993143.7828989492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60917419.008728795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DpoehH1cjDcCFFwRBTfX6LwnPmXt8ikawiE1hoMoNCPqG/iG8v/B2q9Jdm7rQ2bjw0zGl+XaYtUABCCw9UTdgw==" saltValue="K4d3LMperVihnl2tkZHvH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250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277</v>
      </c>
      <c r="C8" s="32"/>
      <c r="D8" s="32"/>
      <c r="E8" s="32"/>
      <c r="F8" s="20"/>
      <c r="G8" s="1"/>
    </row>
    <row r="9" spans="1:7" ht="15" customHeight="1" x14ac:dyDescent="0.25">
      <c r="A9" s="1"/>
      <c r="B9" s="89" t="s">
        <v>25</v>
      </c>
      <c r="C9" s="90"/>
      <c r="D9" s="91"/>
      <c r="E9" s="7">
        <v>69673825.915018097</v>
      </c>
      <c r="F9" s="8" t="s">
        <v>3</v>
      </c>
      <c r="G9" s="1"/>
    </row>
    <row r="10" spans="1:7" ht="15" customHeight="1" x14ac:dyDescent="0.25">
      <c r="A10" s="1"/>
      <c r="B10" s="93" t="s">
        <v>43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25">
      <c r="A11" s="1"/>
      <c r="B11" s="93" t="s">
        <v>44</v>
      </c>
      <c r="C11" s="94"/>
      <c r="D11" s="95"/>
      <c r="E11" s="9">
        <v>0</v>
      </c>
      <c r="F11" s="8" t="s">
        <v>3</v>
      </c>
      <c r="G11" s="1"/>
    </row>
    <row r="12" spans="1:7" ht="15" customHeight="1" x14ac:dyDescent="0.25">
      <c r="A12" s="1"/>
      <c r="B12" s="93" t="s">
        <v>29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9" t="s">
        <v>28</v>
      </c>
      <c r="C13" s="90"/>
      <c r="D13" s="91"/>
      <c r="E13" s="9">
        <v>0</v>
      </c>
      <c r="F13" s="8" t="s">
        <v>3</v>
      </c>
      <c r="G13" s="1"/>
    </row>
    <row r="14" spans="1:7" ht="15" customHeight="1" x14ac:dyDescent="0.25">
      <c r="A14" s="1"/>
      <c r="B14" s="89" t="s">
        <v>31</v>
      </c>
      <c r="C14" s="90"/>
      <c r="D14" s="91"/>
      <c r="E14" s="9">
        <v>0</v>
      </c>
      <c r="F14" s="8" t="s">
        <v>3</v>
      </c>
      <c r="G14" s="1"/>
    </row>
    <row r="15" spans="1:7" ht="15" customHeight="1" x14ac:dyDescent="0.25">
      <c r="A15" s="1"/>
      <c r="B15" s="89" t="s">
        <v>30</v>
      </c>
      <c r="C15" s="90"/>
      <c r="D15" s="91"/>
      <c r="E15" s="9">
        <v>0</v>
      </c>
      <c r="F15" s="8" t="s">
        <v>3</v>
      </c>
      <c r="G15" s="1"/>
    </row>
    <row r="16" spans="1:7" ht="15" customHeight="1" x14ac:dyDescent="0.25">
      <c r="A16" s="1"/>
      <c r="B16" s="89" t="s">
        <v>20</v>
      </c>
      <c r="C16" s="90"/>
      <c r="D16" s="91"/>
      <c r="E16" s="9">
        <v>1372574.3705258565</v>
      </c>
      <c r="F16" s="8" t="s">
        <v>3</v>
      </c>
      <c r="G16" s="1"/>
    </row>
    <row r="17" spans="1:7" ht="15" customHeight="1" x14ac:dyDescent="0.25">
      <c r="A17" s="1"/>
      <c r="B17" s="89" t="s">
        <v>10</v>
      </c>
      <c r="C17" s="90"/>
      <c r="D17" s="91"/>
      <c r="E17" s="9">
        <v>-1123626.8135538909</v>
      </c>
      <c r="F17" s="8" t="s">
        <v>3</v>
      </c>
      <c r="G17" s="1"/>
    </row>
    <row r="18" spans="1:7" ht="15" customHeight="1" x14ac:dyDescent="0.25">
      <c r="A18" s="1"/>
      <c r="B18" s="89" t="s">
        <v>26</v>
      </c>
      <c r="C18" s="90"/>
      <c r="D18" s="91"/>
      <c r="E18" s="9">
        <f>-'Fane 4.1. Gen. krav - drift'!G34</f>
        <v>-532695.20609533077</v>
      </c>
      <c r="F18" s="8" t="s">
        <v>3</v>
      </c>
      <c r="G18" s="1"/>
    </row>
    <row r="19" spans="1:7" ht="15" customHeight="1" x14ac:dyDescent="0.25">
      <c r="A19" s="1"/>
      <c r="B19" s="89" t="s">
        <v>27</v>
      </c>
      <c r="C19" s="90"/>
      <c r="D19" s="91"/>
      <c r="E19" s="9">
        <f>-'Fane 4.2. Gen. krav - anlæg'!G31</f>
        <v>-1377092.1869945172</v>
      </c>
      <c r="F19" s="8" t="s">
        <v>3</v>
      </c>
      <c r="G19" s="1"/>
    </row>
    <row r="20" spans="1:7" ht="15" customHeight="1" x14ac:dyDescent="0.25">
      <c r="A20" s="1"/>
      <c r="B20" s="59" t="s">
        <v>22</v>
      </c>
      <c r="C20" s="60"/>
      <c r="D20" s="67"/>
      <c r="E20" s="10">
        <f>SUM(E9:E19)</f>
        <v>68012986.078900203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6" t="s">
        <v>13</v>
      </c>
      <c r="C22" s="97"/>
      <c r="D22" s="98"/>
      <c r="E22" s="10">
        <v>2351355.98058144</v>
      </c>
      <c r="F22" s="11" t="s">
        <v>3</v>
      </c>
      <c r="G22" s="1"/>
    </row>
    <row r="23" spans="1:7" ht="15" customHeight="1" x14ac:dyDescent="0.25">
      <c r="A23" s="1"/>
      <c r="B23" s="99" t="s">
        <v>94</v>
      </c>
      <c r="C23" s="100"/>
      <c r="D23" s="101"/>
      <c r="E23" s="32"/>
      <c r="F23" s="32"/>
      <c r="G23" s="1"/>
    </row>
    <row r="24" spans="1:7" ht="15" customHeight="1" x14ac:dyDescent="0.25">
      <c r="A24" s="1"/>
      <c r="B24" s="59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3" t="s">
        <v>89</v>
      </c>
      <c r="C26" s="94"/>
      <c r="D26" s="95"/>
      <c r="E26" s="9">
        <v>0</v>
      </c>
      <c r="F26" s="8" t="s">
        <v>3</v>
      </c>
      <c r="G26" s="1"/>
    </row>
    <row r="27" spans="1:7" ht="15" customHeight="1" x14ac:dyDescent="0.25">
      <c r="A27" s="1"/>
      <c r="B27" s="93" t="s">
        <v>90</v>
      </c>
      <c r="C27" s="94"/>
      <c r="D27" s="94"/>
      <c r="E27" s="9">
        <v>0</v>
      </c>
      <c r="F27" s="8" t="s">
        <v>3</v>
      </c>
      <c r="G27" s="1"/>
    </row>
    <row r="28" spans="1:7" ht="15" customHeight="1" x14ac:dyDescent="0.25">
      <c r="A28" s="1"/>
      <c r="B28" s="102" t="s">
        <v>95</v>
      </c>
      <c r="C28" s="103"/>
      <c r="D28" s="103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6" t="s">
        <v>185</v>
      </c>
      <c r="C30" s="97"/>
      <c r="D30" s="97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6" customHeight="1" x14ac:dyDescent="0.25">
      <c r="A32" s="1"/>
      <c r="B32" s="96" t="s">
        <v>148</v>
      </c>
      <c r="C32" s="97"/>
      <c r="D32" s="98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70364342.059481651</v>
      </c>
      <c r="F33" s="13" t="s">
        <v>3</v>
      </c>
      <c r="G33" s="1"/>
    </row>
    <row r="34" spans="1:7" ht="27" customHeight="1" x14ac:dyDescent="0.25">
      <c r="A34" s="1"/>
      <c r="B34" s="89" t="s">
        <v>252</v>
      </c>
      <c r="C34" s="90"/>
      <c r="D34" s="90"/>
      <c r="E34" s="90"/>
      <c r="F34" s="9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09IAGWGFxVqQDtLVfrgc9kT6aVIncYkNla7usyUFbNvcbUtkESDU3h2vxOZP+t9lPrJ7luSsRDYLztsQxoIFXg==" saltValue="2QvirJIKJESPQmBr4NQx1Q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855468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2" t="s">
        <v>130</v>
      </c>
      <c r="C2" s="92"/>
      <c r="D2" s="92"/>
      <c r="E2" s="92"/>
      <c r="F2" s="92"/>
      <c r="G2" s="92"/>
      <c r="H2" s="92"/>
      <c r="I2" s="1"/>
    </row>
    <row r="3" spans="1:9" ht="28.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9" t="s">
        <v>56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4" t="s">
        <v>45</v>
      </c>
      <c r="C6" s="105"/>
      <c r="D6" s="105"/>
      <c r="E6" s="105"/>
      <c r="F6" s="106"/>
      <c r="G6" s="24">
        <v>26824449</v>
      </c>
      <c r="H6" s="14" t="s">
        <v>3</v>
      </c>
      <c r="I6" s="1"/>
    </row>
    <row r="7" spans="1:9" x14ac:dyDescent="0.25">
      <c r="A7" s="1"/>
      <c r="B7" s="89" t="s">
        <v>145</v>
      </c>
      <c r="C7" s="90"/>
      <c r="D7" s="90"/>
      <c r="E7" s="90"/>
      <c r="F7" s="91"/>
      <c r="G7" s="51">
        <v>0</v>
      </c>
      <c r="H7" s="14" t="s">
        <v>3</v>
      </c>
      <c r="I7" s="1"/>
    </row>
    <row r="8" spans="1:9" x14ac:dyDescent="0.25">
      <c r="A8" s="1"/>
      <c r="B8" s="104" t="s">
        <v>46</v>
      </c>
      <c r="C8" s="105"/>
      <c r="D8" s="105"/>
      <c r="E8" s="105"/>
      <c r="F8" s="106"/>
      <c r="G8" s="24">
        <f>SUM(G6:G7)*'Fane 14. Nøgletal'!C29</f>
        <v>536488.98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9" t="s">
        <v>57</v>
      </c>
      <c r="C11" s="100"/>
      <c r="D11" s="100"/>
      <c r="E11" s="100"/>
      <c r="F11" s="100"/>
      <c r="G11" s="100"/>
      <c r="H11" s="101"/>
      <c r="I11" s="1"/>
    </row>
    <row r="12" spans="1:9" x14ac:dyDescent="0.2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26747999.320350002</v>
      </c>
      <c r="H12" s="14" t="s">
        <v>3</v>
      </c>
      <c r="I12" s="1"/>
    </row>
    <row r="13" spans="1:9" ht="15" customHeight="1" x14ac:dyDescent="0.25">
      <c r="A13" s="1"/>
      <c r="B13" s="104" t="s">
        <v>146</v>
      </c>
      <c r="C13" s="105"/>
      <c r="D13" s="105"/>
      <c r="E13" s="105"/>
      <c r="F13" s="106"/>
      <c r="G13" s="24">
        <v>0.3512038820330054</v>
      </c>
      <c r="H13" s="14" t="s">
        <v>3</v>
      </c>
      <c r="I13" s="1"/>
    </row>
    <row r="14" spans="1:9" x14ac:dyDescent="0.25">
      <c r="A14" s="1"/>
      <c r="B14" s="89" t="s">
        <v>143</v>
      </c>
      <c r="C14" s="90"/>
      <c r="D14" s="90"/>
      <c r="E14" s="90"/>
      <c r="F14" s="91"/>
      <c r="G14" s="51">
        <v>0</v>
      </c>
      <c r="H14" s="14" t="s">
        <v>3</v>
      </c>
      <c r="I14" s="1"/>
    </row>
    <row r="15" spans="1:9" x14ac:dyDescent="0.25">
      <c r="A15" s="1"/>
      <c r="B15" s="110" t="s">
        <v>48</v>
      </c>
      <c r="C15" s="111"/>
      <c r="D15" s="111"/>
      <c r="E15" s="111"/>
      <c r="F15" s="112"/>
      <c r="G15" s="51">
        <v>0</v>
      </c>
      <c r="H15" s="14" t="s">
        <v>3</v>
      </c>
      <c r="I15" s="1"/>
    </row>
    <row r="16" spans="1:9" x14ac:dyDescent="0.2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534959.99343107769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9" t="s">
        <v>58</v>
      </c>
      <c r="C19" s="100"/>
      <c r="D19" s="100"/>
      <c r="E19" s="100"/>
      <c r="F19" s="100"/>
      <c r="G19" s="100"/>
      <c r="H19" s="101"/>
      <c r="I19" s="1"/>
    </row>
    <row r="20" spans="1:9" x14ac:dyDescent="0.2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26671767.872489959</v>
      </c>
      <c r="H20" s="14" t="s">
        <v>3</v>
      </c>
      <c r="I20" s="1"/>
    </row>
    <row r="21" spans="1:9" x14ac:dyDescent="0.25">
      <c r="A21" s="1"/>
      <c r="B21" s="110" t="s">
        <v>51</v>
      </c>
      <c r="C21" s="111"/>
      <c r="D21" s="111"/>
      <c r="E21" s="111"/>
      <c r="F21" s="112"/>
      <c r="G21" s="51">
        <v>0</v>
      </c>
      <c r="H21" s="14" t="s">
        <v>3</v>
      </c>
      <c r="I21" s="1"/>
    </row>
    <row r="22" spans="1:9" x14ac:dyDescent="0.2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533435.35744979919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9" t="s">
        <v>59</v>
      </c>
      <c r="C25" s="100"/>
      <c r="D25" s="100"/>
      <c r="E25" s="100"/>
      <c r="F25" s="100"/>
      <c r="G25" s="100"/>
      <c r="H25" s="101"/>
      <c r="I25" s="1"/>
    </row>
    <row r="26" spans="1:9" x14ac:dyDescent="0.2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26653257.665586453</v>
      </c>
      <c r="H26" s="14" t="s">
        <v>3</v>
      </c>
      <c r="I26" s="1"/>
    </row>
    <row r="27" spans="1:9" x14ac:dyDescent="0.25">
      <c r="A27" s="1"/>
      <c r="B27" s="110" t="s">
        <v>54</v>
      </c>
      <c r="C27" s="111"/>
      <c r="D27" s="111"/>
      <c r="E27" s="111"/>
      <c r="F27" s="112"/>
      <c r="G27" s="51">
        <v>0</v>
      </c>
      <c r="H27" s="14" t="s">
        <v>3</v>
      </c>
      <c r="I27" s="1"/>
    </row>
    <row r="28" spans="1:9" x14ac:dyDescent="0.2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533065.15331172908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9" t="s">
        <v>62</v>
      </c>
      <c r="C31" s="100"/>
      <c r="D31" s="100"/>
      <c r="E31" s="100"/>
      <c r="F31" s="100"/>
      <c r="G31" s="100"/>
      <c r="H31" s="101"/>
      <c r="I31" s="1"/>
    </row>
    <row r="32" spans="1:9" x14ac:dyDescent="0.2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26634760.304766536</v>
      </c>
      <c r="H32" s="14" t="s">
        <v>3</v>
      </c>
      <c r="I32" s="1"/>
    </row>
    <row r="33" spans="1:9" x14ac:dyDescent="0.25">
      <c r="A33" s="1"/>
      <c r="B33" s="104" t="s">
        <v>171</v>
      </c>
      <c r="C33" s="105"/>
      <c r="D33" s="105"/>
      <c r="E33" s="105"/>
      <c r="F33" s="106"/>
      <c r="G33" s="51">
        <v>0</v>
      </c>
      <c r="H33" s="14" t="s">
        <v>3</v>
      </c>
      <c r="I33" s="1"/>
    </row>
    <row r="34" spans="1:9" x14ac:dyDescent="0.2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532695.20609533077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9" t="s">
        <v>232</v>
      </c>
      <c r="C37" s="100"/>
      <c r="D37" s="100"/>
      <c r="E37" s="100"/>
      <c r="F37" s="100"/>
      <c r="G37" s="100"/>
      <c r="H37" s="101"/>
      <c r="I37" s="1"/>
    </row>
    <row r="38" spans="1:9" x14ac:dyDescent="0.2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26188201.913496822</v>
      </c>
      <c r="H38" s="14" t="s">
        <v>3</v>
      </c>
      <c r="I38" s="1"/>
    </row>
    <row r="39" spans="1:9" x14ac:dyDescent="0.25">
      <c r="A39" s="1"/>
      <c r="B39" s="104" t="s">
        <v>236</v>
      </c>
      <c r="C39" s="105"/>
      <c r="D39" s="105"/>
      <c r="E39" s="105"/>
      <c r="F39" s="106"/>
      <c r="G39" s="24">
        <f>SUM('Fane 2.1. Økonomisk ramme 2022'!C10,'Fane 2.1. Økonomisk ramme 2022'!C12,'Fane 2.1. Økonomisk ramme 2022'!C14)*(1+'Fane 14. Nøgletal'!C14)</f>
        <v>36936.57999766001</v>
      </c>
      <c r="H39" s="14" t="s">
        <v>3</v>
      </c>
      <c r="I39" s="1"/>
    </row>
    <row r="40" spans="1:9" x14ac:dyDescent="0.2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524502.7698698896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9" t="s">
        <v>233</v>
      </c>
      <c r="C43" s="100"/>
      <c r="D43" s="100"/>
      <c r="E43" s="100"/>
      <c r="F43" s="100"/>
      <c r="G43" s="100"/>
      <c r="H43" s="101"/>
      <c r="I43" s="1"/>
    </row>
    <row r="44" spans="1:9" x14ac:dyDescent="0.2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25785447.821512554</v>
      </c>
      <c r="H44" s="14" t="s">
        <v>3</v>
      </c>
      <c r="I44" s="1"/>
    </row>
    <row r="45" spans="1:9" x14ac:dyDescent="0.25">
      <c r="A45" s="1"/>
      <c r="B45" s="107" t="s">
        <v>237</v>
      </c>
      <c r="C45" s="108"/>
      <c r="D45" s="108"/>
      <c r="E45" s="108"/>
      <c r="F45" s="109"/>
      <c r="G45" s="24">
        <f>G39*(1+'Fane 14. Nøgletal'!C14)</f>
        <v>37058.470711652291</v>
      </c>
      <c r="H45" s="14" t="s">
        <v>3</v>
      </c>
      <c r="I45" s="1"/>
    </row>
    <row r="46" spans="1:9" x14ac:dyDescent="0.25">
      <c r="A46" s="1"/>
      <c r="B46" s="104" t="s">
        <v>97</v>
      </c>
      <c r="C46" s="105"/>
      <c r="D46" s="105"/>
      <c r="E46" s="105"/>
      <c r="F46" s="106"/>
      <c r="G46" s="51">
        <v>0</v>
      </c>
      <c r="H46" s="14" t="s">
        <v>3</v>
      </c>
      <c r="I46" s="1"/>
    </row>
    <row r="47" spans="1:9" x14ac:dyDescent="0.2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515708.95643025107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172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25353129.003337074</v>
      </c>
      <c r="H53" s="14" t="s">
        <v>3</v>
      </c>
      <c r="I53" s="1"/>
    </row>
    <row r="54" spans="1:9" x14ac:dyDescent="0.25">
      <c r="A54" s="1"/>
      <c r="B54" s="104" t="s">
        <v>174</v>
      </c>
      <c r="C54" s="105"/>
      <c r="D54" s="105"/>
      <c r="E54" s="105"/>
      <c r="F54" s="106"/>
      <c r="G54" s="51">
        <v>0</v>
      </c>
      <c r="H54" s="14" t="s">
        <v>3</v>
      </c>
      <c r="I54" s="1"/>
    </row>
    <row r="55" spans="1:9" x14ac:dyDescent="0.2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507062.5800667415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6" t="s">
        <v>201</v>
      </c>
      <c r="C58" s="57"/>
      <c r="D58" s="57"/>
      <c r="E58" s="57"/>
      <c r="F58" s="57"/>
      <c r="G58" s="57"/>
      <c r="H58" s="58"/>
      <c r="I58" s="1"/>
    </row>
    <row r="59" spans="1:9" x14ac:dyDescent="0.25">
      <c r="A59" s="1"/>
      <c r="B59" s="62" t="s">
        <v>202</v>
      </c>
      <c r="C59" s="63"/>
      <c r="D59" s="63"/>
      <c r="E59" s="63"/>
      <c r="F59" s="64"/>
      <c r="G59" s="24">
        <f>(G53+G54-G55)*(1+'Fane 14. Nøgletal'!C14)</f>
        <v>24928058.442467127</v>
      </c>
      <c r="H59" s="14" t="s">
        <v>3</v>
      </c>
      <c r="I59" s="1"/>
    </row>
    <row r="60" spans="1:9" x14ac:dyDescent="0.25">
      <c r="A60" s="1"/>
      <c r="B60" s="62" t="s">
        <v>203</v>
      </c>
      <c r="C60" s="63"/>
      <c r="D60" s="63"/>
      <c r="E60" s="63"/>
      <c r="F60" s="64"/>
      <c r="G60" s="51">
        <v>0</v>
      </c>
      <c r="H60" s="14" t="s">
        <v>3</v>
      </c>
      <c r="I60" s="1"/>
    </row>
    <row r="61" spans="1:9" x14ac:dyDescent="0.25">
      <c r="A61" s="1"/>
      <c r="B61" s="62" t="s">
        <v>204</v>
      </c>
      <c r="C61" s="63"/>
      <c r="D61" s="63"/>
      <c r="E61" s="63"/>
      <c r="F61" s="64"/>
      <c r="G61" s="24">
        <f>(G59+G60)*'Fane 14. Nøgletal'!C29</f>
        <v>498561.16884934256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6O0Ri3j+88bMIrYK/Jt48+QjU7Nmu9jBTgvzIvW1cS9kreliSBD62B+YMhekT2KtpyqpzZsIEsiaATFPzeirRA==" saltValue="4uNw6Ge33TQ2e23HipoOZw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855468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9" t="s">
        <v>60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24">
        <v>48131379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24">
        <f>G5*'Fane 14. Nøgletal'!C19</f>
        <v>437995.54889999999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9" t="s">
        <v>66</v>
      </c>
      <c r="C9" s="100"/>
      <c r="D9" s="100"/>
      <c r="E9" s="100"/>
      <c r="F9" s="100"/>
      <c r="G9" s="100"/>
      <c r="H9" s="101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48528017.661494255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24">
        <v>-583569.62104921986</v>
      </c>
      <c r="H11" s="14" t="s">
        <v>3</v>
      </c>
      <c r="I11" s="1"/>
    </row>
    <row r="12" spans="1:9" x14ac:dyDescent="0.25">
      <c r="A12" s="1"/>
      <c r="B12" s="110" t="s">
        <v>68</v>
      </c>
      <c r="C12" s="111"/>
      <c r="D12" s="111"/>
      <c r="E12" s="111"/>
      <c r="F12" s="112"/>
      <c r="G12" s="51">
        <v>0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848616.73031587712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70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47920008.358056419</v>
      </c>
      <c r="H17" s="14" t="s">
        <v>3</v>
      </c>
      <c r="I17" s="1"/>
    </row>
    <row r="18" spans="1:9" x14ac:dyDescent="0.25">
      <c r="A18" s="1"/>
      <c r="B18" s="110" t="s">
        <v>72</v>
      </c>
      <c r="C18" s="111"/>
      <c r="D18" s="111"/>
      <c r="E18" s="111"/>
      <c r="F18" s="112"/>
      <c r="G18" s="24">
        <v>284829.57450400991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850662.16523578356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9" t="s">
        <v>74</v>
      </c>
      <c r="C22" s="100"/>
      <c r="D22" s="100"/>
      <c r="E22" s="100"/>
      <c r="F22" s="100"/>
      <c r="G22" s="100"/>
      <c r="H22" s="101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48287053.029940948</v>
      </c>
      <c r="H23" s="14" t="s">
        <v>3</v>
      </c>
      <c r="I23" s="1"/>
    </row>
    <row r="24" spans="1:9" x14ac:dyDescent="0.25">
      <c r="A24" s="1"/>
      <c r="B24" s="110" t="s">
        <v>76</v>
      </c>
      <c r="C24" s="111"/>
      <c r="D24" s="111"/>
      <c r="E24" s="111"/>
      <c r="F24" s="112"/>
      <c r="G24" s="24">
        <v>655289.12226198963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1389962.5171225634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9" t="s">
        <v>78</v>
      </c>
      <c r="C28" s="100"/>
      <c r="D28" s="100"/>
      <c r="E28" s="100"/>
      <c r="F28" s="100"/>
      <c r="G28" s="100"/>
      <c r="H28" s="101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48489161.513891451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51">
        <v>0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1377092.1869945172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9" t="s">
        <v>238</v>
      </c>
      <c r="C34" s="100"/>
      <c r="D34" s="100"/>
      <c r="E34" s="100"/>
      <c r="F34" s="100"/>
      <c r="G34" s="100"/>
      <c r="H34" s="101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47267539.155675702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51">
        <v>0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699559.57950400037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9" t="s">
        <v>85</v>
      </c>
      <c r="C40" s="100"/>
      <c r="D40" s="100"/>
      <c r="E40" s="100"/>
      <c r="F40" s="100"/>
      <c r="G40" s="100"/>
      <c r="H40" s="101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46721653.908773072</v>
      </c>
      <c r="H41" s="14" t="s">
        <v>3</v>
      </c>
      <c r="I41" s="1"/>
    </row>
    <row r="42" spans="1:9" x14ac:dyDescent="0.25">
      <c r="A42" s="1"/>
      <c r="B42" s="47" t="s">
        <v>242</v>
      </c>
      <c r="C42" s="63"/>
      <c r="D42" s="63"/>
      <c r="E42" s="63"/>
      <c r="F42" s="64"/>
      <c r="G42" s="51">
        <v>0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51"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691480.47784984147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181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46182073.003245279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51"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683494.68044803012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9" t="s">
        <v>205</v>
      </c>
      <c r="C58" s="100"/>
      <c r="D58" s="100"/>
      <c r="E58" s="100"/>
      <c r="F58" s="100"/>
      <c r="G58" s="100"/>
      <c r="H58" s="101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45648723.631262481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51"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675601.10974268476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Ve1NoQPgB8ztJHIc/f9HgU6NoHoDM4IO2m7Nh4Mnt2TBAMucripQp4LiagJ/8nUIIpFHriimpPWzrdULbFcHRQ==" saltValue="pscjUZkCW7oBb12GBVS4zQ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5.5166766430977563E-3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1.5892367250813822E-2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1.5815394010645169E-2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0.02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MqMidUQ2zY5XHHwqCKCUytyrlvYhSyQuRcsMdzev/wq4wvGXcd52eZCEmaLU73Lfx41qcVm3aXVXq5yPStP18g==" saltValue="iIgGn2cn9O6laWBg8HliJ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2021-10-06T08:53:05Z</dcterms:modified>
</cp:coreProperties>
</file>