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emvig Vand &amp; Spildevand AS (S06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1" i="11" l="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2" i="11" l="1"/>
  <c r="E13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4" i="11" l="1"/>
  <c r="C10" i="37" s="1"/>
  <c r="C11" i="37" s="1"/>
  <c r="G14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4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<sst xmlns="http://schemas.openxmlformats.org/spreadsheetml/2006/main" count="696" uniqueCount="283">
  <si>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</si>
  <si>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</si>
  <si>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</si>
  <si>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</si>
  <si>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</si>
  <si>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</si>
  <si>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</si>
  <si>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</si>
  <si>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</si>
  <si>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</si>
  <si>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</si>
  <si>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</si>
  <si>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</si>
  <si>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</si>
  <si>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</si>
  <si>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</si>
  <si>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</si>
  <si>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</si>
  <si>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</si>
  <si>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</si>
  <si>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</si>
  <si>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</si>
  <si>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</si>
  <si>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</si>
  <si>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</si>
  <si>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</si>
  <si>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</si>
  <si>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</si>
  <si>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</si>
  <si>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</si>
  <si>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</si>
  <si>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</si>
  <si>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</si>
  <si>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</si>
  <si>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</si>
  <si>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</si>
  <si>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</si>
  <si>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</si>
  <si>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</si>
  <si>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</si>
  <si>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</si>
  <si>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</si>
  <si>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</si>
  <si>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</si>
  <si>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</si>
  <si>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</si>
  <si>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</si>
  <si>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</si>
  <si>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</si>
  <si>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</si>
  <si>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</si>
  <si>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</si>
  <si>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</si>
  <si>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</si>
  <si>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</si>
  <si>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</si>
  <si>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</si>
  <si>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</si>
  <si>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</si>
  <si>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</si>
  <si>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</si>
  <si>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</si>
  <si>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</si>
  <si>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</si>
  <si>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</si>
  <si>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</si>
  <si>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</si>
  <si>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</si>
  <si>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</si>
  <si>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</si>
  <si>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</si>
  <si>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</si>
  <si>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</si>
  <si>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</si>
  <si>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</si>
  <si>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</si>
  <si>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</si>
  <si>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</si>
  <si>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</si>
  <si>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</si>
  <si>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</si>
  <si>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</si>
  <si>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</si>
  <si>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</si>
  <si>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</si>
  <si>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</si>
  <si>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</si>
  <si>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</si>
  <si>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</si>
  <si>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</si>
  <si>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</si>
  <si>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</si>
  <si>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</si>
  <si>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</si>
  <si>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</si>
  <si>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</si>
  <si>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</si>
  <si>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</si>
  <si>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</si>
  <si>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</si>
  <si>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</si>
  <si>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</si>
  <si>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</si>
  <si>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</si>
  <si>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</si>
  <si>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</si>
  <si>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</si>
  <si>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</si>
  <si>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</si>
  <si>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</si>
  <si>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</si>
  <si>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</si>
  <si>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</si>
  <si>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</si>
  <si>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</si>
  <si>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</si>
  <si>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</si>
  <si>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</si>
  <si>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</si>
  <si>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</si>
  <si>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</si>
  <si>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</si>
  <si>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</si>
  <si>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</si>
  <si>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</si>
  <si>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</si>
  <si>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</si>
  <si>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</si>
  <si>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</si>
  <si>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</si>
  <si>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</si>
  <si>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</si>
  <si>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</si>
  <si>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</si>
  <si>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</si>
  <si>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</si>
  <si>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</si>
  <si>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</si>
  <si>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</si>
  <si>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</si>
  <si>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</si>
  <si>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</si>
  <si>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</si>
  <si>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</si>
  <si>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</si>
  <si>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</si>
  <si>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</si>
  <si>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</si>
  <si>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</si>
  <si>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</si>
  <si>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</si>
  <si>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</si>
  <si>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</si>
  <si>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</si>
  <si>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</si>
  <si>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</si>
  <si>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</si>
  <si>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</si>
  <si>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</si>
  <si>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</si>
  <si>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</si>
  <si>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</si>
  <si>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</si>
  <si>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</si>
  <si>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</si>
  <si>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</si>
  <si>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</si>
  <si>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</si>
  <si>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</si>
  <si>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</si>
  <si>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</si>
  <si>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</si>
  <si>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</si>
  <si>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</si>
  <si>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</si>
  <si>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</si>
  <si>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</si>
  <si>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</si>
  <si>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</si>
  <si>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</si>
  <si>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</si>
  <si>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</si>
  <si>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</si>
  <si>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</si>
  <si>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</si>
  <si>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</si>
  <si>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</si>
  <si>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</si>
  <si>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</si>
  <si>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</si>
  <si>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</si>
  <si>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</si>
  <si>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</si>
  <si>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</si>
  <si>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</si>
  <si>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</si>
  <si>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</si>
  <si>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</si>
  <si>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</si>
  <si>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</si>
  <si>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</si>
  <si>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</si>
  <si>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</si>
  <si>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</si>
  <si>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</si>
  <si>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</si>
  <si>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</si>
  <si>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</si>
  <si>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</si>
  <si>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</si>
  <si>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</si>
  <si>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</si>
  <si>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</si>
  <si>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</si>
  <si>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</si>
  <si>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</si>
  <si>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</si>
  <si>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</si>
  <si>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</si>
  <si>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</si>
  <si>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</si>
  <si>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</si>
  <si>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</si>
  <si>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</si>
  <si>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</si>
  <si>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</si>
  <si>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</si>
  <si>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</si>
  <si>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</si>
  <si>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</si>
  <si>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</si>
  <si>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</si>
  <si>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</si>
  <si>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</si>
  <si>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</si>
  <si>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</si>
  <si>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</si>
  <si>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</si>
  <si>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</si>
  <si>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</si>
  <si>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</si>
  <si>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</si>
  <si>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</si>
  <si>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</si>
  <si>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</si>
  <si>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</si>
  <si>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</si>
  <si>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</si>
  <si>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</si>
  <si>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</si>
  <si>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</si>
  <si>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</si>
  <si>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</si>
  <si>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</si>
  <si>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</si>
  <si>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</si>
  <si>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</si>
  <si>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</si>
  <si>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</si>
  <si>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</si>
  <si>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</si>
  <si>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</si>
  <si>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</si>
  <si>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</si>
  <si>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</si>
  <si>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</si>
  <si>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</si>
  <si>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</si>
  <si>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Tjenestemandspensioner</t>
  </si>
  <si>
    <t>Erstatninger</t>
  </si>
  <si>
    <t>Ingen tilknyttet virksomhed</t>
  </si>
  <si>
    <t>Ingen bortfald eller nedsættelse</t>
  </si>
  <si>
    <t>Ingen engangstillæg</t>
  </si>
  <si>
    <t>Strømpeforing Ø 500 mm &lt; Ledningsnet ≤ Ø 800 mm</t>
  </si>
  <si>
    <t>50</t>
  </si>
  <si>
    <t>Pumpestationer i brønde (&lt; 6,25 m2), Konstruktioner</t>
  </si>
  <si>
    <t>Pumpestationer i brønde (&lt; 6,25 m2), Mek/EL</t>
  </si>
  <si>
    <t>20</t>
  </si>
  <si>
    <t>Pumpestationer i brønde (&lt; 6,25 m2), SRO</t>
  </si>
  <si>
    <t>10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</si>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</sst>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4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4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4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4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4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4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4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4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4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4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6" t="s">
        <v>196</v>
      </c>
      <c r="C8" s="87"/>
      <c r="D8" s="88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954278</v>
      </c>
      <c r="D10" s="14" t="s">
        <v>3</v>
      </c>
      <c r="E10" s="1"/>
      <c r="F10" s="1"/>
    </row>
    <row r="11" spans="1:6" ht="15" customHeight="1" x14ac:dyDescent="0.45">
      <c r="A11" s="1"/>
      <c r="B11" s="54" t="s">
        <v>266</v>
      </c>
      <c r="C11" s="9">
        <v>41564.400000000001</v>
      </c>
      <c r="D11" s="14" t="s">
        <v>3</v>
      </c>
      <c r="E11" s="1"/>
      <c r="F11" s="1"/>
    </row>
    <row r="12" spans="1:6" x14ac:dyDescent="0.45">
      <c r="A12" s="1"/>
      <c r="B12" s="54" t="s">
        <v>267</v>
      </c>
      <c r="C12" s="9">
        <v>71355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645604</v>
      </c>
      <c r="D13" s="14" t="s">
        <v>3</v>
      </c>
      <c r="E13" s="1"/>
      <c r="F13" s="1"/>
    </row>
    <row r="14" spans="1:6" x14ac:dyDescent="0.45">
      <c r="A14" s="1"/>
      <c r="B14" s="54" t="s">
        <v>269</v>
      </c>
      <c r="C14" s="9">
        <v>67879</v>
      </c>
      <c r="D14" s="14" t="s">
        <v>3</v>
      </c>
      <c r="E14" s="1"/>
      <c r="F14" s="1"/>
    </row>
    <row r="15" spans="1:6" x14ac:dyDescent="0.45">
      <c r="A15" s="1"/>
      <c r="B15" s="38" t="s">
        <v>198</v>
      </c>
      <c r="C15" s="12">
        <f>SUM(C10:C14)</f>
        <v>1780680.4</v>
      </c>
      <c r="D15" s="13" t="s">
        <v>3</v>
      </c>
      <c r="E15" s="1"/>
      <c r="F15" s="1"/>
    </row>
    <row r="16" spans="1:6" x14ac:dyDescent="0.45">
      <c r="A16" s="1"/>
      <c r="B16" s="38" t="s">
        <v>199</v>
      </c>
      <c r="C16" s="12">
        <f>C15*(1+'Fane 14. Nøgletal'!C13)^2</f>
        <v>1824394.038230736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86" t="s">
        <v>178</v>
      </c>
      <c r="C19" s="87"/>
      <c r="D19" s="88"/>
      <c r="E19" s="1"/>
      <c r="F19" s="1"/>
    </row>
    <row r="20" spans="1:6" x14ac:dyDescent="0.4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86"/>
      <c r="C24" s="87"/>
      <c r="D24" s="88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86" t="s">
        <v>146</v>
      </c>
      <c r="C27" s="87"/>
      <c r="D27" s="88"/>
      <c r="E27" s="1"/>
      <c r="F27" s="1"/>
    </row>
    <row r="28" spans="1:6" x14ac:dyDescent="0.4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86"/>
      <c r="C32" s="87"/>
      <c r="D32" s="88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137</v>
      </c>
      <c r="C8" s="87"/>
      <c r="D8" s="87"/>
      <c r="E8" s="87"/>
      <c r="F8" s="88"/>
      <c r="G8" s="1"/>
    </row>
    <row r="9" spans="1:7" x14ac:dyDescent="0.45">
      <c r="A9" s="1"/>
      <c r="B9" s="92" t="s">
        <v>138</v>
      </c>
      <c r="C9" s="93"/>
      <c r="D9" s="94"/>
      <c r="E9" s="9">
        <v>81009853.862270638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40729677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90" t="s">
        <v>140</v>
      </c>
      <c r="C12" s="91"/>
      <c r="D12" s="101"/>
      <c r="E12" s="10">
        <f>E9-(E10-E11)</f>
        <v>40280176.862270638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52</v>
      </c>
      <c r="C16" s="87"/>
      <c r="D16" s="87"/>
      <c r="E16" s="87"/>
      <c r="F16" s="88"/>
      <c r="G16" s="1"/>
    </row>
    <row r="17" spans="1:7" x14ac:dyDescent="0.45">
      <c r="A17" s="1"/>
      <c r="B17" s="92" t="s">
        <v>53</v>
      </c>
      <c r="C17" s="93"/>
      <c r="D17" s="94"/>
      <c r="E17" s="9">
        <v>59471236.077912733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41143200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90" t="s">
        <v>55</v>
      </c>
      <c r="C20" s="91"/>
      <c r="D20" s="101"/>
      <c r="E20" s="10">
        <f>E17-(E18-E19)</f>
        <v>18328036.077912733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245</v>
      </c>
      <c r="C24" s="87"/>
      <c r="D24" s="87"/>
      <c r="E24" s="87"/>
      <c r="F24" s="88"/>
      <c r="G24" s="1"/>
    </row>
    <row r="25" spans="1:7" x14ac:dyDescent="0.45">
      <c r="A25" s="1"/>
      <c r="B25" s="92" t="s">
        <v>246</v>
      </c>
      <c r="C25" s="93"/>
      <c r="D25" s="94"/>
      <c r="E25" s="9">
        <v>60381741.202615336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38108516.170000002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90" t="s">
        <v>248</v>
      </c>
      <c r="C28" s="91"/>
      <c r="D28" s="101"/>
      <c r="E28" s="10">
        <f>E25-(E26-E27)</f>
        <v>22273225.032615334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6" t="s">
        <v>250</v>
      </c>
      <c r="C31" s="87"/>
      <c r="D31" s="87"/>
      <c r="E31" s="87"/>
      <c r="F31" s="88"/>
      <c r="G31" s="1"/>
    </row>
    <row r="32" spans="1:7" x14ac:dyDescent="0.4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6"/>
      <c r="C33" s="87"/>
      <c r="D33" s="87"/>
      <c r="E33" s="87"/>
      <c r="F33" s="88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6" t="s">
        <v>249</v>
      </c>
      <c r="C35" s="87"/>
      <c r="D35" s="87"/>
      <c r="E35" s="87"/>
      <c r="F35" s="88"/>
      <c r="G35" s="1"/>
    </row>
    <row r="36" spans="1:7" x14ac:dyDescent="0.45">
      <c r="A36" s="1"/>
      <c r="B36" s="102" t="s">
        <v>281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282</v>
      </c>
      <c r="C37" s="103"/>
      <c r="D37" s="104"/>
      <c r="E37" s="9">
        <v>1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6" t="s">
        <v>202</v>
      </c>
      <c r="C9" s="87"/>
      <c r="D9" s="87"/>
      <c r="E9" s="87"/>
      <c r="F9" s="88"/>
      <c r="G9" s="1"/>
    </row>
    <row r="10" spans="1:7" x14ac:dyDescent="0.45">
      <c r="A10" s="1"/>
      <c r="B10" s="77" t="s">
        <v>150</v>
      </c>
      <c r="C10" s="78"/>
      <c r="D10" s="79"/>
      <c r="E10" s="7">
        <v>249603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90" t="s">
        <v>151</v>
      </c>
      <c r="C12" s="91"/>
      <c r="D12" s="101"/>
      <c r="E12" s="10">
        <f>E11-E10</f>
        <v>-249603</v>
      </c>
      <c r="F12" s="11" t="s">
        <v>3</v>
      </c>
      <c r="G12" s="1"/>
    </row>
    <row r="13" spans="1:7" x14ac:dyDescent="0.45">
      <c r="A13" s="1"/>
      <c r="B13" s="86" t="s">
        <v>134</v>
      </c>
      <c r="C13" s="87"/>
      <c r="D13" s="87"/>
      <c r="E13" s="87"/>
      <c r="F13" s="88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-249603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65" x14ac:dyDescent="0.45">
      <c r="A10" s="1"/>
      <c r="B10" s="56" t="s">
        <v>273</v>
      </c>
      <c r="C10" s="112" t="s">
        <v>274</v>
      </c>
      <c r="D10" s="9">
        <v>5507800</v>
      </c>
      <c r="E10" s="9">
        <f>IFERROR(D10/C10,0)</f>
        <v>110156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56" t="s">
        <v>275</v>
      </c>
      <c r="C11" s="112" t="s">
        <v>274</v>
      </c>
      <c r="D11" s="9">
        <v>164268</v>
      </c>
      <c r="E11" s="9">
        <f>IFERROR(D11/C11,0)</f>
        <v>3285.36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56" t="s">
        <v>276</v>
      </c>
      <c r="C12" s="112" t="s">
        <v>277</v>
      </c>
      <c r="D12" s="9">
        <v>492806</v>
      </c>
      <c r="E12" s="9">
        <f t="shared" ref="E12:E13" si="0">IFERROR(D12/C12,0)</f>
        <v>24640.3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56" t="s">
        <v>278</v>
      </c>
      <c r="C13" s="112" t="s">
        <v>279</v>
      </c>
      <c r="D13" s="9">
        <v>164268</v>
      </c>
      <c r="E13" s="9">
        <f t="shared" si="0"/>
        <v>16426.8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86" t="s">
        <v>238</v>
      </c>
      <c r="C14" s="87"/>
      <c r="D14" s="88"/>
      <c r="E14" s="12">
        <f>SUM(E10:E13)</f>
        <v>154508.46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rFhXvgLFGRcX8pozYP/32IgZ1U3hWVIBR7GeG2UyqVzJ2uPBkXrCR7g+XSDfVTtthFfh9L2VQqgWoUzx7n1O5w==" saltValue="NR9OqjbmNOqx1vtAp70GR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Anlægsprojekter'!F14</f>
        <v>0</v>
      </c>
      <c r="D10" s="14" t="s">
        <v>3</v>
      </c>
      <c r="E10" s="9">
        <f>SUM('Fane 9. Anlægsprojekter'!E14,'Fane 9. Anlægsprojekter'!G14)</f>
        <v>154508.46</v>
      </c>
      <c r="F10" s="14" t="s">
        <v>3</v>
      </c>
      <c r="G10" s="1"/>
    </row>
    <row r="11" spans="1:7" x14ac:dyDescent="0.4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154508.46</v>
      </c>
      <c r="F11" s="13" t="s">
        <v>3</v>
      </c>
      <c r="G11" s="1"/>
    </row>
    <row r="12" spans="1:7" x14ac:dyDescent="0.4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156393.463212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AfuAOcVPepoJeEcOF1Nb5X0HA0rrcJ9EbRMLQ9ZJrQuicl1x/k8+zvz8bLGe1EgUEX2guddIr4sd/90ZAuZLaA==" saltValue="TgYqQfYjlXR0pD+ek61I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141</v>
      </c>
      <c r="C8" s="87"/>
      <c r="D8" s="87"/>
      <c r="E8" s="87"/>
      <c r="F8" s="88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142</v>
      </c>
      <c r="C16" s="87"/>
      <c r="D16" s="87"/>
      <c r="E16" s="87"/>
      <c r="F16" s="88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143</v>
      </c>
      <c r="C24" s="87"/>
      <c r="D24" s="87"/>
      <c r="E24" s="87"/>
      <c r="F24" s="88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6" t="s">
        <v>223</v>
      </c>
      <c r="C32" s="87"/>
      <c r="D32" s="87"/>
      <c r="E32" s="87"/>
      <c r="F32" s="88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ZiI/GBUr2ciuKcoOr9AtJzwXpCwOdUK/HGdQsZXJKhJRm/yPCNRaycyF8NQOVy5623I0ZSdl4z56tXJ8Jwlvg==" saltValue="DUNs9WtCIY2uCE3kCA12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89"/>
      <c r="C5" s="89"/>
      <c r="D5" s="89"/>
      <c r="E5" s="89"/>
      <c r="F5" s="89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125</v>
      </c>
      <c r="C8" s="87"/>
      <c r="D8" s="87"/>
      <c r="E8" s="87"/>
      <c r="F8" s="88"/>
      <c r="G8" s="1"/>
    </row>
    <row r="9" spans="1:7" x14ac:dyDescent="0.45">
      <c r="A9" s="1"/>
      <c r="B9" s="109" t="s">
        <v>280</v>
      </c>
      <c r="C9" s="110"/>
      <c r="D9" s="111"/>
      <c r="E9" s="9">
        <v>295508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2"/>
      <c r="E10" s="9">
        <f>-E9*'Fane 5. Individuelt eff. krav'!G11</f>
        <v>-850.13332636667769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2"/>
      <c r="E11" s="9">
        <f>-E9*'Fane 14. Nøgletal'!C27</f>
        <v>-5910.16</v>
      </c>
      <c r="F11" s="14" t="s">
        <v>3</v>
      </c>
      <c r="G11" s="1"/>
    </row>
    <row r="12" spans="1:7" x14ac:dyDescent="0.45">
      <c r="A12" s="1"/>
      <c r="B12" s="86" t="s">
        <v>128</v>
      </c>
      <c r="C12" s="87"/>
      <c r="D12" s="88"/>
      <c r="E12" s="12">
        <f>SUM(E9:E11)*(1+'Fane 14. Nøgletal'!C12)^3</f>
        <v>306151.08401441446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126</v>
      </c>
      <c r="C14" s="87"/>
      <c r="D14" s="87"/>
      <c r="E14" s="87"/>
      <c r="F14" s="88"/>
      <c r="G14" s="1"/>
    </row>
    <row r="15" spans="1:7" x14ac:dyDescent="0.45">
      <c r="A15" s="1"/>
      <c r="B15" s="109" t="s">
        <v>207</v>
      </c>
      <c r="C15" s="110"/>
      <c r="D15" s="111"/>
      <c r="E15" s="9">
        <v>261653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2"/>
      <c r="E16" s="9">
        <f>-E15*'Fane 5. Individuelt eff. krav'!G11</f>
        <v>-752.7374394054317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2"/>
      <c r="E17" s="9">
        <f>-E15*'Fane 14. Nøgletal'!C27</f>
        <v>-5233.0600000000004</v>
      </c>
      <c r="F17" s="14" t="s">
        <v>3</v>
      </c>
      <c r="G17" s="1"/>
    </row>
    <row r="18" spans="1:7" x14ac:dyDescent="0.45">
      <c r="A18" s="1"/>
      <c r="B18" s="86" t="s">
        <v>129</v>
      </c>
      <c r="C18" s="87"/>
      <c r="D18" s="88"/>
      <c r="E18" s="12">
        <f>SUM(E15:E17)*(1+'Fane 14. Nøgletal'!C13)^3</f>
        <v>265139.24694637815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127</v>
      </c>
      <c r="C20" s="87"/>
      <c r="D20" s="87"/>
      <c r="E20" s="87"/>
      <c r="F20" s="88"/>
      <c r="G20" s="1"/>
    </row>
    <row r="21" spans="1:7" x14ac:dyDescent="0.45">
      <c r="A21" s="1"/>
      <c r="B21" s="109" t="s">
        <v>207</v>
      </c>
      <c r="C21" s="110"/>
      <c r="D21" s="111"/>
      <c r="E21" s="9">
        <v>231454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2"/>
      <c r="E22" s="9">
        <f>-E21*'Fane 5. Individuelt eff. krav'!G11</f>
        <v>-665.85933010569261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2"/>
      <c r="E23" s="9">
        <f>-E21*'Fane 14. Nøgletal'!C27</f>
        <v>-4629.08</v>
      </c>
      <c r="F23" s="14" t="s">
        <v>3</v>
      </c>
      <c r="G23" s="1"/>
    </row>
    <row r="24" spans="1:7" x14ac:dyDescent="0.45">
      <c r="A24" s="1"/>
      <c r="B24" s="86" t="s">
        <v>130</v>
      </c>
      <c r="C24" s="87"/>
      <c r="D24" s="88"/>
      <c r="E24" s="12">
        <f>SUM(E21:E23)*(1+'Fane 14. Nøgletal'!C13)^4</f>
        <v>237399.23961021766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208</v>
      </c>
      <c r="C26" s="87"/>
      <c r="D26" s="87"/>
      <c r="E26" s="87"/>
      <c r="F26" s="88"/>
      <c r="G26" s="1"/>
    </row>
    <row r="27" spans="1:7" x14ac:dyDescent="0.45">
      <c r="A27" s="1"/>
      <c r="B27" s="109" t="s">
        <v>207</v>
      </c>
      <c r="C27" s="110"/>
      <c r="D27" s="111"/>
      <c r="E27" s="9">
        <v>202361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2"/>
      <c r="E28" s="9">
        <f>-E27*'Fane 5. Individuelt eff. krav'!G11</f>
        <v>-582.16302115979011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2"/>
      <c r="E29" s="9">
        <f>-E27*'Fane 14. Nøgletal'!C27</f>
        <v>-4047.2200000000003</v>
      </c>
      <c r="F29" s="14" t="s">
        <v>3</v>
      </c>
      <c r="G29" s="1"/>
    </row>
    <row r="30" spans="1:7" x14ac:dyDescent="0.45">
      <c r="A30" s="1"/>
      <c r="B30" s="86" t="s">
        <v>209</v>
      </c>
      <c r="C30" s="87"/>
      <c r="D30" s="88"/>
      <c r="E30" s="12">
        <f>SUM(E27:E29)*(1+'Fane 14. Nøgletal'!C13)^5</f>
        <v>210091.16181439837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FyXt3SevyWZeKJspGv65UqhTIn2YDLtt3Sx46iPcYyvz+1MGYSrPxuAyYKnSX79ZwwTZe37E4v/ItT0x8kQzfA==" saltValue="rNKNhfLjmwxIjri7U0aXA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131</v>
      </c>
      <c r="C14" s="87"/>
      <c r="D14" s="87"/>
      <c r="E14" s="87"/>
      <c r="F14" s="88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133</v>
      </c>
      <c r="C20" s="87"/>
      <c r="D20" s="87"/>
      <c r="E20" s="87"/>
      <c r="F20" s="88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227</v>
      </c>
      <c r="C26" s="87"/>
      <c r="D26" s="87"/>
      <c r="E26" s="87"/>
      <c r="F26" s="88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257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57845329.438801117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tillæg'!E12</f>
        <v>156393.463212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1141460.9901955682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-170146.29605357375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-358213.00067820959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-1193571.6492922602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57421252.946184635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1824394.038230736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306151.08401441446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-249603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59302195.068429783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57421252.946184635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700539.28594345262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-167207.90152785028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-355331.53530075407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-1136763.2872090237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56462489.508090459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1846651.645497151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265139.24694637815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58574280.400533989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56462489.508090459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688842.37199870369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-164416.02893155566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-352473.24843079486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-1118989.424831867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55515453.177894942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1869180.7955722164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237399.23961021766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57622033.213077374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55515453.177894942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677288.52877031837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-161658.30510426412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-349637.95362041751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-1101493.4656799082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54579951.982260674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1891984.8012781974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210091.16181439837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56682027.94535327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58256456.394768819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2"/>
      <c r="E11" s="9">
        <v>168094.037232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1150963.6435104159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-171390.04680421235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-358461.77314877481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-1200332.8167571288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57845329.438801117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3" t="s">
        <v>13</v>
      </c>
      <c r="C22" s="84"/>
      <c r="D22" s="85"/>
      <c r="E22" s="10">
        <v>1572687.8044297202</v>
      </c>
      <c r="F22" s="11" t="s">
        <v>3</v>
      </c>
      <c r="G22" s="1"/>
    </row>
    <row r="23" spans="1:7" ht="15" customHeight="1" x14ac:dyDescent="0.4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332446.81998120667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3" t="s">
        <v>260</v>
      </c>
      <c r="C30" s="84"/>
      <c r="D30" s="84"/>
      <c r="E30" s="46">
        <v>1050614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3" t="s">
        <v>264</v>
      </c>
      <c r="C34" s="84"/>
      <c r="D34" s="85"/>
      <c r="E34" s="10">
        <v>-255264.50719052862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60545813.556021519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4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18056740.819805335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483182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370798.45639610669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17995446.354768891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-0.66000766517594456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423722.61250000005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368383.36614522449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17935535.919366781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358710.7183873356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17923088.65743874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358461.77314877481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17910650.033910479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358213.00067820959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17766576.765037704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355331.53530075407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17623662.421539742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352473.24843079486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17481897.681020875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349637.95362041751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41861809.542724416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380942.4668387922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42206782.249713622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-160910.20617517259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744211.93517063058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42024439.160264261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743832.57313667738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42093834.536893994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171405.48976547041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1200332.8167571288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41873885.881937414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158301.4634631864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1193571.6492922602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41336846.807600863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1136763.2872090237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40690524.539340615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1118989.424831867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40054307.842905752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1101493.4656799082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6.1772798414838203E-4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4.7317427000078899E-3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2.8768538461452064E-3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2020-09-08T07:52:10Z</dcterms:modified>
</cp:coreProperties>
</file>