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Aalborg Kloak AS (S109)\ØR2024\"/>
    </mc:Choice>
  </mc:AlternateContent>
  <xr:revisionPtr revIDLastSave="0" documentId="13_ncr:1_{EFE83843-C0D5-49C5-9C1A-FF66A0CB04D6}"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Kap1_tekst2" localSheetId="6">'Fane 4.1. Gen. krav - drift'!$G$27</definedName>
    <definedName name="Tabel_Fane_13">'Fane 13. Tilknyttet virksomhed'!$B$8:$F$13</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iterate="1" iterateCount="1"/>
</workbook>
</file>

<file path=xl/calcChain.xml><?xml version="1.0" encoding="utf-8"?>
<calcChain xmlns="http://schemas.openxmlformats.org/spreadsheetml/2006/main">
  <c r="C14" i="19" l="1"/>
  <c r="E17" i="43" l="1"/>
  <c r="E18" i="43"/>
  <c r="E26" i="43" l="1"/>
  <c r="E19" i="43"/>
  <c r="C9" i="2"/>
  <c r="E30" i="43" l="1"/>
  <c r="E32" i="43" s="1"/>
  <c r="E11" i="39"/>
  <c r="C11" i="39"/>
  <c r="C20" i="15" l="1"/>
  <c r="C34" i="2"/>
  <c r="E29" i="20"/>
  <c r="E23" i="20"/>
  <c r="E17" i="20"/>
  <c r="E11" i="20"/>
  <c r="E12" i="39" l="1"/>
  <c r="C12" i="39"/>
  <c r="C21" i="23" l="1"/>
  <c r="C21" i="22"/>
  <c r="C22" i="15"/>
  <c r="C36" i="2"/>
  <c r="F10" i="11" l="1"/>
  <c r="G18" i="41" l="1"/>
  <c r="C16" i="19" l="1"/>
  <c r="C17" i="19" s="1"/>
  <c r="J11" i="11"/>
  <c r="H11" i="11"/>
  <c r="C15" i="22" l="1"/>
  <c r="C15" i="23"/>
  <c r="C16" i="15"/>
  <c r="C22" i="2"/>
  <c r="C10" i="37" l="1"/>
  <c r="C16" i="37" s="1"/>
  <c r="C17" i="37" s="1"/>
  <c r="G7" i="30" l="1"/>
  <c r="G11" i="30" s="1"/>
  <c r="E30" i="20" l="1"/>
  <c r="E31" i="20" s="1"/>
  <c r="C17" i="23" l="1"/>
  <c r="C27" i="2"/>
  <c r="C29" i="2" s="1"/>
  <c r="C26" i="2"/>
  <c r="C28" i="2" s="1"/>
  <c r="E16" i="40" l="1"/>
  <c r="E12" i="40"/>
  <c r="G26" i="30"/>
  <c r="G33" i="30" s="1"/>
  <c r="C30" i="2" l="1"/>
  <c r="G33" i="36" l="1"/>
  <c r="G25" i="36"/>
  <c r="G32" i="36" s="1"/>
  <c r="G7" i="36"/>
  <c r="G11" i="36" s="1"/>
  <c r="G14" i="36" s="1"/>
  <c r="G18" i="36" l="1"/>
  <c r="G20" i="36" l="1"/>
  <c r="G24" i="36"/>
  <c r="G31" i="36" l="1"/>
  <c r="G35" i="36" s="1"/>
  <c r="G27" i="36"/>
  <c r="G39" i="36" l="1"/>
  <c r="G41" i="36" l="1"/>
  <c r="G45" i="36" s="1"/>
  <c r="F11" i="11" l="1"/>
  <c r="E10" i="37" s="1"/>
  <c r="E16" i="37" s="1"/>
  <c r="E17" i="37" s="1"/>
  <c r="G15" i="30"/>
  <c r="E24" i="20" l="1"/>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54" i="30" s="1"/>
  <c r="G42" i="30" l="1"/>
  <c r="G46" i="30" s="1"/>
  <c r="G48" i="30" l="1"/>
  <c r="C11" i="2"/>
  <c r="G52" i="36" s="1"/>
  <c r="G53" i="30" l="1"/>
  <c r="G47" i="36"/>
  <c r="G55" i="30" l="1"/>
  <c r="C18" i="2" s="1"/>
  <c r="G51" i="36"/>
  <c r="G57" i="36" s="1"/>
  <c r="G59" i="30" l="1"/>
  <c r="C16" i="2"/>
  <c r="C17" i="2" s="1"/>
  <c r="C13" i="15"/>
  <c r="C19" i="2" l="1"/>
  <c r="C20" i="2" s="1"/>
  <c r="C39" i="2" s="1"/>
  <c r="G60" i="30"/>
  <c r="C12" i="15" s="1"/>
  <c r="G62" i="36" l="1"/>
  <c r="C12" i="22" s="1"/>
  <c r="G64" i="30"/>
  <c r="C9" i="15"/>
  <c r="C10" i="15" l="1"/>
  <c r="C11" i="15" s="1"/>
  <c r="C14" i="15" s="1"/>
  <c r="G65" i="30"/>
  <c r="C11" i="22" s="1"/>
  <c r="G67" i="36" l="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<sst xmlns="http://schemas.openxmlformats.org/spreadsheetml/2006/main" count="662" uniqueCount="306">
  <si>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</si>
  <si>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</si>
  <si>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</si>
  <si>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</si>
  <si>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</si>
  <si>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</si>
  <si>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</si>
  <si>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</si>
  <si>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</si>
  <si>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</si>
  <si>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</si>
  <si>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</si>
  <si>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</si>
  <si>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</si>
  <si>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</si>
  <si>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</si>
  <si>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</si>
  <si>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</si>
  <si>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</si>
  <si>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</si>
  <si>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</si>
  <si>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</si>
  <si>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</si>
  <si>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</si>
  <si>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</si>
  <si>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</si>
  <si>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</si>
  <si>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</si>
  <si>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</si>
  <si>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</si>
  <si>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</si>
  <si>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</si>
  <si>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</si>
  <si>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</si>
  <si>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</si>
  <si>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</si>
  <si>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</si>
  <si>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</si>
  <si>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</si>
  <si>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</si>
  <si>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</si>
  <si>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</si>
  <si>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</si>
  <si>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</si>
  <si>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</si>
  <si>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</si>
  <si>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</si>
  <si>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</si>
  <si>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</si>
  <si>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</si>
  <si>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</si>
  <si>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</si>
  <si>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</si>
  <si>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</si>
  <si>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</si>
  <si>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</si>
  <si>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</si>
  <si>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</si>
  <si>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</si>
  <si>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</si>
  <si>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</si>
  <si>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</si>
  <si>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</si>
  <si>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</si>
  <si>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</si>
  <si>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</si>
  <si>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</si>
  <si>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</si>
  <si>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</si>
  <si>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</si>
  <si>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</si>
  <si>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</si>
  <si>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</si>
  <si>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</si>
  <si>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</si>
  <si>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</si>
  <si>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</si>
  <si>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</si>
  <si>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</si>
  <si>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</si>
  <si>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</si>
  <si>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</si>
  <si>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</si>
  <si>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</si>
  <si>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</si>
  <si>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</si>
  <si>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</si>
  <si>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</si>
  <si>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</si>
  <si>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</si>
  <si>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</si>
  <si>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</si>
  <si>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</si>
  <si>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</si>
  <si>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</si>
  <si>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</si>
  <si>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</si>
  <si>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</si>
  <si>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</si>
  <si>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</si>
  <si>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</si>
  <si>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</si>
  <si>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</si>
  <si>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</si>
  <si>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</si>
  <si>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</si>
  <si>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</si>
  <si>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</si>
  <si>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</si>
  <si>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</si>
  <si>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</si>
  <si>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</si>
  <si>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</si>
  <si>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</si>
  <si>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</si>
  <si>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</si>
  <si>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</si>
  <si>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</si>
  <si>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</si>
  <si>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</si>
  <si>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</si>
  <si>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</si>
  <si>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</si>
  <si>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</si>
  <si>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</si>
  <si>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</si>
  <si>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</si>
  <si>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</si>
  <si>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</si>
  <si>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</si>
  <si>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</si>
  <si>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</si>
  <si>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</si>
  <si>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</si>
  <si>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</si>
  <si>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</si>
  <si>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</si>
  <si>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</si>
  <si>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</si>
  <si>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</si>
  <si>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</si>
  <si>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</si>
  <si>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</si>
  <si>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</si>
  <si>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</si>
  <si>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</si>
  <si>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</si>
  <si>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</si>
  <si>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</si>
  <si>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</si>
  <si>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</si>
  <si>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</si>
  <si>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</si>
  <si>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</si>
  <si>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</si>
  <si>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</si>
  <si>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</si>
  <si>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</si>
  <si>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</si>
  <si>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</si>
  <si>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</si>
  <si>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</si>
  <si>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</si>
  <si>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</si>
  <si>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</si>
  <si>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</si>
  <si>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</si>
  <si>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</si>
  <si>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</si>
  <si>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</si>
  <si>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</si>
  <si>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</si>
  <si>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</si>
  <si>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</si>
  <si>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</si>
  <si>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</si>
  <si>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</si>
  <si>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</si>
  <si>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</si>
  <si>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</si>
  <si>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</si>
  <si>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</si>
  <si>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</si>
  <si>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</si>
  <si>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</si>
  <si>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</si>
  <si>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</si>
  <si>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</si>
  <si>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</si>
  <si>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</si>
  <si>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</si>
  <si>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</si>
  <si>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</si>
  <si>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</si>
  <si>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</si>
  <si>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</si>
  <si>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</si>
  <si>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</si>
  <si>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</si>
  <si>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</si>
  <si>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</si>
  <si>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</si>
  <si>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</si>
  <si>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</si>
  <si>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</si>
  <si>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</si>
  <si>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</si>
  <si>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</si>
  <si>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</si>
  <si>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</si>
  <si>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</si>
  <si>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</si>
  <si>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</si>
  <si>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</si>
  <si>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</si>
  <si>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</si>
  <si>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</si>
  <si>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</si>
  <si>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</si>
  <si>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</si>
  <si>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</si>
  <si>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</si>
  <si>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</si>
  <si>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</si>
  <si>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</si>
  <si>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</si>
  <si>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</si>
  <si>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</si>
  <si>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</si>
  <si>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</si>
  <si>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</si>
  <si>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</si>
  <si>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</si>
  <si>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</si>
  <si>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</si>
  <si>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</si>
  <si>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</si>
  <si>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</si>
  <si>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</si>
  <si>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</si>
  <si>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</si>
  <si>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</si>
  <si>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</si>
  <si>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</si>
  <si>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</si>
  <si>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</si>
  <si>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</si>
  <si>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</si>
  <si>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</si>
  <si>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</si>
  <si>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</si>
  <si>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</si>
  <si>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</si>
  <si>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</si>
  <si>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</si>
  <si>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</si>
  <si>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</si>
  <si>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</si>
  <si>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</si>
  <si>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</si>
  <si>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</si>
  <si>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</si>
  <si>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</si>
  <si>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</si>
  <si>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</si>
  <si>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</si>
  <si>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</si>
  <si>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</si>
  <si>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</si>
  <si>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</si>
  <si>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Ingen anlægsprojekter</t>
  </si>
  <si>
    <t>- Heraf nye omkostninger i 2022 - Drift</t>
  </si>
  <si>
    <t>- Heraf nye omkostninger i 2022 - Anlæg</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</si>
  <si>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</si>
  <si>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</si>
  <si>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</si>
  <si>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</si>
  <si>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</si>
  <si>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</si>
  <si>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Fane 9: Korrektioner af den økonomiske ramme for 2022</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</si>
  <si>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</si>
  <si>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</si>
  <si>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</si>
  <si>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</si>
  <si>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</si>
  <si>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</si>
  <si>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</si>
  <si>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</si>
  <si>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</si>
  <si>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</si>
  <si>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</si>
  <si>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</si>
  <si>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</si>
  <si>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</si>
  <si>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</si>
  <si>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</si>
  <si>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</si>
  <si>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Separatkloakering</t>
  </si>
  <si>
    <t>Udvidelse af forsyningsområde</t>
  </si>
  <si>
    <t>Medfinansieringsprojekt Østerå</t>
  </si>
  <si>
    <t>Spildevandsafgift</t>
  </si>
  <si>
    <t>Afgift til Forsyningssekretariatet</t>
  </si>
  <si>
    <t>Ejendomsskatter</t>
  </si>
  <si>
    <t>Erstatninger</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</si>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</sst>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quotePrefix="1" applyFont="1" applyFill="1" applyBorder="1" applyAlignment="1" applyProtection="1">
      <alignment wrapText="1"/>
    </xf>
    <xf numFmtId="0" fontId="8" fillId="8" borderId="2" xfId="0"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3" fontId="8" fillId="4" borderId="3" xfId="0" applyNumberFormat="1" applyFont="1" applyFill="1" applyBorder="1" applyAlignment="1" applyProtection="1">
      <alignment horizontal="right"/>
    </xf>
    <xf numFmtId="10" fontId="16" fillId="0" borderId="1" xfId="4" applyNumberFormat="1" applyFont="1" applyFill="1" applyBorder="1" applyProtection="1"/>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7" t="s">
        <v>4</v>
      </c>
      <c r="E6" s="107"/>
      <c r="F6" s="107"/>
      <c r="G6" s="107"/>
      <c r="H6" s="3"/>
      <c r="I6" s="1"/>
    </row>
    <row r="7" spans="1:9" ht="15" customHeight="1" x14ac:dyDescent="0.25">
      <c r="A7" s="1"/>
      <c r="B7" s="1"/>
      <c r="C7" s="3"/>
      <c r="D7" s="107"/>
      <c r="E7" s="107"/>
      <c r="F7" s="107"/>
      <c r="G7" s="107"/>
      <c r="H7" s="3"/>
      <c r="I7" s="1"/>
    </row>
    <row r="8" spans="1:9" ht="15.75" x14ac:dyDescent="0.25">
      <c r="A8" s="1"/>
      <c r="B8" s="1"/>
      <c r="C8" s="4"/>
      <c r="D8" s="109" t="s">
        <v>250</v>
      </c>
      <c r="E8" s="109"/>
      <c r="F8" s="109"/>
      <c r="G8" s="10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1"/>
      <c r="I12" s="1"/>
    </row>
    <row r="13" spans="1:9" x14ac:dyDescent="0.25">
      <c r="A13" s="1"/>
      <c r="B13" s="1"/>
      <c r="C13" s="6" t="s">
        <v>6</v>
      </c>
      <c r="D13" s="110" t="s">
        <v>219</v>
      </c>
      <c r="E13" s="111"/>
      <c r="F13" s="111"/>
      <c r="G13" s="112"/>
      <c r="H13" s="1"/>
      <c r="I13" s="1"/>
    </row>
    <row r="14" spans="1:9" x14ac:dyDescent="0.25">
      <c r="A14" s="1"/>
      <c r="B14" s="1"/>
      <c r="C14" s="6" t="s">
        <v>16</v>
      </c>
      <c r="D14" s="110" t="s">
        <v>223</v>
      </c>
      <c r="E14" s="111"/>
      <c r="F14" s="111"/>
      <c r="G14" s="112"/>
      <c r="H14" s="1"/>
      <c r="I14" s="1"/>
    </row>
    <row r="15" spans="1:9" x14ac:dyDescent="0.25">
      <c r="A15" s="1"/>
      <c r="B15" s="1"/>
      <c r="C15" s="6" t="s">
        <v>32</v>
      </c>
      <c r="D15" s="110" t="s">
        <v>267</v>
      </c>
      <c r="E15" s="111"/>
      <c r="F15" s="111"/>
      <c r="G15" s="112"/>
      <c r="H15" s="1"/>
      <c r="I15" s="1"/>
    </row>
    <row r="16" spans="1:9" x14ac:dyDescent="0.25">
      <c r="A16" s="1"/>
      <c r="B16" s="1"/>
      <c r="C16" s="6" t="s">
        <v>33</v>
      </c>
      <c r="D16" s="110" t="s">
        <v>268</v>
      </c>
      <c r="E16" s="111"/>
      <c r="F16" s="111"/>
      <c r="G16" s="112"/>
      <c r="H16" s="1"/>
      <c r="I16" s="1"/>
    </row>
    <row r="17" spans="1:9" x14ac:dyDescent="0.25">
      <c r="A17" s="1"/>
      <c r="B17" s="1"/>
      <c r="C17" s="6" t="s">
        <v>100</v>
      </c>
      <c r="D17" s="110" t="s">
        <v>220</v>
      </c>
      <c r="E17" s="111"/>
      <c r="F17" s="111"/>
      <c r="G17" s="112"/>
      <c r="H17" s="1"/>
      <c r="I17" s="1"/>
    </row>
    <row r="18" spans="1:9" x14ac:dyDescent="0.25">
      <c r="A18" s="1"/>
      <c r="B18" s="1"/>
      <c r="C18" s="6" t="s">
        <v>85</v>
      </c>
      <c r="D18" s="113" t="s">
        <v>75</v>
      </c>
      <c r="E18" s="114"/>
      <c r="F18" s="114"/>
      <c r="G18" s="115"/>
      <c r="H18" s="1"/>
      <c r="I18" s="1"/>
    </row>
    <row r="19" spans="1:9" x14ac:dyDescent="0.25">
      <c r="A19" s="1"/>
      <c r="B19" s="1"/>
      <c r="C19" s="6" t="s">
        <v>86</v>
      </c>
      <c r="D19" s="113" t="s">
        <v>76</v>
      </c>
      <c r="E19" s="114"/>
      <c r="F19" s="114"/>
      <c r="G19" s="115"/>
      <c r="H19" s="1"/>
      <c r="I19" s="1"/>
    </row>
    <row r="20" spans="1:9" x14ac:dyDescent="0.25">
      <c r="A20" s="1"/>
      <c r="B20" s="1"/>
      <c r="C20" s="6" t="s">
        <v>7</v>
      </c>
      <c r="D20" s="113" t="s">
        <v>10</v>
      </c>
      <c r="E20" s="114"/>
      <c r="F20" s="114"/>
      <c r="G20" s="115"/>
      <c r="H20" s="1"/>
      <c r="I20" s="1"/>
    </row>
    <row r="21" spans="1:9" x14ac:dyDescent="0.25">
      <c r="A21" s="1"/>
      <c r="B21" s="1"/>
      <c r="C21" s="6" t="s">
        <v>87</v>
      </c>
      <c r="D21" s="101" t="s">
        <v>12</v>
      </c>
      <c r="E21" s="102"/>
      <c r="F21" s="102"/>
      <c r="G21" s="103"/>
      <c r="H21" s="1"/>
      <c r="I21" s="1"/>
    </row>
    <row r="22" spans="1:9" x14ac:dyDescent="0.25">
      <c r="A22" s="1"/>
      <c r="B22" s="1"/>
      <c r="C22" s="6" t="s">
        <v>67</v>
      </c>
      <c r="D22" s="104" t="s">
        <v>221</v>
      </c>
      <c r="E22" s="105"/>
      <c r="F22" s="105"/>
      <c r="G22" s="106"/>
      <c r="H22" s="1"/>
      <c r="I22" s="1"/>
    </row>
    <row r="23" spans="1:9" x14ac:dyDescent="0.25">
      <c r="A23" s="1"/>
      <c r="B23" s="1"/>
      <c r="C23" s="6" t="s">
        <v>8</v>
      </c>
      <c r="D23" s="104" t="s">
        <v>192</v>
      </c>
      <c r="E23" s="105"/>
      <c r="F23" s="105"/>
      <c r="G23" s="106"/>
      <c r="H23" s="1"/>
      <c r="I23" s="1"/>
    </row>
    <row r="24" spans="1:9" x14ac:dyDescent="0.25">
      <c r="A24" s="1"/>
      <c r="B24" s="1"/>
      <c r="C24" s="6" t="s">
        <v>9</v>
      </c>
      <c r="D24" s="104" t="s">
        <v>222</v>
      </c>
      <c r="E24" s="105"/>
      <c r="F24" s="105"/>
      <c r="G24" s="106"/>
      <c r="H24" s="1"/>
      <c r="I24" s="1"/>
    </row>
    <row r="25" spans="1:9" x14ac:dyDescent="0.25">
      <c r="A25" s="1"/>
      <c r="B25" s="1"/>
      <c r="C25" s="6" t="s">
        <v>212</v>
      </c>
      <c r="D25" s="104" t="s">
        <v>187</v>
      </c>
      <c r="E25" s="105"/>
      <c r="F25" s="105"/>
      <c r="G25" s="106"/>
      <c r="H25" s="1"/>
      <c r="I25" s="1"/>
    </row>
    <row r="26" spans="1:9" x14ac:dyDescent="0.25">
      <c r="A26" s="1"/>
      <c r="B26" s="1"/>
      <c r="C26" s="6" t="s">
        <v>213</v>
      </c>
      <c r="D26" s="104" t="s">
        <v>68</v>
      </c>
      <c r="E26" s="105"/>
      <c r="F26" s="105"/>
      <c r="G26" s="106"/>
      <c r="H26" s="1"/>
      <c r="I26" s="1"/>
    </row>
    <row r="27" spans="1:9" x14ac:dyDescent="0.25">
      <c r="A27" s="1"/>
      <c r="B27" s="1"/>
      <c r="C27" s="6" t="s">
        <v>214</v>
      </c>
      <c r="D27" s="104" t="s">
        <v>69</v>
      </c>
      <c r="E27" s="105"/>
      <c r="F27" s="105"/>
      <c r="G27" s="106"/>
      <c r="H27" s="1"/>
      <c r="I27" s="1"/>
    </row>
    <row r="28" spans="1:9" x14ac:dyDescent="0.25">
      <c r="A28" s="1"/>
      <c r="B28" s="1"/>
      <c r="C28" s="6" t="s">
        <v>15</v>
      </c>
      <c r="D28" s="104" t="s">
        <v>70</v>
      </c>
      <c r="E28" s="105"/>
      <c r="F28" s="105"/>
      <c r="G28" s="106"/>
      <c r="H28" s="1"/>
      <c r="I28" s="1"/>
    </row>
    <row r="29" spans="1:9" x14ac:dyDescent="0.25">
      <c r="A29" s="1"/>
      <c r="B29" s="1"/>
      <c r="C29" s="6" t="s">
        <v>35</v>
      </c>
      <c r="D29" s="104" t="s">
        <v>103</v>
      </c>
      <c r="E29" s="105"/>
      <c r="F29" s="105"/>
      <c r="G29" s="106"/>
      <c r="H29" s="1"/>
      <c r="I29" s="1"/>
    </row>
    <row r="30" spans="1:9" x14ac:dyDescent="0.25">
      <c r="A30" s="1"/>
      <c r="B30" s="1"/>
      <c r="C30" s="6" t="s">
        <v>36</v>
      </c>
      <c r="D30" s="104" t="s">
        <v>34</v>
      </c>
      <c r="E30" s="105"/>
      <c r="F30" s="105"/>
      <c r="G30" s="106"/>
      <c r="H30" s="1"/>
      <c r="I30" s="1"/>
    </row>
    <row r="31" spans="1:9" x14ac:dyDescent="0.25">
      <c r="A31" s="1"/>
      <c r="B31" s="1"/>
      <c r="C31" s="6" t="s">
        <v>215</v>
      </c>
      <c r="D31" s="98" t="s">
        <v>84</v>
      </c>
      <c r="E31" s="99"/>
      <c r="F31" s="99"/>
      <c r="G31" s="10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ZzhhI5VYCLjJUHxqrfGfFxtS7VCOlej2IWw7yOOmTaAOEcWwsOpJFVWQboG229yvjCOF0anHCJcIVO5prd2acg==" saltValue="vL3bHVciI3+UbvjDqRuNKA==" spinCount="100000" sheet="1" objects="1" scenarios="1"/>
  <mergeCells count="22">
    <mergeCell ref="D6:G7"/>
    <mergeCell ref="D22:G22"/>
    <mergeCell ref="D11:G11"/>
    <mergeCell ref="D8:G8"/>
    <mergeCell ref="D15:G15"/>
    <mergeCell ref="D16:G16"/>
    <mergeCell ref="D13:G13"/>
    <mergeCell ref="D17:G17"/>
    <mergeCell ref="D18:G18"/>
    <mergeCell ref="D19:G19"/>
    <mergeCell ref="D20:G20"/>
    <mergeCell ref="D14:G14"/>
    <mergeCell ref="D31:G31"/>
    <mergeCell ref="D21:G21"/>
    <mergeCell ref="D25:G25"/>
    <mergeCell ref="D26:G26"/>
    <mergeCell ref="D29:G29"/>
    <mergeCell ref="D27:G27"/>
    <mergeCell ref="D28:G28"/>
    <mergeCell ref="D24:G24"/>
    <mergeCell ref="D30:G30"/>
    <mergeCell ref="D23:G23"/>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1"/>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6" t="s">
        <v>88</v>
      </c>
      <c r="C3" s="116"/>
      <c r="D3" s="116"/>
      <c r="E3" s="1"/>
      <c r="F3" s="1"/>
    </row>
    <row r="4" spans="1:6" ht="15" customHeight="1" x14ac:dyDescent="0.25">
      <c r="A4" s="1"/>
      <c r="B4" s="116"/>
      <c r="C4" s="116"/>
      <c r="D4" s="11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2" t="s">
        <v>258</v>
      </c>
      <c r="C8" s="133"/>
      <c r="D8" s="134"/>
      <c r="E8" s="1"/>
      <c r="F8" s="1"/>
    </row>
    <row r="9" spans="1:6" ht="15" customHeight="1" x14ac:dyDescent="0.25">
      <c r="A9" s="1"/>
      <c r="B9" s="33" t="s">
        <v>30</v>
      </c>
      <c r="C9" s="11" t="s">
        <v>188</v>
      </c>
      <c r="D9" s="11"/>
      <c r="E9" s="1"/>
      <c r="F9" s="1"/>
    </row>
    <row r="10" spans="1:6" ht="15" customHeight="1" x14ac:dyDescent="0.25">
      <c r="A10" s="1"/>
      <c r="B10" s="51" t="s">
        <v>299</v>
      </c>
      <c r="C10" s="9">
        <v>317664</v>
      </c>
      <c r="D10" s="14" t="s">
        <v>3</v>
      </c>
      <c r="E10" s="1"/>
      <c r="F10" s="1"/>
    </row>
    <row r="11" spans="1:6" ht="15" customHeight="1" x14ac:dyDescent="0.25">
      <c r="A11" s="1"/>
      <c r="B11" s="51" t="s">
        <v>300</v>
      </c>
      <c r="C11" s="9">
        <v>8547672</v>
      </c>
      <c r="D11" s="14" t="s">
        <v>3</v>
      </c>
      <c r="E11" s="1"/>
      <c r="F11" s="1"/>
    </row>
    <row r="12" spans="1:6" x14ac:dyDescent="0.25">
      <c r="A12" s="1"/>
      <c r="B12" s="51" t="s">
        <v>301</v>
      </c>
      <c r="C12" s="9">
        <v>341262</v>
      </c>
      <c r="D12" s="14" t="s">
        <v>3</v>
      </c>
      <c r="E12" s="1"/>
      <c r="F12" s="1"/>
    </row>
    <row r="13" spans="1:6" x14ac:dyDescent="0.25">
      <c r="A13" s="1"/>
      <c r="B13" s="51" t="s">
        <v>302</v>
      </c>
      <c r="C13" s="9">
        <v>111496</v>
      </c>
      <c r="D13" s="14" t="s">
        <v>3</v>
      </c>
      <c r="E13" s="1"/>
      <c r="F13" s="1"/>
    </row>
    <row r="14" spans="1:6" x14ac:dyDescent="0.25">
      <c r="A14" s="1"/>
      <c r="B14" s="51" t="s">
        <v>303</v>
      </c>
      <c r="C14" s="9">
        <f>461128+12587</f>
        <v>473715</v>
      </c>
      <c r="D14" s="14" t="s">
        <v>3</v>
      </c>
      <c r="E14" s="1"/>
      <c r="F14" s="1"/>
    </row>
    <row r="15" spans="1:6" x14ac:dyDescent="0.25">
      <c r="A15" s="1"/>
      <c r="B15" s="51"/>
      <c r="C15" s="9">
        <v>0</v>
      </c>
      <c r="D15" s="14" t="s">
        <v>3</v>
      </c>
      <c r="E15" s="1"/>
      <c r="F15" s="1"/>
    </row>
    <row r="16" spans="1:6" x14ac:dyDescent="0.25">
      <c r="A16" s="1"/>
      <c r="B16" s="30" t="s">
        <v>259</v>
      </c>
      <c r="C16" s="12">
        <f>SUM(C10:C15)</f>
        <v>9791809</v>
      </c>
      <c r="D16" s="13" t="s">
        <v>3</v>
      </c>
      <c r="E16" s="1"/>
      <c r="F16" s="1"/>
    </row>
    <row r="17" spans="1:6" x14ac:dyDescent="0.25">
      <c r="A17" s="1"/>
      <c r="B17" s="30" t="s">
        <v>260</v>
      </c>
      <c r="C17" s="12">
        <f>C16*(1+'Fane 15. Nøgletal'!C16)^2</f>
        <v>11438092.530309759</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32" t="s">
        <v>96</v>
      </c>
      <c r="C20" s="133"/>
      <c r="D20" s="134"/>
      <c r="E20" s="1"/>
      <c r="F20" s="1"/>
    </row>
    <row r="21" spans="1:6" x14ac:dyDescent="0.25">
      <c r="A21" s="1"/>
      <c r="B21" s="51" t="s">
        <v>216</v>
      </c>
      <c r="C21" s="9">
        <v>0</v>
      </c>
      <c r="D21" s="14" t="s">
        <v>3</v>
      </c>
      <c r="E21" s="1"/>
      <c r="F21" s="1"/>
    </row>
    <row r="22" spans="1:6" x14ac:dyDescent="0.25">
      <c r="A22" s="1"/>
      <c r="B22" s="51" t="s">
        <v>217</v>
      </c>
      <c r="C22" s="9">
        <v>0</v>
      </c>
      <c r="D22" s="14" t="s">
        <v>3</v>
      </c>
      <c r="E22" s="1"/>
      <c r="F22" s="1"/>
    </row>
    <row r="23" spans="1:6" x14ac:dyDescent="0.25">
      <c r="A23" s="1"/>
      <c r="B23" s="51" t="s">
        <v>218</v>
      </c>
      <c r="C23" s="9">
        <v>0</v>
      </c>
      <c r="D23" s="14" t="s">
        <v>3</v>
      </c>
      <c r="E23" s="1"/>
      <c r="F23" s="1"/>
    </row>
    <row r="24" spans="1:6" x14ac:dyDescent="0.25">
      <c r="A24" s="1"/>
      <c r="B24" s="26" t="s">
        <v>257</v>
      </c>
      <c r="C24" s="9">
        <v>0</v>
      </c>
      <c r="D24" s="14" t="s">
        <v>3</v>
      </c>
      <c r="E24" s="1"/>
      <c r="F24" s="1"/>
    </row>
    <row r="25" spans="1:6" x14ac:dyDescent="0.25">
      <c r="A25" s="1"/>
      <c r="B25" s="132"/>
      <c r="C25" s="133"/>
      <c r="D25" s="134"/>
      <c r="E25" s="1"/>
      <c r="F25" s="1"/>
    </row>
    <row r="26" spans="1:6" x14ac:dyDescent="0.25">
      <c r="A26" s="1"/>
      <c r="B26" s="1"/>
      <c r="C26" s="1"/>
      <c r="D26" s="1"/>
      <c r="E26" s="1"/>
      <c r="F26" s="1"/>
    </row>
    <row r="27" spans="1:6" x14ac:dyDescent="0.25">
      <c r="A27" s="1"/>
      <c r="B27" s="1"/>
      <c r="C27" s="1"/>
      <c r="D27" s="1"/>
      <c r="E27" s="1"/>
      <c r="F27" s="1"/>
    </row>
    <row r="28" spans="1:6" x14ac:dyDescent="0.25">
      <c r="A28" s="1"/>
      <c r="B28" s="132" t="s">
        <v>78</v>
      </c>
      <c r="C28" s="133"/>
      <c r="D28" s="134"/>
      <c r="E28" s="1"/>
      <c r="F28" s="1"/>
    </row>
    <row r="29" spans="1:6" x14ac:dyDescent="0.25">
      <c r="A29" s="1"/>
      <c r="B29" s="51" t="s">
        <v>216</v>
      </c>
      <c r="C29" s="9">
        <v>9180751</v>
      </c>
      <c r="D29" s="14" t="s">
        <v>3</v>
      </c>
      <c r="E29" s="1"/>
      <c r="F29" s="1"/>
    </row>
    <row r="30" spans="1:6" x14ac:dyDescent="0.25">
      <c r="A30" s="1"/>
      <c r="B30" s="51" t="s">
        <v>217</v>
      </c>
      <c r="C30" s="9">
        <v>9180751</v>
      </c>
      <c r="D30" s="14" t="s">
        <v>3</v>
      </c>
      <c r="E30" s="1"/>
      <c r="F30" s="1"/>
    </row>
    <row r="31" spans="1:6" x14ac:dyDescent="0.25">
      <c r="A31" s="1"/>
      <c r="B31" s="51" t="s">
        <v>218</v>
      </c>
      <c r="C31" s="9">
        <v>9180752</v>
      </c>
      <c r="D31" s="14" t="s">
        <v>3</v>
      </c>
      <c r="E31" s="1"/>
      <c r="F31" s="1"/>
    </row>
    <row r="32" spans="1:6" x14ac:dyDescent="0.25">
      <c r="A32" s="1"/>
      <c r="B32" s="26" t="s">
        <v>257</v>
      </c>
      <c r="C32" s="9">
        <v>0</v>
      </c>
      <c r="D32" s="14" t="s">
        <v>3</v>
      </c>
      <c r="E32" s="1"/>
      <c r="F32" s="1"/>
    </row>
    <row r="33" spans="1:6" x14ac:dyDescent="0.25">
      <c r="A33" s="1"/>
      <c r="B33" s="132"/>
      <c r="C33" s="133"/>
      <c r="D33" s="134"/>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9"/>
      <c r="B50" s="39"/>
      <c r="C50" s="39"/>
      <c r="D50" s="39"/>
      <c r="E50" s="39"/>
      <c r="F50" s="39"/>
    </row>
    <row r="51" spans="1:6" x14ac:dyDescent="0.25">
      <c r="A51" s="39"/>
      <c r="B51" s="39"/>
      <c r="C51" s="39"/>
      <c r="D51" s="39"/>
      <c r="E51" s="39"/>
      <c r="F51" s="39"/>
    </row>
  </sheetData>
  <sheetProtection algorithmName="SHA-512" hashValue="caOmSnwVw1mX6X6CQ+ndr/TB4L263QNU1Lj7oKxEDekrJ5WfUwSNlkgPfmLkP/IpHPfm3TSan5lV5i/EvdvPow==" saltValue="k/q+Y1tmy6EhGmoSMBcsDg==" spinCount="100000" sheet="1" objects="1" scenarios="1"/>
  <mergeCells count="6">
    <mergeCell ref="B33:D33"/>
    <mergeCell ref="B3:D4"/>
    <mergeCell ref="B8:D8"/>
    <mergeCell ref="B20:D20"/>
    <mergeCell ref="B28:D28"/>
    <mergeCell ref="B25:D25"/>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8F157-6139-46F7-A9B6-D4BA0C9CE080}">
  <dimension ref="A1:G54"/>
  <sheetViews>
    <sheetView showGridLines="0" view="pageLayout" zoomScale="90" zoomScaleNormal="100" zoomScalePageLayoutView="9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285</v>
      </c>
      <c r="C3" s="122"/>
      <c r="D3" s="122"/>
      <c r="E3" s="122"/>
      <c r="F3" s="122"/>
      <c r="G3" s="1"/>
    </row>
    <row r="4" spans="1:7" ht="15" customHeight="1" x14ac:dyDescent="0.25">
      <c r="A4" s="1"/>
      <c r="B4" s="122"/>
      <c r="C4" s="122"/>
      <c r="D4" s="122"/>
      <c r="E4" s="122"/>
      <c r="F4" s="122"/>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3.5" customHeight="1" x14ac:dyDescent="0.25">
      <c r="A7" s="1"/>
      <c r="B7" s="1"/>
      <c r="C7" s="1"/>
      <c r="D7" s="1"/>
      <c r="E7" s="1"/>
      <c r="F7" s="1"/>
      <c r="G7" s="1"/>
    </row>
    <row r="8" spans="1:7" x14ac:dyDescent="0.25">
      <c r="A8" s="1"/>
      <c r="B8" s="132" t="s">
        <v>159</v>
      </c>
      <c r="C8" s="133"/>
      <c r="D8" s="133"/>
      <c r="E8" s="133"/>
      <c r="F8" s="134"/>
      <c r="G8" s="1"/>
    </row>
    <row r="9" spans="1:7" x14ac:dyDescent="0.25">
      <c r="A9" s="1"/>
      <c r="B9" s="144" t="s">
        <v>160</v>
      </c>
      <c r="C9" s="145"/>
      <c r="D9" s="146"/>
      <c r="E9" s="9">
        <v>-3509466</v>
      </c>
      <c r="F9" s="14" t="s">
        <v>3</v>
      </c>
      <c r="G9" s="1"/>
    </row>
    <row r="10" spans="1:7" x14ac:dyDescent="0.25">
      <c r="A10" s="1"/>
      <c r="B10" s="144" t="s">
        <v>161</v>
      </c>
      <c r="C10" s="145"/>
      <c r="D10" s="146"/>
      <c r="E10" s="9">
        <v>-18469345</v>
      </c>
      <c r="F10" s="14" t="s">
        <v>3</v>
      </c>
      <c r="G10" s="1"/>
    </row>
    <row r="11" spans="1:7" x14ac:dyDescent="0.25">
      <c r="A11" s="1"/>
      <c r="B11" s="144" t="s">
        <v>172</v>
      </c>
      <c r="C11" s="145"/>
      <c r="D11" s="146"/>
      <c r="E11" s="9">
        <v>192686</v>
      </c>
      <c r="F11" s="14" t="s">
        <v>3</v>
      </c>
      <c r="G11" s="1"/>
    </row>
    <row r="12" spans="1:7" x14ac:dyDescent="0.25">
      <c r="A12" s="1"/>
      <c r="B12" s="144" t="s">
        <v>286</v>
      </c>
      <c r="C12" s="145"/>
      <c r="D12" s="146"/>
      <c r="E12" s="9">
        <v>12503053</v>
      </c>
      <c r="F12" s="14" t="s">
        <v>3</v>
      </c>
      <c r="G12" s="1"/>
    </row>
    <row r="13" spans="1:7" x14ac:dyDescent="0.25">
      <c r="A13" s="1"/>
      <c r="B13" s="30"/>
      <c r="C13" s="31"/>
      <c r="D13" s="31"/>
      <c r="E13" s="31"/>
      <c r="F13" s="19"/>
      <c r="G13" s="1"/>
    </row>
    <row r="14" spans="1:7" ht="42.75" customHeight="1" x14ac:dyDescent="0.25">
      <c r="A14" s="1"/>
      <c r="B14" s="150" t="s">
        <v>287</v>
      </c>
      <c r="C14" s="151"/>
      <c r="D14" s="151"/>
      <c r="E14" s="151"/>
      <c r="F14" s="152"/>
      <c r="G14" s="1"/>
    </row>
    <row r="15" spans="1:7" x14ac:dyDescent="0.25">
      <c r="A15" s="1"/>
      <c r="B15" s="1"/>
      <c r="C15" s="1"/>
      <c r="D15" s="1"/>
      <c r="E15" s="1"/>
      <c r="F15" s="1"/>
      <c r="G15" s="1"/>
    </row>
    <row r="16" spans="1:7" x14ac:dyDescent="0.25">
      <c r="A16" s="1"/>
      <c r="B16" s="82" t="s">
        <v>288</v>
      </c>
      <c r="C16" s="83"/>
      <c r="D16" s="83"/>
      <c r="E16" s="83"/>
      <c r="F16" s="84"/>
      <c r="G16" s="1"/>
    </row>
    <row r="17" spans="1:7" x14ac:dyDescent="0.25">
      <c r="A17" s="1"/>
      <c r="B17" s="85" t="s">
        <v>289</v>
      </c>
      <c r="C17" s="86"/>
      <c r="D17" s="87"/>
      <c r="E17" s="9">
        <f>IF(E12&lt;0,E12,0)</f>
        <v>0</v>
      </c>
      <c r="F17" s="14" t="s">
        <v>3</v>
      </c>
      <c r="G17" s="1"/>
    </row>
    <row r="18" spans="1:7" x14ac:dyDescent="0.25">
      <c r="A18" s="1"/>
      <c r="B18" s="85" t="s">
        <v>290</v>
      </c>
      <c r="C18" s="86"/>
      <c r="D18" s="87"/>
      <c r="E18" s="9">
        <f>IF(SUM(E9:E11)&gt;0,SUM(E9:E11),0)</f>
        <v>0</v>
      </c>
      <c r="F18" s="14" t="s">
        <v>3</v>
      </c>
      <c r="G18" s="1"/>
    </row>
    <row r="19" spans="1:7" x14ac:dyDescent="0.25">
      <c r="A19" s="1"/>
      <c r="B19" s="88" t="s">
        <v>291</v>
      </c>
      <c r="C19" s="89"/>
      <c r="D19" s="90"/>
      <c r="E19" s="73">
        <f>IF(SUM(E17:E18)&gt;0,0,SUM(E17:E18))</f>
        <v>0</v>
      </c>
      <c r="F19" s="17" t="s">
        <v>3</v>
      </c>
      <c r="G19" s="1"/>
    </row>
    <row r="20" spans="1:7" x14ac:dyDescent="0.25">
      <c r="A20" s="1"/>
      <c r="B20" s="30"/>
      <c r="C20" s="31"/>
      <c r="D20" s="31"/>
      <c r="E20" s="31"/>
      <c r="F20" s="19"/>
      <c r="G20" s="1"/>
    </row>
    <row r="21" spans="1:7" x14ac:dyDescent="0.25">
      <c r="A21" s="1"/>
      <c r="B21" s="1"/>
      <c r="C21" s="1"/>
      <c r="D21" s="1"/>
      <c r="E21" s="1"/>
      <c r="F21" s="1"/>
      <c r="G21" s="1"/>
    </row>
    <row r="22" spans="1:7" x14ac:dyDescent="0.25">
      <c r="A22" s="1"/>
      <c r="B22" s="82" t="s">
        <v>292</v>
      </c>
      <c r="C22" s="83"/>
      <c r="D22" s="83"/>
      <c r="E22" s="83"/>
      <c r="F22" s="84"/>
      <c r="G22" s="1"/>
    </row>
    <row r="23" spans="1:7" x14ac:dyDescent="0.25">
      <c r="A23" s="1"/>
      <c r="B23" s="85" t="s">
        <v>293</v>
      </c>
      <c r="C23" s="86"/>
      <c r="D23" s="87"/>
      <c r="E23" s="9">
        <v>280521635</v>
      </c>
      <c r="F23" s="14" t="s">
        <v>3</v>
      </c>
      <c r="G23" s="1"/>
    </row>
    <row r="24" spans="1:7" x14ac:dyDescent="0.25">
      <c r="A24" s="1"/>
      <c r="B24" s="85" t="s">
        <v>294</v>
      </c>
      <c r="C24" s="86"/>
      <c r="D24" s="87"/>
      <c r="E24" s="9">
        <v>291961199.41999996</v>
      </c>
      <c r="F24" s="14" t="s">
        <v>3</v>
      </c>
      <c r="G24" s="1"/>
    </row>
    <row r="25" spans="1:7" x14ac:dyDescent="0.25">
      <c r="A25" s="1"/>
      <c r="B25" s="85" t="s">
        <v>31</v>
      </c>
      <c r="C25" s="86"/>
      <c r="D25" s="87"/>
      <c r="E25" s="9">
        <v>0</v>
      </c>
      <c r="F25" s="14" t="s">
        <v>3</v>
      </c>
      <c r="G25" s="1"/>
    </row>
    <row r="26" spans="1:7" x14ac:dyDescent="0.25">
      <c r="A26" s="1"/>
      <c r="B26" s="88" t="s">
        <v>295</v>
      </c>
      <c r="C26" s="89"/>
      <c r="D26" s="90"/>
      <c r="E26" s="73">
        <f>E23-E24-E25</f>
        <v>-11439564.419999957</v>
      </c>
      <c r="F26" s="17" t="s">
        <v>3</v>
      </c>
      <c r="G26" s="1"/>
    </row>
    <row r="27" spans="1:7" x14ac:dyDescent="0.25">
      <c r="A27" s="1"/>
      <c r="B27" s="30"/>
      <c r="C27" s="31"/>
      <c r="D27" s="31"/>
      <c r="E27" s="31"/>
      <c r="F27" s="19"/>
      <c r="G27" s="1"/>
    </row>
    <row r="28" spans="1:7" x14ac:dyDescent="0.25">
      <c r="A28" s="1"/>
      <c r="B28" s="1"/>
      <c r="C28" s="1"/>
      <c r="D28" s="1"/>
      <c r="E28" s="1"/>
      <c r="F28" s="1"/>
      <c r="G28" s="1"/>
    </row>
    <row r="29" spans="1:7" x14ac:dyDescent="0.25">
      <c r="A29" s="1"/>
      <c r="B29" s="132" t="s">
        <v>296</v>
      </c>
      <c r="C29" s="133"/>
      <c r="D29" s="133"/>
      <c r="E29" s="133"/>
      <c r="F29" s="134"/>
      <c r="G29" s="1"/>
    </row>
    <row r="30" spans="1:7" x14ac:dyDescent="0.25">
      <c r="A30" s="1"/>
      <c r="B30" s="153" t="s">
        <v>119</v>
      </c>
      <c r="C30" s="154"/>
      <c r="D30" s="155"/>
      <c r="E30" s="9">
        <f>IF(E19&lt;0,IF(E26&lt;0,SUM(E19,E26),IF(E11&gt;0,SUM(E11:E12),E19)),IF(AND(E26&lt;0,SUM(E26,E12)&lt;0),IF(SUM(E9:E12)&lt;0,E26,E26),IF(AND(E26&lt;0,SUM(E9:E12)&lt;0),E26,0)))</f>
        <v>-11439564.419999957</v>
      </c>
      <c r="F30" s="14" t="s">
        <v>3</v>
      </c>
      <c r="G30" s="1"/>
    </row>
    <row r="31" spans="1:7" x14ac:dyDescent="0.25">
      <c r="A31" s="1"/>
      <c r="B31" s="153" t="s">
        <v>81</v>
      </c>
      <c r="C31" s="154"/>
      <c r="D31" s="155"/>
      <c r="E31" s="9">
        <v>2</v>
      </c>
      <c r="F31" s="14" t="s">
        <v>20</v>
      </c>
      <c r="G31" s="1"/>
    </row>
    <row r="32" spans="1:7" x14ac:dyDescent="0.25">
      <c r="A32" s="1"/>
      <c r="B32" s="156" t="s">
        <v>121</v>
      </c>
      <c r="C32" s="157"/>
      <c r="D32" s="158"/>
      <c r="E32" s="10">
        <f>E30/E31</f>
        <v>-5719782.2099999785</v>
      </c>
      <c r="F32" s="17" t="s">
        <v>3</v>
      </c>
      <c r="G32" s="1"/>
    </row>
    <row r="33" spans="1:7" x14ac:dyDescent="0.25">
      <c r="A33" s="1"/>
      <c r="B33" s="147"/>
      <c r="C33" s="148"/>
      <c r="D33" s="148"/>
      <c r="E33" s="148"/>
      <c r="F33" s="149"/>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G54" s="39"/>
    </row>
  </sheetData>
  <sheetProtection algorithmName="SHA-512" hashValue="bN1aDFgOzVInsBpUufq1y7564G8sq1gvjPNiLiL2erkulWSeksfRqXiXM0dczkPqjrjVvpMg4+HTRQXiHQGCkw==" saltValue="fgFymCZ64goXmXVFjWkwaA=="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6" t="s">
        <v>193</v>
      </c>
      <c r="C3" s="116"/>
      <c r="D3" s="116"/>
      <c r="E3" s="116"/>
      <c r="F3" s="116"/>
      <c r="G3" s="116"/>
      <c r="H3" s="116"/>
      <c r="I3" s="1"/>
    </row>
    <row r="4" spans="1:9" ht="15" customHeight="1" x14ac:dyDescent="0.25">
      <c r="A4" s="1"/>
      <c r="B4" s="116"/>
      <c r="C4" s="116"/>
      <c r="D4" s="116"/>
      <c r="E4" s="116"/>
      <c r="F4" s="116"/>
      <c r="G4" s="116"/>
      <c r="H4" s="11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2" t="s">
        <v>194</v>
      </c>
      <c r="C8" s="133"/>
      <c r="D8" s="133"/>
      <c r="E8" s="133"/>
      <c r="F8" s="133"/>
      <c r="G8" s="133"/>
      <c r="H8" s="134"/>
      <c r="I8" s="1"/>
    </row>
    <row r="9" spans="1:9" ht="15" customHeight="1" x14ac:dyDescent="0.25">
      <c r="A9" s="1"/>
      <c r="B9" s="159" t="s">
        <v>195</v>
      </c>
      <c r="C9" s="160"/>
      <c r="D9" s="160"/>
      <c r="E9" s="160"/>
      <c r="F9" s="160"/>
      <c r="G9" s="160"/>
      <c r="H9" s="161"/>
      <c r="I9" s="1"/>
    </row>
    <row r="10" spans="1:9" x14ac:dyDescent="0.25">
      <c r="A10" s="1"/>
      <c r="B10" s="162" t="s">
        <v>196</v>
      </c>
      <c r="C10" s="163"/>
      <c r="D10" s="163"/>
      <c r="E10" s="163"/>
      <c r="F10" s="164"/>
      <c r="G10" s="40">
        <v>0</v>
      </c>
      <c r="H10" s="9" t="s">
        <v>3</v>
      </c>
      <c r="I10" s="1"/>
    </row>
    <row r="11" spans="1:9" x14ac:dyDescent="0.25">
      <c r="A11" s="1"/>
      <c r="B11" s="162" t="s">
        <v>197</v>
      </c>
      <c r="C11" s="163"/>
      <c r="D11" s="163"/>
      <c r="E11" s="163"/>
      <c r="F11" s="164"/>
      <c r="G11" s="40">
        <v>0</v>
      </c>
      <c r="H11" s="9" t="s">
        <v>3</v>
      </c>
      <c r="I11" s="1"/>
    </row>
    <row r="12" spans="1:9" x14ac:dyDescent="0.25">
      <c r="A12" s="1"/>
      <c r="B12" s="162" t="s">
        <v>198</v>
      </c>
      <c r="C12" s="163"/>
      <c r="D12" s="163"/>
      <c r="E12" s="163"/>
      <c r="F12" s="164"/>
      <c r="G12" s="9">
        <v>0</v>
      </c>
      <c r="H12" s="9" t="s">
        <v>3</v>
      </c>
      <c r="I12" s="1"/>
    </row>
    <row r="13" spans="1:9" x14ac:dyDescent="0.25">
      <c r="A13" s="1"/>
      <c r="B13" s="162" t="s">
        <v>199</v>
      </c>
      <c r="C13" s="163"/>
      <c r="D13" s="163"/>
      <c r="E13" s="163"/>
      <c r="F13" s="164"/>
      <c r="G13" s="9">
        <v>0</v>
      </c>
      <c r="H13" s="9" t="s">
        <v>3</v>
      </c>
      <c r="I13" s="1"/>
    </row>
    <row r="14" spans="1:9" x14ac:dyDescent="0.25">
      <c r="A14" s="1"/>
      <c r="B14" s="162" t="s">
        <v>200</v>
      </c>
      <c r="C14" s="163"/>
      <c r="D14" s="163"/>
      <c r="E14" s="163"/>
      <c r="F14" s="164"/>
      <c r="G14" s="9">
        <v>0</v>
      </c>
      <c r="H14" s="9" t="s">
        <v>3</v>
      </c>
      <c r="I14" s="1"/>
    </row>
    <row r="15" spans="1:9" x14ac:dyDescent="0.25">
      <c r="A15" s="1"/>
      <c r="B15" s="162" t="s">
        <v>201</v>
      </c>
      <c r="C15" s="163"/>
      <c r="D15" s="163"/>
      <c r="E15" s="163"/>
      <c r="F15" s="164"/>
      <c r="G15" s="9">
        <v>0</v>
      </c>
      <c r="H15" s="9" t="s">
        <v>3</v>
      </c>
      <c r="I15" s="1"/>
    </row>
    <row r="16" spans="1:9" x14ac:dyDescent="0.25">
      <c r="A16" s="1"/>
      <c r="B16" s="162" t="s">
        <v>202</v>
      </c>
      <c r="C16" s="163"/>
      <c r="D16" s="163"/>
      <c r="E16" s="163"/>
      <c r="F16" s="164"/>
      <c r="G16" s="9">
        <v>0</v>
      </c>
      <c r="H16" s="9" t="s">
        <v>3</v>
      </c>
      <c r="I16" s="1"/>
    </row>
    <row r="17" spans="1:9" x14ac:dyDescent="0.25">
      <c r="A17" s="1"/>
      <c r="B17" s="162" t="s">
        <v>203</v>
      </c>
      <c r="C17" s="163"/>
      <c r="D17" s="163"/>
      <c r="E17" s="163"/>
      <c r="F17" s="164"/>
      <c r="G17" s="9">
        <v>0</v>
      </c>
      <c r="H17" s="9" t="s">
        <v>3</v>
      </c>
      <c r="I17" s="1"/>
    </row>
    <row r="18" spans="1:9" x14ac:dyDescent="0.25">
      <c r="A18" s="1"/>
      <c r="B18" s="132" t="s">
        <v>204</v>
      </c>
      <c r="C18" s="133"/>
      <c r="D18" s="133"/>
      <c r="E18" s="133"/>
      <c r="F18" s="13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FS1WBR1x/DV/iXvPEcOAhMbfpGz+BIxvqnKl7qP6XVIT2m735hfIw25JIORrOP2O9kzN2H05WhcAFe1Nki0yg==" saltValue="iK9odMAeHMGdXSGUn1EgL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279</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5" t="s">
        <v>280</v>
      </c>
      <c r="C9" s="165"/>
      <c r="D9" s="165"/>
      <c r="E9" s="165"/>
      <c r="F9" s="165"/>
      <c r="G9" s="1"/>
    </row>
    <row r="10" spans="1:7" x14ac:dyDescent="0.25">
      <c r="A10" s="1"/>
      <c r="B10" s="150" t="s">
        <v>79</v>
      </c>
      <c r="C10" s="151"/>
      <c r="D10" s="152"/>
      <c r="E10" s="7">
        <v>0</v>
      </c>
      <c r="F10" s="8" t="s">
        <v>3</v>
      </c>
      <c r="G10" s="1"/>
    </row>
    <row r="11" spans="1:7" x14ac:dyDescent="0.25">
      <c r="A11" s="1"/>
      <c r="B11" s="144" t="s">
        <v>281</v>
      </c>
      <c r="C11" s="145"/>
      <c r="D11" s="146"/>
      <c r="E11" s="7">
        <v>0</v>
      </c>
      <c r="F11" s="8" t="s">
        <v>3</v>
      </c>
      <c r="G11" s="1"/>
    </row>
    <row r="12" spans="1:7" x14ac:dyDescent="0.25">
      <c r="A12" s="1"/>
      <c r="B12" s="156" t="s">
        <v>80</v>
      </c>
      <c r="C12" s="157"/>
      <c r="D12" s="158"/>
      <c r="E12" s="10">
        <f>E11-E10</f>
        <v>0</v>
      </c>
      <c r="F12" s="11" t="s">
        <v>3</v>
      </c>
      <c r="G12" s="1"/>
    </row>
    <row r="13" spans="1:7" x14ac:dyDescent="0.25">
      <c r="A13" s="1"/>
      <c r="B13" s="165" t="s">
        <v>74</v>
      </c>
      <c r="C13" s="165"/>
      <c r="D13" s="165"/>
      <c r="E13" s="165"/>
      <c r="F13" s="165"/>
      <c r="G13" s="1"/>
    </row>
    <row r="14" spans="1:7" x14ac:dyDescent="0.25">
      <c r="A14" s="1"/>
      <c r="B14" s="144" t="s">
        <v>282</v>
      </c>
      <c r="C14" s="145"/>
      <c r="D14" s="146"/>
      <c r="E14" s="7">
        <v>0</v>
      </c>
      <c r="F14" s="8" t="s">
        <v>3</v>
      </c>
      <c r="G14" s="1"/>
    </row>
    <row r="15" spans="1:7" x14ac:dyDescent="0.25">
      <c r="A15" s="1"/>
      <c r="B15" s="150" t="s">
        <v>283</v>
      </c>
      <c r="C15" s="151"/>
      <c r="D15" s="152"/>
      <c r="E15" s="7">
        <v>0</v>
      </c>
      <c r="F15" s="8" t="s">
        <v>3</v>
      </c>
      <c r="G15" s="1"/>
    </row>
    <row r="16" spans="1:7" x14ac:dyDescent="0.25">
      <c r="A16" s="1"/>
      <c r="B16" s="156" t="s">
        <v>80</v>
      </c>
      <c r="C16" s="157"/>
      <c r="D16" s="158"/>
      <c r="E16" s="10">
        <f>E15-E14</f>
        <v>0</v>
      </c>
      <c r="F16" s="11" t="s">
        <v>3</v>
      </c>
      <c r="G16" s="1"/>
    </row>
    <row r="17" spans="1:7" ht="15" customHeight="1" x14ac:dyDescent="0.25">
      <c r="A17" s="1"/>
      <c r="B17" s="30" t="s">
        <v>284</v>
      </c>
      <c r="C17" s="31"/>
      <c r="D17" s="31"/>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gMRm4UhK323W8mavdsaQuyux4TyKdhuI54dFRrXnSc3MVu/+nFjLgLqi0IiSZzCdJ7DOo/u1OwYGhjjMisYtQ==" saltValue="kOMn8ZuCmGBQJYnBqUhha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6" t="s">
        <v>205</v>
      </c>
      <c r="C3" s="116"/>
      <c r="D3" s="116"/>
      <c r="E3" s="116"/>
      <c r="F3" s="116"/>
      <c r="G3" s="116"/>
      <c r="H3" s="116"/>
      <c r="I3" s="116"/>
      <c r="J3" s="116"/>
      <c r="K3" s="116"/>
      <c r="L3" s="1"/>
    </row>
    <row r="4" spans="1:12" ht="15" customHeight="1" x14ac:dyDescent="0.25">
      <c r="A4" s="1"/>
      <c r="B4" s="116"/>
      <c r="C4" s="116"/>
      <c r="D4" s="116"/>
      <c r="E4" s="116"/>
      <c r="F4" s="116"/>
      <c r="G4" s="116"/>
      <c r="H4" s="116"/>
      <c r="I4" s="116"/>
      <c r="J4" s="116"/>
      <c r="K4" s="11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2" t="s">
        <v>179</v>
      </c>
      <c r="C8" s="133"/>
      <c r="D8" s="133"/>
      <c r="E8" s="133"/>
      <c r="F8" s="133"/>
      <c r="G8" s="133"/>
      <c r="H8" s="133"/>
      <c r="I8" s="133"/>
      <c r="J8" s="133"/>
      <c r="K8" s="134"/>
      <c r="L8" s="1"/>
    </row>
    <row r="9" spans="1:12" ht="39.75" customHeight="1" x14ac:dyDescent="0.25">
      <c r="A9" s="1"/>
      <c r="B9" s="18" t="s">
        <v>0</v>
      </c>
      <c r="C9" s="18" t="s">
        <v>1</v>
      </c>
      <c r="D9" s="166" t="s">
        <v>189</v>
      </c>
      <c r="E9" s="167"/>
      <c r="F9" s="166" t="s">
        <v>2</v>
      </c>
      <c r="G9" s="167"/>
      <c r="H9" s="166" t="s">
        <v>191</v>
      </c>
      <c r="I9" s="167"/>
      <c r="J9" s="166" t="s">
        <v>28</v>
      </c>
      <c r="K9" s="167"/>
      <c r="L9" s="1"/>
    </row>
    <row r="10" spans="1:12" x14ac:dyDescent="0.25">
      <c r="A10" s="1"/>
      <c r="B10" s="93" t="s">
        <v>270</v>
      </c>
      <c r="C10" s="34">
        <v>0</v>
      </c>
      <c r="D10" s="9">
        <v>0</v>
      </c>
      <c r="E10" s="14" t="s">
        <v>3</v>
      </c>
      <c r="F10" s="9">
        <f>IFERROR(D10/C10,0)</f>
        <v>0</v>
      </c>
      <c r="G10" s="14" t="s">
        <v>3</v>
      </c>
      <c r="H10" s="9">
        <v>0</v>
      </c>
      <c r="I10" s="14" t="s">
        <v>3</v>
      </c>
      <c r="J10" s="9">
        <v>0</v>
      </c>
      <c r="K10" s="14" t="s">
        <v>3</v>
      </c>
      <c r="L10" s="1"/>
    </row>
    <row r="11" spans="1:12" x14ac:dyDescent="0.25">
      <c r="A11" s="1"/>
      <c r="B11" s="132" t="s">
        <v>180</v>
      </c>
      <c r="C11" s="133"/>
      <c r="D11" s="133"/>
      <c r="E11" s="134"/>
      <c r="F11" s="12">
        <f>SUM(F10:F10)</f>
        <v>0</v>
      </c>
      <c r="G11" s="84" t="s">
        <v>190</v>
      </c>
      <c r="H11" s="12">
        <f>SUM(H10:H10)</f>
        <v>0</v>
      </c>
      <c r="I11" s="84" t="s">
        <v>190</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sheetData>
  <sheetProtection algorithmName="SHA-512" hashValue="VPqy/hlzPInHZce4WdXg8hpnfAHK7vsoKbG6J/wk3plFsh7pXY58b7ukAUUxdV/Ipdw2RUIWScPf+VLSZ9uPew==" saltValue="GAdt0L2nCX5EoWoip9DYi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206</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0" t="s">
        <v>64</v>
      </c>
      <c r="C8" s="31"/>
      <c r="D8" s="31"/>
      <c r="E8" s="31"/>
      <c r="F8" s="19"/>
      <c r="G8" s="1"/>
    </row>
    <row r="9" spans="1:7" ht="17.25" customHeight="1" x14ac:dyDescent="0.25">
      <c r="A9" s="1"/>
      <c r="B9" s="91" t="s">
        <v>17</v>
      </c>
      <c r="C9" s="91" t="s">
        <v>11</v>
      </c>
      <c r="D9" s="92"/>
      <c r="E9" s="91" t="s">
        <v>29</v>
      </c>
      <c r="F9" s="97"/>
      <c r="G9" s="1"/>
    </row>
    <row r="10" spans="1:7" x14ac:dyDescent="0.25">
      <c r="A10" s="1"/>
      <c r="B10" s="23" t="s">
        <v>183</v>
      </c>
      <c r="C10" s="21">
        <f>'Fane 10. Anlægsprojekter (§19) '!H11</f>
        <v>0</v>
      </c>
      <c r="D10" s="14" t="s">
        <v>3</v>
      </c>
      <c r="E10" s="9">
        <f>'Fane 10. Anlægsprojekter (§19) '!F11+'Fane 10. Anlægsprojekter (§19) '!J11</f>
        <v>0</v>
      </c>
      <c r="F10" s="14" t="s">
        <v>3</v>
      </c>
      <c r="G10" s="1"/>
    </row>
    <row r="11" spans="1:7" x14ac:dyDescent="0.25">
      <c r="A11" s="1"/>
      <c r="B11" s="35" t="s">
        <v>297</v>
      </c>
      <c r="C11" s="21">
        <v>0</v>
      </c>
      <c r="D11" s="14" t="s">
        <v>3</v>
      </c>
      <c r="E11" s="9">
        <v>1305895</v>
      </c>
      <c r="F11" s="14" t="s">
        <v>3</v>
      </c>
      <c r="G11" s="1"/>
    </row>
    <row r="12" spans="1:7" x14ac:dyDescent="0.25">
      <c r="A12" s="1"/>
      <c r="B12" s="23" t="s">
        <v>298</v>
      </c>
      <c r="C12" s="21">
        <v>3058711</v>
      </c>
      <c r="D12" s="14" t="s">
        <v>3</v>
      </c>
      <c r="E12" s="9">
        <v>1023340</v>
      </c>
      <c r="F12" s="14" t="s">
        <v>3</v>
      </c>
      <c r="G12" s="1"/>
    </row>
    <row r="13" spans="1:7" x14ac:dyDescent="0.25">
      <c r="A13" s="1"/>
      <c r="B13" s="23"/>
      <c r="C13" s="21"/>
      <c r="D13" s="14" t="s">
        <v>3</v>
      </c>
      <c r="E13" s="9">
        <v>0</v>
      </c>
      <c r="F13" s="14" t="s">
        <v>3</v>
      </c>
      <c r="G13" s="1"/>
    </row>
    <row r="14" spans="1:7" x14ac:dyDescent="0.25">
      <c r="A14" s="1"/>
      <c r="B14" s="23"/>
      <c r="C14" s="21"/>
      <c r="D14" s="14" t="s">
        <v>3</v>
      </c>
      <c r="E14" s="9"/>
      <c r="F14" s="14" t="s">
        <v>3</v>
      </c>
      <c r="G14" s="1"/>
    </row>
    <row r="15" spans="1:7" x14ac:dyDescent="0.25">
      <c r="A15" s="1"/>
      <c r="B15" s="23"/>
      <c r="C15" s="21"/>
      <c r="D15" s="14" t="s">
        <v>3</v>
      </c>
      <c r="E15" s="9"/>
      <c r="F15" s="14" t="s">
        <v>3</v>
      </c>
      <c r="G15" s="1"/>
    </row>
    <row r="16" spans="1:7" x14ac:dyDescent="0.25">
      <c r="A16" s="1"/>
      <c r="B16" s="30" t="s">
        <v>173</v>
      </c>
      <c r="C16" s="12">
        <f>SUM(C10:C15)</f>
        <v>3058711</v>
      </c>
      <c r="D16" s="13" t="s">
        <v>3</v>
      </c>
      <c r="E16" s="12">
        <f>SUM(E10:E15)</f>
        <v>2329235</v>
      </c>
      <c r="F16" s="13" t="s">
        <v>3</v>
      </c>
      <c r="G16" s="1"/>
    </row>
    <row r="17" spans="1:7" x14ac:dyDescent="0.25">
      <c r="A17" s="1"/>
      <c r="B17" s="30" t="s">
        <v>261</v>
      </c>
      <c r="C17" s="12">
        <f>C16*(1+'Fane 15. Nøgletal'!C16)</f>
        <v>3305854.8487999998</v>
      </c>
      <c r="D17" s="13" t="s">
        <v>3</v>
      </c>
      <c r="E17" s="12">
        <f>E16*(1+'Fane 15. Nøgletal'!C16)</f>
        <v>2517437.1880000001</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sheetData>
  <sheetProtection algorithmName="SHA-512" hashValue="+2iF+xaD3Vq3vOxXLDxUaN+k7c3Xsxx4nGrBbSvd7GkMLGIH0RaMk9ByjLzJO4PCgl5r+rV7ZQZdQcSsvnC9Mw==" saltValue="GyU8a4nQX0jUUpllnyJGm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8"/>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207</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82" t="s">
        <v>77</v>
      </c>
      <c r="C7" s="83"/>
      <c r="D7" s="83"/>
      <c r="E7" s="83"/>
      <c r="F7" s="84"/>
      <c r="G7" s="1"/>
    </row>
    <row r="8" spans="1:7" x14ac:dyDescent="0.25">
      <c r="A8" s="1"/>
      <c r="B8" s="91" t="s">
        <v>17</v>
      </c>
      <c r="C8" s="91" t="s">
        <v>11</v>
      </c>
      <c r="D8" s="92"/>
      <c r="E8" s="91" t="s">
        <v>29</v>
      </c>
      <c r="F8" s="97"/>
      <c r="G8" s="1"/>
    </row>
    <row r="9" spans="1:7" x14ac:dyDescent="0.25">
      <c r="A9" s="1"/>
      <c r="B9" s="23"/>
      <c r="C9" s="21"/>
      <c r="D9" s="14" t="s">
        <v>3</v>
      </c>
      <c r="E9" s="21">
        <v>0</v>
      </c>
      <c r="F9" s="14" t="s">
        <v>3</v>
      </c>
      <c r="G9" s="1"/>
    </row>
    <row r="10" spans="1:7" x14ac:dyDescent="0.25">
      <c r="A10" s="1"/>
      <c r="B10" s="23"/>
      <c r="C10" s="21"/>
      <c r="D10" s="14" t="s">
        <v>3</v>
      </c>
      <c r="E10" s="21"/>
      <c r="F10" s="14" t="s">
        <v>3</v>
      </c>
      <c r="G10" s="1"/>
    </row>
    <row r="11" spans="1:7" x14ac:dyDescent="0.25">
      <c r="A11" s="1"/>
      <c r="B11" s="30" t="s">
        <v>262</v>
      </c>
      <c r="C11" s="12">
        <f>SUM(C9:C10)</f>
        <v>0</v>
      </c>
      <c r="D11" s="13" t="s">
        <v>3</v>
      </c>
      <c r="E11" s="12">
        <f>SUM(E9:E10)</f>
        <v>0</v>
      </c>
      <c r="F11" s="13" t="s">
        <v>3</v>
      </c>
      <c r="G11" s="1"/>
    </row>
    <row r="12" spans="1:7" x14ac:dyDescent="0.25">
      <c r="A12" s="1"/>
      <c r="B12" s="30" t="s">
        <v>263</v>
      </c>
      <c r="C12" s="12">
        <f>C11*(1+'Fane 15. Nøgletal'!$C$16)^2</f>
        <v>0</v>
      </c>
      <c r="D12" s="13" t="s">
        <v>3</v>
      </c>
      <c r="E12" s="12">
        <f>E11*(1+'Fane 15. Nøgletal'!$C$16)^2</f>
        <v>0</v>
      </c>
      <c r="F12" s="13" t="s">
        <v>3</v>
      </c>
      <c r="G12" s="1"/>
    </row>
    <row r="13" spans="1:7" x14ac:dyDescent="0.25">
      <c r="A13" s="1"/>
      <c r="B13" s="1"/>
      <c r="C13" s="1"/>
      <c r="D13" s="1"/>
      <c r="E13" s="1"/>
      <c r="F13" s="1"/>
      <c r="G13" s="1"/>
    </row>
    <row r="14" spans="1:7" x14ac:dyDescent="0.25">
      <c r="A14" s="1"/>
      <c r="B14" s="94"/>
      <c r="C14" s="94"/>
      <c r="D14" s="94"/>
      <c r="E14" s="94"/>
      <c r="F14" s="94"/>
      <c r="G14" s="1"/>
    </row>
    <row r="15" spans="1:7" x14ac:dyDescent="0.25">
      <c r="A15" s="1"/>
      <c r="B15" s="42"/>
      <c r="C15" s="42"/>
      <c r="D15" s="42"/>
      <c r="E15" s="42"/>
      <c r="F15" s="43"/>
      <c r="G15" s="1"/>
    </row>
    <row r="16" spans="1:7" x14ac:dyDescent="0.25">
      <c r="A16" s="1"/>
      <c r="B16" s="44"/>
      <c r="C16" s="45"/>
      <c r="D16" s="46"/>
      <c r="E16" s="45"/>
      <c r="F16" s="46"/>
      <c r="G16" s="1"/>
    </row>
    <row r="17" spans="1:7" x14ac:dyDescent="0.25">
      <c r="A17" s="1"/>
      <c r="B17" s="44"/>
      <c r="C17" s="45"/>
      <c r="D17" s="46"/>
      <c r="E17" s="45"/>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8"/>
      <c r="C21" s="168"/>
      <c r="D21" s="168"/>
      <c r="E21" s="168"/>
      <c r="F21" s="168"/>
      <c r="G21" s="1"/>
    </row>
    <row r="22" spans="1:7" x14ac:dyDescent="0.25">
      <c r="A22" s="1"/>
      <c r="B22" s="42"/>
      <c r="C22" s="42"/>
      <c r="D22" s="42"/>
      <c r="E22" s="42"/>
      <c r="F22" s="43"/>
      <c r="G22" s="1"/>
    </row>
    <row r="23" spans="1:7" x14ac:dyDescent="0.25">
      <c r="A23" s="1"/>
      <c r="B23" s="44"/>
      <c r="C23" s="45"/>
      <c r="D23" s="46"/>
      <c r="E23" s="45"/>
      <c r="F23" s="46"/>
      <c r="G23" s="1"/>
    </row>
    <row r="24" spans="1:7" x14ac:dyDescent="0.25">
      <c r="A24" s="1"/>
      <c r="B24" s="44"/>
      <c r="C24" s="45"/>
      <c r="D24" s="46"/>
      <c r="E24" s="45"/>
      <c r="F24" s="46"/>
      <c r="G24" s="1"/>
    </row>
    <row r="25" spans="1:7" x14ac:dyDescent="0.25">
      <c r="A25" s="1"/>
      <c r="B25" s="29"/>
      <c r="C25" s="47"/>
      <c r="D25" s="48"/>
      <c r="E25" s="47"/>
      <c r="F25" s="48"/>
      <c r="G25" s="1"/>
    </row>
    <row r="26" spans="1:7" x14ac:dyDescent="0.25">
      <c r="A26" s="1"/>
      <c r="B26" s="29"/>
      <c r="C26" s="47"/>
      <c r="D26" s="48"/>
      <c r="E26" s="47"/>
      <c r="F26" s="48"/>
      <c r="G26" s="1"/>
    </row>
    <row r="27" spans="1:7" x14ac:dyDescent="0.25">
      <c r="A27" s="1"/>
      <c r="B27" s="41"/>
      <c r="C27" s="41"/>
      <c r="D27" s="41"/>
      <c r="E27" s="41"/>
      <c r="F27" s="41"/>
      <c r="G27" s="1"/>
    </row>
    <row r="28" spans="1:7" x14ac:dyDescent="0.25">
      <c r="A28" s="1"/>
      <c r="B28" s="168"/>
      <c r="C28" s="168"/>
      <c r="D28" s="168"/>
      <c r="E28" s="168"/>
      <c r="F28" s="168"/>
      <c r="G28" s="1"/>
    </row>
    <row r="29" spans="1:7" x14ac:dyDescent="0.25">
      <c r="A29" s="1"/>
      <c r="B29" s="42"/>
      <c r="C29" s="42"/>
      <c r="D29" s="42"/>
      <c r="E29" s="42"/>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29"/>
      <c r="C32" s="47"/>
      <c r="D32" s="48"/>
      <c r="E32" s="47"/>
      <c r="F32" s="48"/>
      <c r="G32" s="1"/>
    </row>
    <row r="33" spans="1:7" x14ac:dyDescent="0.25">
      <c r="A33" s="1"/>
      <c r="B33" s="29"/>
      <c r="C33" s="47"/>
      <c r="D33" s="48"/>
      <c r="E33" s="47"/>
      <c r="F33" s="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dJ334TzdgXR6TrZAkRk98pvb2C12/s3iQT2JZ16qLVqJUivhON6zEM7SWM6zgZD9M+UDzaQYWKW3nF+rq/Ei1w==" saltValue="GPXeiE3p7E5Sk7HnJ5UL5w=="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208</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2" t="s">
        <v>108</v>
      </c>
      <c r="C9" s="133"/>
      <c r="D9" s="133"/>
      <c r="E9" s="133"/>
      <c r="F9" s="134"/>
      <c r="G9" s="1"/>
    </row>
    <row r="10" spans="1:7" x14ac:dyDescent="0.25">
      <c r="A10" s="1"/>
      <c r="B10" s="162" t="s">
        <v>247</v>
      </c>
      <c r="C10" s="163"/>
      <c r="D10" s="164"/>
      <c r="E10" s="9">
        <v>0</v>
      </c>
      <c r="F10" s="14" t="s">
        <v>3</v>
      </c>
      <c r="G10" s="1"/>
    </row>
    <row r="11" spans="1:7" x14ac:dyDescent="0.25">
      <c r="A11" s="1"/>
      <c r="B11" s="169" t="s">
        <v>10</v>
      </c>
      <c r="C11" s="170"/>
      <c r="D11" s="171"/>
      <c r="E11" s="9">
        <f>-E10*'Fane 5. Individuelt eff. krav'!G9</f>
        <v>0</v>
      </c>
      <c r="F11" s="14" t="s">
        <v>3</v>
      </c>
      <c r="G11" s="1"/>
    </row>
    <row r="12" spans="1:7" x14ac:dyDescent="0.25">
      <c r="A12" s="1"/>
      <c r="B12" s="169" t="s">
        <v>24</v>
      </c>
      <c r="C12" s="170"/>
      <c r="D12" s="171"/>
      <c r="E12" s="9">
        <f>-E10*'Fane 15. Nøgletal'!C33</f>
        <v>0</v>
      </c>
      <c r="F12" s="14" t="s">
        <v>3</v>
      </c>
      <c r="G12" s="1"/>
    </row>
    <row r="13" spans="1:7" x14ac:dyDescent="0.25">
      <c r="A13" s="1"/>
      <c r="B13" s="132" t="s">
        <v>109</v>
      </c>
      <c r="C13" s="133"/>
      <c r="D13" s="134"/>
      <c r="E13" s="12">
        <f>SUM(E10:E12)*(1+'Fane 15. Nøgletal'!C16)^2</f>
        <v>0</v>
      </c>
      <c r="F13" s="13" t="s">
        <v>3</v>
      </c>
      <c r="G13" s="1"/>
    </row>
    <row r="14" spans="1:7" x14ac:dyDescent="0.25">
      <c r="A14" s="1"/>
      <c r="B14" s="1"/>
      <c r="C14" s="1"/>
      <c r="D14" s="1"/>
      <c r="E14" s="1"/>
      <c r="F14" s="1"/>
      <c r="G14" s="1"/>
    </row>
    <row r="15" spans="1:7" x14ac:dyDescent="0.25">
      <c r="A15" s="1"/>
      <c r="B15" s="132" t="s">
        <v>127</v>
      </c>
      <c r="C15" s="133"/>
      <c r="D15" s="133"/>
      <c r="E15" s="133"/>
      <c r="F15" s="134"/>
      <c r="G15" s="1"/>
    </row>
    <row r="16" spans="1:7" x14ac:dyDescent="0.25">
      <c r="A16" s="1"/>
      <c r="B16" s="162" t="s">
        <v>247</v>
      </c>
      <c r="C16" s="163"/>
      <c r="D16" s="164"/>
      <c r="E16" s="9">
        <v>0</v>
      </c>
      <c r="F16" s="14" t="s">
        <v>3</v>
      </c>
      <c r="G16" s="1"/>
    </row>
    <row r="17" spans="1:7" x14ac:dyDescent="0.25">
      <c r="A17" s="1"/>
      <c r="B17" s="169" t="s">
        <v>10</v>
      </c>
      <c r="C17" s="170"/>
      <c r="D17" s="171"/>
      <c r="E17" s="9">
        <f>-E16*'Fane 5. Individuelt eff. krav'!G9</f>
        <v>0</v>
      </c>
      <c r="F17" s="14" t="s">
        <v>3</v>
      </c>
      <c r="G17" s="1"/>
    </row>
    <row r="18" spans="1:7" x14ac:dyDescent="0.25">
      <c r="A18" s="1"/>
      <c r="B18" s="169" t="s">
        <v>24</v>
      </c>
      <c r="C18" s="170"/>
      <c r="D18" s="171"/>
      <c r="E18" s="9">
        <f>-E16*'Fane 15. Nøgletal'!C33</f>
        <v>0</v>
      </c>
      <c r="F18" s="14" t="s">
        <v>3</v>
      </c>
      <c r="G18" s="1"/>
    </row>
    <row r="19" spans="1:7" x14ac:dyDescent="0.25">
      <c r="A19" s="1"/>
      <c r="B19" s="132" t="s">
        <v>128</v>
      </c>
      <c r="C19" s="133"/>
      <c r="D19" s="134"/>
      <c r="E19" s="12">
        <f>SUM(E16:E18)*(1+'Fane 15. Nøgletal'!C16)^3</f>
        <v>0</v>
      </c>
      <c r="F19" s="13" t="s">
        <v>3</v>
      </c>
      <c r="G19" s="1"/>
    </row>
    <row r="20" spans="1:7" x14ac:dyDescent="0.25">
      <c r="A20" s="1"/>
      <c r="B20" s="1"/>
      <c r="C20" s="1"/>
      <c r="D20" s="1"/>
      <c r="E20" s="1"/>
      <c r="F20" s="1"/>
      <c r="G20" s="1"/>
    </row>
    <row r="21" spans="1:7" x14ac:dyDescent="0.25">
      <c r="A21" s="1"/>
      <c r="B21" s="132" t="s">
        <v>174</v>
      </c>
      <c r="C21" s="133"/>
      <c r="D21" s="133"/>
      <c r="E21" s="133"/>
      <c r="F21" s="134"/>
      <c r="G21" s="1"/>
    </row>
    <row r="22" spans="1:7" x14ac:dyDescent="0.25">
      <c r="A22" s="1"/>
      <c r="B22" s="162" t="s">
        <v>247</v>
      </c>
      <c r="C22" s="163"/>
      <c r="D22" s="164"/>
      <c r="E22" s="9">
        <v>0</v>
      </c>
      <c r="F22" s="14" t="s">
        <v>3</v>
      </c>
      <c r="G22" s="1"/>
    </row>
    <row r="23" spans="1:7" x14ac:dyDescent="0.25">
      <c r="A23" s="1"/>
      <c r="B23" s="169" t="s">
        <v>10</v>
      </c>
      <c r="C23" s="170"/>
      <c r="D23" s="171"/>
      <c r="E23" s="9">
        <f>-E22*'Fane 5. Individuelt eff. krav'!G9</f>
        <v>0</v>
      </c>
      <c r="F23" s="14" t="s">
        <v>3</v>
      </c>
      <c r="G23" s="1"/>
    </row>
    <row r="24" spans="1:7" x14ac:dyDescent="0.25">
      <c r="A24" s="1"/>
      <c r="B24" s="169" t="s">
        <v>24</v>
      </c>
      <c r="C24" s="170"/>
      <c r="D24" s="171"/>
      <c r="E24" s="9">
        <f>-E22*'Fane 15. Nøgletal'!C33</f>
        <v>0</v>
      </c>
      <c r="F24" s="14" t="s">
        <v>3</v>
      </c>
      <c r="G24" s="1"/>
    </row>
    <row r="25" spans="1:7" x14ac:dyDescent="0.25">
      <c r="A25" s="1"/>
      <c r="B25" s="132" t="s">
        <v>175</v>
      </c>
      <c r="C25" s="133"/>
      <c r="D25" s="134"/>
      <c r="E25" s="12">
        <f>SUM(E22:E24)*(1+'Fane 15. Nøgletal'!C16)^4</f>
        <v>0</v>
      </c>
      <c r="F25" s="13" t="s">
        <v>3</v>
      </c>
      <c r="G25" s="1"/>
    </row>
    <row r="26" spans="1:7" x14ac:dyDescent="0.25">
      <c r="A26" s="1"/>
      <c r="B26" s="1"/>
      <c r="C26" s="1"/>
      <c r="D26" s="1"/>
      <c r="E26" s="1"/>
      <c r="F26" s="1"/>
      <c r="G26" s="1"/>
    </row>
    <row r="27" spans="1:7" x14ac:dyDescent="0.25">
      <c r="A27" s="1"/>
      <c r="B27" s="132" t="s">
        <v>245</v>
      </c>
      <c r="C27" s="133"/>
      <c r="D27" s="133"/>
      <c r="E27" s="133"/>
      <c r="F27" s="134"/>
      <c r="G27" s="1"/>
    </row>
    <row r="28" spans="1:7" x14ac:dyDescent="0.25">
      <c r="A28" s="1"/>
      <c r="B28" s="162" t="s">
        <v>247</v>
      </c>
      <c r="C28" s="163"/>
      <c r="D28" s="164"/>
      <c r="E28" s="9">
        <v>0</v>
      </c>
      <c r="F28" s="14" t="s">
        <v>3</v>
      </c>
      <c r="G28" s="1"/>
    </row>
    <row r="29" spans="1:7" x14ac:dyDescent="0.25">
      <c r="A29" s="1"/>
      <c r="B29" s="169" t="s">
        <v>10</v>
      </c>
      <c r="C29" s="170"/>
      <c r="D29" s="171"/>
      <c r="E29" s="9">
        <f>-E28*'Fane 5. Individuelt eff. krav'!G9</f>
        <v>0</v>
      </c>
      <c r="F29" s="14" t="s">
        <v>3</v>
      </c>
      <c r="G29" s="1"/>
    </row>
    <row r="30" spans="1:7" x14ac:dyDescent="0.25">
      <c r="A30" s="1"/>
      <c r="B30" s="169" t="s">
        <v>24</v>
      </c>
      <c r="C30" s="170"/>
      <c r="D30" s="171"/>
      <c r="E30" s="9">
        <f>-E28*'Fane 15. Nøgletal'!C33</f>
        <v>0</v>
      </c>
      <c r="F30" s="14" t="s">
        <v>3</v>
      </c>
      <c r="G30" s="1"/>
    </row>
    <row r="31" spans="1:7" x14ac:dyDescent="0.25">
      <c r="A31" s="1"/>
      <c r="B31" s="132" t="s">
        <v>246</v>
      </c>
      <c r="C31" s="133"/>
      <c r="D31" s="134"/>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39"/>
      <c r="B45" s="39"/>
      <c r="C45" s="39"/>
      <c r="D45" s="39"/>
      <c r="E45" s="39"/>
      <c r="F45" s="39"/>
      <c r="G45" s="39"/>
    </row>
    <row r="46" spans="1:7" x14ac:dyDescent="0.25">
      <c r="A46" s="39"/>
      <c r="B46" s="39"/>
      <c r="C46" s="39"/>
      <c r="D46" s="39"/>
      <c r="E46" s="39"/>
      <c r="F46" s="39"/>
      <c r="G46" s="39"/>
    </row>
    <row r="47" spans="1:7" x14ac:dyDescent="0.25">
      <c r="A47" s="39"/>
      <c r="B47" s="39"/>
      <c r="C47" s="39"/>
      <c r="D47" s="39"/>
      <c r="E47" s="39"/>
      <c r="F47" s="39"/>
      <c r="G47" s="39"/>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sheetData>
  <sheetProtection algorithmName="SHA-512" hashValue="NworRE5cKl8XYsp4rtH1l559Sv9wuNKCCOMX87vMDUtCHQXnqKF9jXM4+EvIwAvH1am1iZYk4ezWxI594V04iA==" saltValue="hmgx2AoxlcgB9X2SfpTCeQ==" spinCount="100000" sheet="1" objects="1" scenarios="1"/>
  <mergeCells count="21">
    <mergeCell ref="B27:F27"/>
    <mergeCell ref="B28:D28"/>
    <mergeCell ref="B29:D29"/>
    <mergeCell ref="B30:D30"/>
    <mergeCell ref="B31:D3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209</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2" t="s">
        <v>110</v>
      </c>
      <c r="C8" s="133"/>
      <c r="D8" s="133"/>
      <c r="E8" s="133"/>
      <c r="F8" s="134"/>
      <c r="G8" s="1"/>
    </row>
    <row r="9" spans="1:7" ht="15" customHeight="1" x14ac:dyDescent="0.25">
      <c r="A9" s="1"/>
      <c r="B9" s="96" t="s">
        <v>111</v>
      </c>
      <c r="C9" s="159" t="s">
        <v>11</v>
      </c>
      <c r="D9" s="161"/>
      <c r="E9" s="172" t="s">
        <v>29</v>
      </c>
      <c r="F9" s="173"/>
      <c r="G9" s="1"/>
    </row>
    <row r="10" spans="1:7" ht="26.25" x14ac:dyDescent="0.25">
      <c r="A10" s="1"/>
      <c r="B10" s="70" t="s">
        <v>276</v>
      </c>
      <c r="C10" s="9">
        <v>0</v>
      </c>
      <c r="D10" s="14" t="s">
        <v>3</v>
      </c>
      <c r="E10" s="9">
        <v>0</v>
      </c>
      <c r="F10" s="14" t="s">
        <v>3</v>
      </c>
      <c r="G10" s="1"/>
    </row>
    <row r="11" spans="1:7" x14ac:dyDescent="0.25">
      <c r="A11" s="1"/>
      <c r="B11" s="23"/>
      <c r="C11" s="9"/>
      <c r="D11" s="14" t="s">
        <v>3</v>
      </c>
      <c r="E11" s="9"/>
      <c r="F11" s="14" t="s">
        <v>3</v>
      </c>
      <c r="G11" s="1"/>
    </row>
    <row r="12" spans="1:7" ht="28.5" customHeight="1" x14ac:dyDescent="0.25">
      <c r="A12" s="1"/>
      <c r="B12" s="20" t="s">
        <v>176</v>
      </c>
      <c r="C12" s="12">
        <f>SUM(C10:C10)</f>
        <v>0</v>
      </c>
      <c r="D12" s="13" t="s">
        <v>3</v>
      </c>
      <c r="E12" s="12">
        <f>SUM(E10:E10)</f>
        <v>0</v>
      </c>
      <c r="F12" s="13" t="s">
        <v>3</v>
      </c>
      <c r="G12" s="1"/>
    </row>
    <row r="13" spans="1:7" ht="27" customHeight="1" x14ac:dyDescent="0.25">
      <c r="A13" s="1"/>
      <c r="B13" s="20" t="s">
        <v>264</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lCktAZ5VAWjd3YCa2ti92okcXMmmpCbNFjkJn96OvaJEXpxroFgcpUD2omxpBwDLtrh724peeqlCzK+XAw60AA==" saltValue="u8HE3LhJNSLjIDaHg+43H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5" x14ac:dyDescent="0.25"/>
  <cols>
    <col min="1" max="1" width="3.42578125" style="2" customWidth="1"/>
    <col min="2" max="2" width="37.28515625" style="2" customWidth="1"/>
    <col min="3" max="3" width="15.7109375" style="2" customWidth="1"/>
    <col min="4" max="4" width="3.28515625" style="2" customWidth="1"/>
    <col min="5" max="5" width="18.140625" style="2" customWidth="1"/>
    <col min="6" max="6" width="3.28515625" style="2" customWidth="1"/>
    <col min="7" max="7" width="3.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210</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2" t="s">
        <v>265</v>
      </c>
      <c r="C9" s="133"/>
      <c r="D9" s="133"/>
      <c r="E9" s="133"/>
      <c r="F9" s="134"/>
      <c r="G9" s="1"/>
    </row>
    <row r="10" spans="1:7" ht="26.25" x14ac:dyDescent="0.25">
      <c r="A10" s="1"/>
      <c r="B10" s="96" t="s">
        <v>18</v>
      </c>
      <c r="C10" s="96" t="s">
        <v>11</v>
      </c>
      <c r="D10" s="97"/>
      <c r="E10" s="96" t="s">
        <v>29</v>
      </c>
      <c r="F10" s="97"/>
      <c r="G10" s="1"/>
    </row>
    <row r="11" spans="1:7" x14ac:dyDescent="0.25">
      <c r="A11" s="1"/>
      <c r="B11" s="70" t="s">
        <v>277</v>
      </c>
      <c r="C11" s="9">
        <v>0</v>
      </c>
      <c r="D11" s="14" t="s">
        <v>3</v>
      </c>
      <c r="E11" s="9">
        <v>0</v>
      </c>
      <c r="F11" s="14" t="s">
        <v>3</v>
      </c>
      <c r="G11" s="1"/>
    </row>
    <row r="12" spans="1:7" x14ac:dyDescent="0.25">
      <c r="A12" s="1"/>
      <c r="B12" s="30" t="s">
        <v>73</v>
      </c>
      <c r="C12" s="12">
        <f>SUM(C11:C11)</f>
        <v>0</v>
      </c>
      <c r="D12" s="13" t="s">
        <v>3</v>
      </c>
      <c r="E12" s="12">
        <f>SUM(E11:E11)</f>
        <v>0</v>
      </c>
      <c r="F12" s="13" t="s">
        <v>3</v>
      </c>
      <c r="G12" s="1"/>
    </row>
    <row r="13" spans="1:7" x14ac:dyDescent="0.25">
      <c r="A13" s="1"/>
      <c r="B13" s="30" t="s">
        <v>266</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43"/>
      <c r="C16" s="43"/>
      <c r="D16" s="43"/>
      <c r="E16" s="43"/>
      <c r="F16" s="43"/>
      <c r="G16" s="1"/>
    </row>
    <row r="17" spans="1:7" x14ac:dyDescent="0.25">
      <c r="A17" s="1"/>
      <c r="B17" s="44"/>
      <c r="C17" s="49"/>
      <c r="D17" s="46"/>
      <c r="E17" s="49"/>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8"/>
      <c r="C21" s="168"/>
      <c r="D21" s="168"/>
      <c r="E21" s="168"/>
      <c r="F21" s="168"/>
      <c r="G21" s="1"/>
    </row>
    <row r="22" spans="1:7" x14ac:dyDescent="0.25">
      <c r="A22" s="1"/>
      <c r="B22" s="43"/>
      <c r="C22" s="43"/>
      <c r="D22" s="43"/>
      <c r="E22" s="43"/>
      <c r="F22" s="43"/>
      <c r="G22" s="1"/>
    </row>
    <row r="23" spans="1:7" x14ac:dyDescent="0.25">
      <c r="A23" s="1"/>
      <c r="B23" s="44"/>
      <c r="C23" s="49"/>
      <c r="D23" s="46"/>
      <c r="E23" s="49"/>
      <c r="F23" s="46"/>
      <c r="G23" s="1"/>
    </row>
    <row r="24" spans="1:7" x14ac:dyDescent="0.25">
      <c r="A24" s="1"/>
      <c r="B24" s="29"/>
      <c r="C24" s="47"/>
      <c r="D24" s="48"/>
      <c r="E24" s="47"/>
      <c r="F24" s="48"/>
      <c r="G24" s="1"/>
    </row>
    <row r="25" spans="1:7" x14ac:dyDescent="0.25">
      <c r="A25" s="1"/>
      <c r="B25" s="29"/>
      <c r="C25" s="47"/>
      <c r="D25" s="48"/>
      <c r="E25" s="47"/>
      <c r="F25" s="48"/>
      <c r="G25" s="1"/>
    </row>
    <row r="26" spans="1:7" x14ac:dyDescent="0.25">
      <c r="A26" s="1"/>
      <c r="B26" s="41"/>
      <c r="C26" s="41"/>
      <c r="D26" s="41"/>
      <c r="E26" s="41"/>
      <c r="F26" s="41"/>
      <c r="G26" s="1"/>
    </row>
    <row r="27" spans="1:7" x14ac:dyDescent="0.25">
      <c r="A27" s="1"/>
      <c r="B27" s="168"/>
      <c r="C27" s="168"/>
      <c r="D27" s="168"/>
      <c r="E27" s="168"/>
      <c r="F27" s="168"/>
      <c r="G27" s="1"/>
    </row>
    <row r="28" spans="1:7" x14ac:dyDescent="0.25">
      <c r="A28" s="1"/>
      <c r="B28" s="43"/>
      <c r="C28" s="43"/>
      <c r="D28" s="43"/>
      <c r="E28" s="43"/>
      <c r="F28" s="43"/>
      <c r="G28" s="1"/>
    </row>
    <row r="29" spans="1:7" x14ac:dyDescent="0.25">
      <c r="A29" s="1"/>
      <c r="B29" s="44"/>
      <c r="C29" s="49"/>
      <c r="D29" s="46"/>
      <c r="E29" s="49"/>
      <c r="F29" s="46"/>
      <c r="G29" s="1"/>
    </row>
    <row r="30" spans="1:7" x14ac:dyDescent="0.25">
      <c r="A30" s="1"/>
      <c r="B30" s="29"/>
      <c r="C30" s="47"/>
      <c r="D30" s="48"/>
      <c r="E30" s="47"/>
      <c r="F30" s="48"/>
      <c r="G30" s="1"/>
    </row>
    <row r="31" spans="1:7" x14ac:dyDescent="0.25">
      <c r="A31" s="1"/>
      <c r="B31" s="29"/>
      <c r="C31" s="47"/>
      <c r="D31" s="48"/>
      <c r="E31" s="47"/>
      <c r="F31" s="4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Uzi4dZbZUNJciF6E0ZnkR8Q2Tp03dlrOHrFVfMSAVkkLeVCNP+ZRDePXFYIHYlzYNelkBMFkplScEDEt627IQQ==" saltValue="cXfzobYZPfupsCmbjR+TB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244</v>
      </c>
      <c r="C3" s="116"/>
      <c r="D3" s="116"/>
      <c r="E3" s="1"/>
    </row>
    <row r="4" spans="1:5" ht="15" customHeight="1"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x14ac:dyDescent="0.25">
      <c r="A9" s="1"/>
      <c r="B9" s="68" t="s">
        <v>106</v>
      </c>
      <c r="C9" s="7">
        <f>'Fane 3. Omkostninger i ØR2023'!C22</f>
        <v>270236600.19133389</v>
      </c>
      <c r="D9" s="8" t="s">
        <v>3</v>
      </c>
      <c r="E9" s="1"/>
    </row>
    <row r="10" spans="1:5" ht="17.25" customHeight="1" x14ac:dyDescent="0.25">
      <c r="A10" s="1"/>
      <c r="B10" s="95" t="s">
        <v>37</v>
      </c>
      <c r="C10" s="36">
        <f>'Fane 11.1. Varige tillæg'!C17</f>
        <v>3305854.8487999998</v>
      </c>
      <c r="D10" s="8" t="s">
        <v>3</v>
      </c>
      <c r="E10" s="1"/>
    </row>
    <row r="11" spans="1:5" ht="17.25" customHeight="1" x14ac:dyDescent="0.25">
      <c r="A11" s="1"/>
      <c r="B11" s="95" t="s">
        <v>38</v>
      </c>
      <c r="C11" s="36">
        <f>'Fane 11.1. Varige tillæg'!E17</f>
        <v>2517437.1880000001</v>
      </c>
      <c r="D11" s="8" t="s">
        <v>3</v>
      </c>
      <c r="E11" s="1"/>
    </row>
    <row r="12" spans="1:5" ht="17.25" customHeight="1" x14ac:dyDescent="0.25">
      <c r="A12" s="1"/>
      <c r="B12" s="95" t="s">
        <v>27</v>
      </c>
      <c r="C12" s="9">
        <f>-'Fane 14. Bortfald'!C13</f>
        <v>0</v>
      </c>
      <c r="D12" s="8" t="s">
        <v>3</v>
      </c>
      <c r="E12" s="1"/>
    </row>
    <row r="13" spans="1:5" ht="17.25" customHeight="1" x14ac:dyDescent="0.25">
      <c r="A13" s="1"/>
      <c r="B13" s="95" t="s">
        <v>26</v>
      </c>
      <c r="C13" s="9">
        <f>-'Fane 14. Bortfald'!E13</f>
        <v>0</v>
      </c>
      <c r="D13" s="8" t="s">
        <v>3</v>
      </c>
      <c r="E13" s="1"/>
    </row>
    <row r="14" spans="1:5" ht="17.25" customHeight="1" x14ac:dyDescent="0.25">
      <c r="A14" s="1"/>
      <c r="B14" s="95" t="s">
        <v>104</v>
      </c>
      <c r="C14" s="9">
        <f>'Fane 13. Tilknyttet virksomhed'!C13</f>
        <v>0</v>
      </c>
      <c r="D14" s="8" t="s">
        <v>3</v>
      </c>
      <c r="E14" s="1"/>
    </row>
    <row r="15" spans="1:5" ht="17.25" customHeight="1" x14ac:dyDescent="0.25">
      <c r="A15" s="1"/>
      <c r="B15" s="95" t="s">
        <v>105</v>
      </c>
      <c r="C15" s="9">
        <f>'Fane 13. Tilknyttet virksomhed'!E13</f>
        <v>0</v>
      </c>
      <c r="D15" s="8" t="s">
        <v>3</v>
      </c>
      <c r="E15" s="1"/>
    </row>
    <row r="16" spans="1:5" ht="17.25" customHeight="1" x14ac:dyDescent="0.25">
      <c r="A16" s="1"/>
      <c r="B16" s="95" t="s">
        <v>19</v>
      </c>
      <c r="C16" s="9">
        <f>SUM(C9:C15)*'Fane 15. Nøgletal'!C16</f>
        <v>22305639.292033218</v>
      </c>
      <c r="D16" s="8" t="s">
        <v>3</v>
      </c>
      <c r="E16" s="1"/>
    </row>
    <row r="17" spans="1:5" ht="17.25" customHeight="1" x14ac:dyDescent="0.25">
      <c r="A17" s="1"/>
      <c r="B17" s="95" t="s">
        <v>10</v>
      </c>
      <c r="C17" s="9">
        <f>-SUM(C9,C10:C16)*'Fane 5. Individuelt eff. krav'!G9</f>
        <v>0</v>
      </c>
      <c r="D17" s="8" t="s">
        <v>3</v>
      </c>
      <c r="E17" s="1"/>
    </row>
    <row r="18" spans="1:5" ht="17.25" customHeight="1" x14ac:dyDescent="0.25">
      <c r="A18" s="1"/>
      <c r="B18" s="95" t="s">
        <v>24</v>
      </c>
      <c r="C18" s="9">
        <f>-'Fane 4.1. Gen. krav - drift'!G55</f>
        <v>-2089588.605259463</v>
      </c>
      <c r="D18" s="8" t="s">
        <v>3</v>
      </c>
      <c r="E18" s="38"/>
    </row>
    <row r="19" spans="1:5" ht="15" customHeight="1" x14ac:dyDescent="0.25">
      <c r="A19" s="1"/>
      <c r="B19" s="95" t="s">
        <v>25</v>
      </c>
      <c r="C19" s="9">
        <f>-'Fane 4.2. Gen. krav - anlæg'!G53</f>
        <v>0</v>
      </c>
      <c r="D19" s="8" t="s">
        <v>3</v>
      </c>
      <c r="E19" s="1"/>
    </row>
    <row r="20" spans="1:5" ht="15" customHeight="1" x14ac:dyDescent="0.25">
      <c r="A20" s="1"/>
      <c r="B20" s="88" t="s">
        <v>21</v>
      </c>
      <c r="C20" s="10">
        <f>SUM(C9:C19)</f>
        <v>296275942.91490763</v>
      </c>
      <c r="D20" s="11" t="s">
        <v>3</v>
      </c>
      <c r="E20" s="1"/>
    </row>
    <row r="21" spans="1:5" ht="15" customHeight="1" x14ac:dyDescent="0.25">
      <c r="A21" s="1"/>
      <c r="B21" s="30" t="s">
        <v>12</v>
      </c>
      <c r="C21" s="31"/>
      <c r="D21" s="19"/>
      <c r="E21" s="1"/>
    </row>
    <row r="22" spans="1:5" ht="15" customHeight="1" x14ac:dyDescent="0.25">
      <c r="A22" s="1"/>
      <c r="B22" s="96" t="s">
        <v>12</v>
      </c>
      <c r="C22" s="10">
        <f>'Fane 6. Ikke-påvirkelige omk.'!C17+'Fane 6. Ikke-påvirkelige omk.'!C21+'Fane 6. Ikke-påvirkelige omk.'!C29</f>
        <v>20618843.530309759</v>
      </c>
      <c r="D22" s="11" t="s">
        <v>3</v>
      </c>
      <c r="E22" s="1"/>
    </row>
    <row r="23" spans="1:5" ht="15" customHeight="1" x14ac:dyDescent="0.25">
      <c r="A23" s="1"/>
      <c r="B23" s="30" t="s">
        <v>70</v>
      </c>
      <c r="C23" s="31"/>
      <c r="D23" s="19"/>
      <c r="E23" s="1"/>
    </row>
    <row r="24" spans="1:5" ht="15" customHeight="1" x14ac:dyDescent="0.25">
      <c r="A24" s="1"/>
      <c r="B24" s="88" t="s">
        <v>70</v>
      </c>
      <c r="C24" s="10">
        <f>'Fane 12. Periodevise driftsomk.'!E13</f>
        <v>0</v>
      </c>
      <c r="D24" s="11" t="s">
        <v>3</v>
      </c>
      <c r="E24" s="1"/>
    </row>
    <row r="25" spans="1:5" ht="15" customHeight="1" x14ac:dyDescent="0.25">
      <c r="A25" s="1"/>
      <c r="B25" s="30" t="s">
        <v>69</v>
      </c>
      <c r="C25" s="31"/>
      <c r="D25" s="19"/>
      <c r="E25" s="1"/>
    </row>
    <row r="26" spans="1:5" x14ac:dyDescent="0.25">
      <c r="A26" s="1"/>
      <c r="B26" s="95" t="s">
        <v>65</v>
      </c>
      <c r="C26" s="9">
        <f>'Fane 11.2. Engangstillæg'!C12</f>
        <v>0</v>
      </c>
      <c r="D26" s="8" t="s">
        <v>3</v>
      </c>
      <c r="E26" s="1"/>
    </row>
    <row r="27" spans="1:5" ht="15" customHeight="1" x14ac:dyDescent="0.25">
      <c r="A27" s="1"/>
      <c r="B27" s="95" t="s">
        <v>66</v>
      </c>
      <c r="C27" s="9">
        <f>'Fane 11.2. Engangstillæg'!E12</f>
        <v>0</v>
      </c>
      <c r="D27" s="8" t="s">
        <v>3</v>
      </c>
      <c r="E27" s="1"/>
    </row>
    <row r="28" spans="1:5" ht="15" customHeight="1" x14ac:dyDescent="0.25">
      <c r="A28" s="1"/>
      <c r="B28" s="95" t="s">
        <v>185</v>
      </c>
      <c r="C28" s="9">
        <f>-C26*('Fane 15. Nøgletal'!C33+'Fane 5. Individuelt eff. krav'!G9)</f>
        <v>0</v>
      </c>
      <c r="D28" s="8" t="s">
        <v>3</v>
      </c>
      <c r="E28" s="1"/>
    </row>
    <row r="29" spans="1:5" ht="15" customHeight="1" x14ac:dyDescent="0.25">
      <c r="A29" s="1"/>
      <c r="B29" s="37" t="s">
        <v>186</v>
      </c>
      <c r="C29" s="9">
        <f>-C27*('Fane 15. Nøgletal'!C28+'Fane 5. Individuelt eff. krav'!G9)</f>
        <v>0</v>
      </c>
      <c r="D29" s="8" t="s">
        <v>3</v>
      </c>
      <c r="E29" s="1"/>
    </row>
    <row r="30" spans="1:5" x14ac:dyDescent="0.25">
      <c r="A30" s="1"/>
      <c r="B30" s="88" t="s">
        <v>71</v>
      </c>
      <c r="C30" s="10">
        <f>SUM(C26:C29)</f>
        <v>0</v>
      </c>
      <c r="D30" s="11" t="s">
        <v>3</v>
      </c>
      <c r="E30" s="1"/>
    </row>
    <row r="31" spans="1:5" x14ac:dyDescent="0.25">
      <c r="A31" s="1"/>
      <c r="B31" s="30" t="s">
        <v>222</v>
      </c>
      <c r="C31" s="31"/>
      <c r="D31" s="19"/>
      <c r="E31" s="1"/>
    </row>
    <row r="32" spans="1:5" x14ac:dyDescent="0.25">
      <c r="A32" s="1"/>
      <c r="B32" s="96" t="s">
        <v>222</v>
      </c>
      <c r="C32" s="10">
        <f>'Fane 9. Korrektion af ØR2022'!E17</f>
        <v>0</v>
      </c>
      <c r="D32" s="11" t="s">
        <v>3</v>
      </c>
      <c r="E32" s="1"/>
    </row>
    <row r="33" spans="1:5" x14ac:dyDescent="0.25">
      <c r="A33" s="1"/>
      <c r="B33" s="30" t="s">
        <v>119</v>
      </c>
      <c r="C33" s="31"/>
      <c r="D33" s="19"/>
      <c r="E33" s="1"/>
    </row>
    <row r="34" spans="1:5" x14ac:dyDescent="0.25">
      <c r="A34" s="1"/>
      <c r="B34" s="96" t="s">
        <v>163</v>
      </c>
      <c r="C34" s="10">
        <f>'Fane 7. Kontrol af ØR2022'!E32</f>
        <v>-5719782.2099999785</v>
      </c>
      <c r="D34" s="11" t="s">
        <v>3</v>
      </c>
      <c r="E34" s="1"/>
    </row>
    <row r="35" spans="1:5" ht="26.25" customHeight="1" x14ac:dyDescent="0.25">
      <c r="A35" s="1"/>
      <c r="B35" s="117" t="s">
        <v>155</v>
      </c>
      <c r="C35" s="118"/>
      <c r="D35" s="119"/>
      <c r="E35" s="1"/>
    </row>
    <row r="36" spans="1:5" x14ac:dyDescent="0.25">
      <c r="A36" s="1"/>
      <c r="B36" s="69" t="s">
        <v>156</v>
      </c>
      <c r="C36" s="10">
        <f>'Fane 8. Skattesagen'!G13</f>
        <v>0</v>
      </c>
      <c r="D36" s="11" t="s">
        <v>3</v>
      </c>
      <c r="E36" s="1"/>
    </row>
    <row r="37" spans="1:5" x14ac:dyDescent="0.25">
      <c r="A37" s="1"/>
      <c r="B37" s="32" t="s">
        <v>304</v>
      </c>
      <c r="C37" s="31"/>
      <c r="D37" s="19"/>
      <c r="E37" s="1"/>
    </row>
    <row r="38" spans="1:5" x14ac:dyDescent="0.25">
      <c r="A38" s="1"/>
      <c r="B38" s="69" t="s">
        <v>305</v>
      </c>
      <c r="C38" s="10">
        <v>5760787.5648878897</v>
      </c>
      <c r="D38" s="11" t="s">
        <v>3</v>
      </c>
      <c r="E38" s="1"/>
    </row>
    <row r="39" spans="1:5" x14ac:dyDescent="0.25">
      <c r="A39" s="1"/>
      <c r="B39" s="30" t="s">
        <v>107</v>
      </c>
      <c r="C39" s="12">
        <f>SUM(C20,C22,C24,C30,C32,C34,C36,C38)</f>
        <v>316935791.80010527</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39"/>
      <c r="B48" s="39"/>
      <c r="C48" s="39"/>
      <c r="D48" s="39"/>
      <c r="E48" s="39"/>
    </row>
  </sheetData>
  <sheetProtection algorithmName="SHA-512" hashValue="eTmwS2f59tDTHgZH+8RVkDJAYWhHJ6i5e9G785qO7rxeTApV0jxJ9FufyfrZ6j4AoG4ngVfBgGpIO19ZXEBMSw==" saltValue="Qez7Da8XxSY+H54L4QHvlg=="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6.140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211</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0" t="s">
        <v>14</v>
      </c>
      <c r="C8" s="19"/>
      <c r="D8" s="1"/>
    </row>
    <row r="9" spans="1:4" x14ac:dyDescent="0.25">
      <c r="A9" s="1"/>
      <c r="B9" s="51" t="s">
        <v>157</v>
      </c>
      <c r="C9" s="24">
        <v>1.2699999999999999E-2</v>
      </c>
      <c r="D9" s="1"/>
    </row>
    <row r="10" spans="1:4" x14ac:dyDescent="0.25">
      <c r="A10" s="1"/>
      <c r="B10" s="51" t="s">
        <v>91</v>
      </c>
      <c r="C10" s="24">
        <v>1.7500000000000002E-2</v>
      </c>
      <c r="D10" s="1"/>
    </row>
    <row r="11" spans="1:4" x14ac:dyDescent="0.25">
      <c r="A11" s="1"/>
      <c r="B11" s="51" t="s">
        <v>23</v>
      </c>
      <c r="C11" s="24">
        <v>1.6899999999999998E-2</v>
      </c>
      <c r="D11" s="1"/>
    </row>
    <row r="12" spans="1:4" x14ac:dyDescent="0.25">
      <c r="A12" s="1"/>
      <c r="B12" s="26" t="s">
        <v>39</v>
      </c>
      <c r="C12" s="24">
        <v>1.9699999999999999E-2</v>
      </c>
      <c r="D12" s="1"/>
    </row>
    <row r="13" spans="1:4" x14ac:dyDescent="0.25">
      <c r="A13" s="1"/>
      <c r="B13" s="26" t="s">
        <v>112</v>
      </c>
      <c r="C13" s="27">
        <v>1.2200000000000001E-2</v>
      </c>
      <c r="D13" s="1"/>
    </row>
    <row r="14" spans="1:4" x14ac:dyDescent="0.25">
      <c r="A14" s="1"/>
      <c r="B14" s="26" t="s">
        <v>162</v>
      </c>
      <c r="C14" s="27">
        <v>3.3E-3</v>
      </c>
      <c r="D14" s="1"/>
    </row>
    <row r="15" spans="1:4" x14ac:dyDescent="0.25">
      <c r="A15" s="1"/>
      <c r="B15" s="26" t="s">
        <v>177</v>
      </c>
      <c r="C15" s="27">
        <v>3.56E-2</v>
      </c>
      <c r="D15" s="1"/>
    </row>
    <row r="16" spans="1:4" x14ac:dyDescent="0.25">
      <c r="A16" s="1"/>
      <c r="B16" s="26" t="s">
        <v>225</v>
      </c>
      <c r="C16" s="27">
        <v>8.0799999999999997E-2</v>
      </c>
      <c r="D16" s="1"/>
    </row>
    <row r="17" spans="1:4" x14ac:dyDescent="0.25">
      <c r="A17" s="1"/>
      <c r="B17" s="30"/>
      <c r="C17" s="19"/>
      <c r="D17" s="1"/>
    </row>
    <row r="18" spans="1:4" x14ac:dyDescent="0.25">
      <c r="A18" s="1"/>
      <c r="B18" s="1"/>
      <c r="C18" s="1"/>
      <c r="D18" s="1"/>
    </row>
    <row r="19" spans="1:4" x14ac:dyDescent="0.25">
      <c r="A19" s="1"/>
      <c r="B19" s="1"/>
      <c r="C19" s="1"/>
      <c r="D19" s="1"/>
    </row>
    <row r="20" spans="1:4" x14ac:dyDescent="0.25">
      <c r="A20" s="1"/>
      <c r="B20" s="30" t="s">
        <v>83</v>
      </c>
      <c r="C20" s="19"/>
      <c r="D20" s="1"/>
    </row>
    <row r="21" spans="1:4" x14ac:dyDescent="0.25">
      <c r="A21" s="1"/>
      <c r="B21" s="51" t="s">
        <v>158</v>
      </c>
      <c r="C21" s="22">
        <v>9.1000000000000004E-3</v>
      </c>
      <c r="D21" s="1"/>
    </row>
    <row r="22" spans="1:4" x14ac:dyDescent="0.25">
      <c r="A22" s="1"/>
      <c r="B22" s="51" t="s">
        <v>93</v>
      </c>
      <c r="C22" s="22">
        <v>1.77E-2</v>
      </c>
      <c r="D22" s="1"/>
    </row>
    <row r="23" spans="1:4" x14ac:dyDescent="0.25">
      <c r="A23" s="1"/>
      <c r="B23" s="51" t="s">
        <v>92</v>
      </c>
      <c r="C23" s="22">
        <v>8.6999999999999994E-3</v>
      </c>
      <c r="D23" s="1"/>
    </row>
    <row r="24" spans="1:4" x14ac:dyDescent="0.25">
      <c r="A24" s="1"/>
      <c r="B24" s="51" t="s">
        <v>94</v>
      </c>
      <c r="C24" s="22">
        <v>2.8400000000000002E-2</v>
      </c>
      <c r="D24" s="1"/>
    </row>
    <row r="25" spans="1:4" x14ac:dyDescent="0.25">
      <c r="A25" s="1"/>
      <c r="B25" s="51" t="s">
        <v>113</v>
      </c>
      <c r="C25" s="28">
        <v>2.75E-2</v>
      </c>
      <c r="D25" s="1"/>
    </row>
    <row r="26" spans="1:4" x14ac:dyDescent="0.25">
      <c r="A26" s="1"/>
      <c r="B26" s="51" t="s">
        <v>129</v>
      </c>
      <c r="C26" s="28">
        <v>1.4800000000000001E-2</v>
      </c>
      <c r="D26" s="1"/>
    </row>
    <row r="27" spans="1:4" x14ac:dyDescent="0.25">
      <c r="A27" s="1"/>
      <c r="B27" s="51" t="s">
        <v>178</v>
      </c>
      <c r="C27" s="28">
        <v>0</v>
      </c>
      <c r="D27" s="1"/>
    </row>
    <row r="28" spans="1:4" x14ac:dyDescent="0.25">
      <c r="A28" s="1"/>
      <c r="B28" s="26" t="s">
        <v>226</v>
      </c>
      <c r="C28" s="66">
        <v>0</v>
      </c>
      <c r="D28" s="1"/>
    </row>
    <row r="29" spans="1:4" x14ac:dyDescent="0.25">
      <c r="A29" s="1"/>
      <c r="B29" s="30"/>
      <c r="C29" s="19"/>
      <c r="D29" s="1"/>
    </row>
    <row r="30" spans="1:4" x14ac:dyDescent="0.25">
      <c r="A30" s="1"/>
      <c r="B30" s="1"/>
      <c r="C30" s="1"/>
      <c r="D30" s="1"/>
    </row>
    <row r="31" spans="1:4" x14ac:dyDescent="0.25">
      <c r="A31" s="1"/>
      <c r="B31" s="1"/>
      <c r="C31" s="1"/>
      <c r="D31" s="1"/>
    </row>
    <row r="32" spans="1:4" x14ac:dyDescent="0.25">
      <c r="A32" s="1"/>
      <c r="B32" s="30" t="s">
        <v>82</v>
      </c>
      <c r="C32" s="19"/>
      <c r="D32" s="1"/>
    </row>
    <row r="33" spans="1:4" x14ac:dyDescent="0.25">
      <c r="A33" s="1"/>
      <c r="B33" s="51" t="s">
        <v>95</v>
      </c>
      <c r="C33" s="56">
        <v>0.02</v>
      </c>
      <c r="D33" s="1"/>
    </row>
    <row r="34" spans="1:4" x14ac:dyDescent="0.25">
      <c r="A34" s="1"/>
      <c r="B34" s="30"/>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HbSOfvrqeQlxYdir2Dy8u37yGfmAQV/m85qDDn6obnNBmL+nnkwk4PkrspcG+qgljHyXDu7YP9tePTAFWefxUw==" saltValue="fvtOjA1QxGgMF8ghhHhfS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224</v>
      </c>
      <c r="C3" s="116"/>
      <c r="D3" s="116"/>
      <c r="E3" s="1"/>
    </row>
    <row r="4" spans="1:5" ht="15" customHeight="1" x14ac:dyDescent="0.25">
      <c r="A4" s="1"/>
      <c r="B4" s="116"/>
      <c r="C4" s="116"/>
      <c r="D4" s="116"/>
      <c r="E4" s="1"/>
    </row>
    <row r="5" spans="1:5" x14ac:dyDescent="0.25">
      <c r="A5" s="1"/>
      <c r="B5" s="120"/>
      <c r="C5" s="120"/>
      <c r="D5" s="120"/>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ht="15" customHeight="1" x14ac:dyDescent="0.25">
      <c r="A9" s="1"/>
      <c r="B9" s="68" t="s">
        <v>122</v>
      </c>
      <c r="C9" s="7">
        <f>'Fane 2.1. Økonomisk ramme 2024'!C20</f>
        <v>296275942.91490763</v>
      </c>
      <c r="D9" s="8" t="s">
        <v>3</v>
      </c>
      <c r="E9" s="1"/>
    </row>
    <row r="10" spans="1:5" ht="15" customHeight="1" x14ac:dyDescent="0.25">
      <c r="A10" s="1"/>
      <c r="B10" s="67" t="s">
        <v>19</v>
      </c>
      <c r="C10" s="7">
        <f>SUM(C9:C9)*'Fane 15. Nøgletal'!C16</f>
        <v>23939096.187524535</v>
      </c>
      <c r="D10" s="8" t="s">
        <v>3</v>
      </c>
      <c r="E10" s="1"/>
    </row>
    <row r="11" spans="1:5" ht="15" customHeight="1" x14ac:dyDescent="0.25">
      <c r="A11" s="1"/>
      <c r="B11" s="67" t="s">
        <v>10</v>
      </c>
      <c r="C11" s="9">
        <f>-SUM(C9:C10)*'Fane 5. Individuelt eff. krav'!G9</f>
        <v>0</v>
      </c>
      <c r="D11" s="8" t="s">
        <v>3</v>
      </c>
      <c r="E11" s="1"/>
    </row>
    <row r="12" spans="1:5" ht="15" customHeight="1" x14ac:dyDescent="0.25">
      <c r="A12" s="1"/>
      <c r="B12" s="67" t="s">
        <v>24</v>
      </c>
      <c r="C12" s="9">
        <f>-'Fane 4.1. Gen. krav - drift'!G60</f>
        <v>-2213258.817273139</v>
      </c>
      <c r="D12" s="8" t="s">
        <v>3</v>
      </c>
      <c r="E12" s="1"/>
    </row>
    <row r="13" spans="1:5" ht="15" customHeight="1" x14ac:dyDescent="0.25">
      <c r="A13" s="1"/>
      <c r="B13" s="67" t="s">
        <v>25</v>
      </c>
      <c r="C13" s="9">
        <f>-'Fane 4.2. Gen. krav - anlæg'!G58</f>
        <v>0</v>
      </c>
      <c r="D13" s="8" t="s">
        <v>3</v>
      </c>
      <c r="E13" s="1"/>
    </row>
    <row r="14" spans="1:5" ht="15" customHeight="1" x14ac:dyDescent="0.25">
      <c r="A14" s="1"/>
      <c r="B14" s="33" t="s">
        <v>21</v>
      </c>
      <c r="C14" s="10">
        <f>SUM(C9:C13)</f>
        <v>318001780.28515905</v>
      </c>
      <c r="D14" s="11" t="s">
        <v>3</v>
      </c>
      <c r="E14" s="1"/>
    </row>
    <row r="15" spans="1:5" ht="15" customHeight="1" x14ac:dyDescent="0.25">
      <c r="A15" s="1"/>
      <c r="B15" s="30" t="s">
        <v>12</v>
      </c>
      <c r="C15" s="31"/>
      <c r="D15" s="19"/>
      <c r="E15" s="1"/>
    </row>
    <row r="16" spans="1:5" ht="15" customHeight="1" x14ac:dyDescent="0.25">
      <c r="A16" s="1"/>
      <c r="B16" s="96" t="s">
        <v>12</v>
      </c>
      <c r="C16" s="10">
        <f>'Fane 6. Ikke-påvirkelige omk.'!C17*(1+'Fane 15. Nøgletal'!C16)+'Fane 6. Ikke-påvirkelige omk.'!C22+'Fane 6. Ikke-påvirkelige omk.'!C30</f>
        <v>21543041.406758785</v>
      </c>
      <c r="D16" s="11" t="s">
        <v>3</v>
      </c>
      <c r="E16" s="1"/>
    </row>
    <row r="17" spans="1:5" ht="15" customHeight="1" x14ac:dyDescent="0.25">
      <c r="A17" s="1"/>
      <c r="B17" s="30" t="s">
        <v>70</v>
      </c>
      <c r="C17" s="31"/>
      <c r="D17" s="19"/>
      <c r="E17" s="1"/>
    </row>
    <row r="18" spans="1:5" ht="15" customHeight="1" x14ac:dyDescent="0.25">
      <c r="A18" s="1"/>
      <c r="B18" s="88" t="s">
        <v>70</v>
      </c>
      <c r="C18" s="10">
        <f>'Fane 12. Periodevise driftsomk.'!E19</f>
        <v>0</v>
      </c>
      <c r="D18" s="11" t="s">
        <v>3</v>
      </c>
      <c r="E18" s="1"/>
    </row>
    <row r="19" spans="1:5" ht="15" customHeight="1" x14ac:dyDescent="0.25">
      <c r="A19" s="1"/>
      <c r="B19" s="30" t="s">
        <v>120</v>
      </c>
      <c r="C19" s="31"/>
      <c r="D19" s="19"/>
      <c r="E19" s="1"/>
    </row>
    <row r="20" spans="1:5" ht="15" customHeight="1" x14ac:dyDescent="0.25">
      <c r="A20" s="1"/>
      <c r="B20" s="96" t="s">
        <v>163</v>
      </c>
      <c r="C20" s="10">
        <f>'Fane 7. Kontrol af ØR2022'!E32</f>
        <v>-5719782.2099999785</v>
      </c>
      <c r="D20" s="11" t="s">
        <v>3</v>
      </c>
      <c r="E20" s="1"/>
    </row>
    <row r="21" spans="1:5" x14ac:dyDescent="0.25">
      <c r="A21" s="1"/>
      <c r="B21" s="32" t="s">
        <v>155</v>
      </c>
      <c r="C21" s="31"/>
      <c r="D21" s="19"/>
      <c r="E21" s="1"/>
    </row>
    <row r="22" spans="1:5" x14ac:dyDescent="0.25">
      <c r="A22" s="1"/>
      <c r="B22" s="69" t="s">
        <v>156</v>
      </c>
      <c r="C22" s="10">
        <f>'Fane 8. Skattesagen'!G14</f>
        <v>0</v>
      </c>
      <c r="D22" s="11" t="s">
        <v>3</v>
      </c>
      <c r="E22" s="1"/>
    </row>
    <row r="23" spans="1:5" ht="15" customHeight="1" x14ac:dyDescent="0.25">
      <c r="A23" s="1"/>
      <c r="B23" s="30" t="s">
        <v>123</v>
      </c>
      <c r="C23" s="12">
        <f>SUM(C14,C16,C18,C20,C22)</f>
        <v>333825039.48191786</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AbRX+NwSMS5EjoYeeAu4jDaCIzaVZL4U3lqvtUIdq2goUmF39kzN6+zSMbKLbQ6vWENVqBurPZYvl7wKrcLxA==" saltValue="sKgjVXJaFeEB2lfk374gh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249</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8" t="s">
        <v>164</v>
      </c>
      <c r="C8" s="7">
        <f>'Fane 2.2. Økonomisk ramme 2025'!C14</f>
        <v>318001780.28515905</v>
      </c>
      <c r="D8" s="8" t="s">
        <v>3</v>
      </c>
      <c r="E8" s="1"/>
    </row>
    <row r="9" spans="1:5" ht="15" customHeight="1" x14ac:dyDescent="0.25">
      <c r="A9" s="1"/>
      <c r="B9" s="67" t="s">
        <v>19</v>
      </c>
      <c r="C9" s="40">
        <f>SUM(C8:C8)*'Fane 15. Nøgletal'!C16</f>
        <v>25694543.847040851</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drift'!G65</f>
        <v>-2344248.3271146324</v>
      </c>
      <c r="D11" s="8" t="s">
        <v>3</v>
      </c>
      <c r="E11" s="1"/>
    </row>
    <row r="12" spans="1:5" ht="15" customHeight="1" x14ac:dyDescent="0.25">
      <c r="A12" s="1"/>
      <c r="B12" s="67" t="s">
        <v>25</v>
      </c>
      <c r="C12" s="9">
        <f>-'Fane 4.2. Gen. krav - anlæg'!G63</f>
        <v>0</v>
      </c>
      <c r="D12" s="8" t="s">
        <v>3</v>
      </c>
      <c r="E12" s="1"/>
    </row>
    <row r="13" spans="1:5" ht="15.75" customHeight="1" x14ac:dyDescent="0.25">
      <c r="A13" s="1"/>
      <c r="B13" s="33" t="s">
        <v>21</v>
      </c>
      <c r="C13" s="10">
        <f>SUM(C8:C12)</f>
        <v>341352075.80508524</v>
      </c>
      <c r="D13" s="11" t="s">
        <v>3</v>
      </c>
      <c r="E13" s="1"/>
    </row>
    <row r="14" spans="1:5" x14ac:dyDescent="0.25">
      <c r="A14" s="1"/>
      <c r="B14" s="30" t="s">
        <v>12</v>
      </c>
      <c r="C14" s="31"/>
      <c r="D14" s="19"/>
      <c r="E14" s="1"/>
    </row>
    <row r="15" spans="1:5" ht="15" customHeight="1" x14ac:dyDescent="0.25">
      <c r="A15" s="1"/>
      <c r="B15" s="96" t="s">
        <v>12</v>
      </c>
      <c r="C15" s="10">
        <f>'Fane 6. Ikke-påvirkelige omk.'!C17*(1+'Fane 15. Nøgletal'!C16)^2+'Fane 6. Ikke-påvirkelige omk.'!C23+'Fane 6. Ikke-påvirkelige omk.'!C31</f>
        <v>22541915.471624896</v>
      </c>
      <c r="D15" s="11" t="s">
        <v>3</v>
      </c>
      <c r="E15" s="1"/>
    </row>
    <row r="16" spans="1:5" ht="15" customHeight="1" x14ac:dyDescent="0.25">
      <c r="A16" s="1"/>
      <c r="B16" s="30" t="s">
        <v>70</v>
      </c>
      <c r="C16" s="31"/>
      <c r="D16" s="19"/>
      <c r="E16" s="1"/>
    </row>
    <row r="17" spans="1:5" ht="15" customHeight="1" x14ac:dyDescent="0.25">
      <c r="A17" s="1"/>
      <c r="B17" s="88" t="s">
        <v>70</v>
      </c>
      <c r="C17" s="10">
        <f>'Fane 12. Periodevise driftsomk.'!E25</f>
        <v>0</v>
      </c>
      <c r="D17" s="11" t="s">
        <v>3</v>
      </c>
      <c r="E17" s="1"/>
    </row>
    <row r="18" spans="1:5" ht="15" customHeight="1" x14ac:dyDescent="0.25">
      <c r="A18" s="1"/>
      <c r="B18" s="30" t="s">
        <v>120</v>
      </c>
      <c r="C18" s="31"/>
      <c r="D18" s="19"/>
      <c r="E18" s="1"/>
    </row>
    <row r="19" spans="1:5" ht="15" customHeight="1" x14ac:dyDescent="0.25">
      <c r="A19" s="1"/>
      <c r="B19" s="96" t="s">
        <v>163</v>
      </c>
      <c r="C19" s="10">
        <v>0</v>
      </c>
      <c r="D19" s="11" t="s">
        <v>3</v>
      </c>
      <c r="E19" s="1"/>
    </row>
    <row r="20" spans="1:5" x14ac:dyDescent="0.25">
      <c r="A20" s="1"/>
      <c r="B20" s="32" t="s">
        <v>155</v>
      </c>
      <c r="C20" s="31"/>
      <c r="D20" s="19"/>
      <c r="E20" s="1"/>
    </row>
    <row r="21" spans="1:5" x14ac:dyDescent="0.25">
      <c r="A21" s="1"/>
      <c r="B21" s="69" t="s">
        <v>156</v>
      </c>
      <c r="C21" s="10">
        <f>'Fane 8. Skattesagen'!G15</f>
        <v>0</v>
      </c>
      <c r="D21" s="11" t="s">
        <v>3</v>
      </c>
      <c r="E21" s="1"/>
    </row>
    <row r="22" spans="1:5" x14ac:dyDescent="0.25">
      <c r="A22" s="1"/>
      <c r="B22" s="30" t="s">
        <v>165</v>
      </c>
      <c r="C22" s="12">
        <f>SUM(C13,C15,C17,C19,C21)</f>
        <v>363893991.27671015</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5LHvFj5SxfF0ZVDKl15Sozk3UVdu3sHGMlqPB6pHWbWFZ+oB+v/QlsYloJUxdqALAuAmgZoLnF3SUsCsHSd32A==" saltValue="ATmmDSh5dCujZviNsIdSG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248</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8" t="s">
        <v>251</v>
      </c>
      <c r="C8" s="7">
        <f>'Fane 2.3. Økonomisk ramme 2026'!C13</f>
        <v>341352075.80508524</v>
      </c>
      <c r="D8" s="8" t="s">
        <v>3</v>
      </c>
      <c r="E8" s="1"/>
    </row>
    <row r="9" spans="1:5" ht="15" customHeight="1" x14ac:dyDescent="0.25">
      <c r="A9" s="1"/>
      <c r="B9" s="67" t="s">
        <v>19</v>
      </c>
      <c r="C9" s="40">
        <f>SUM(C8:C8)*'Fane 15. Nøgletal'!C16</f>
        <v>27581247.725050885</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drift'!G70</f>
        <v>-2482990.3201065846</v>
      </c>
      <c r="D11" s="8" t="s">
        <v>3</v>
      </c>
      <c r="E11" s="1"/>
    </row>
    <row r="12" spans="1:5" ht="15" customHeight="1" x14ac:dyDescent="0.25">
      <c r="A12" s="1"/>
      <c r="B12" s="67" t="s">
        <v>25</v>
      </c>
      <c r="C12" s="9">
        <f>-'Fane 4.2. Gen. krav - anlæg'!G68</f>
        <v>0</v>
      </c>
      <c r="D12" s="8" t="s">
        <v>3</v>
      </c>
      <c r="E12" s="1"/>
    </row>
    <row r="13" spans="1:5" ht="15.75" customHeight="1" x14ac:dyDescent="0.25">
      <c r="A13" s="1"/>
      <c r="B13" s="33" t="s">
        <v>21</v>
      </c>
      <c r="C13" s="10">
        <f>SUM(C8:C12)</f>
        <v>366450333.21002954</v>
      </c>
      <c r="D13" s="11" t="s">
        <v>3</v>
      </c>
      <c r="E13" s="1"/>
    </row>
    <row r="14" spans="1:5" x14ac:dyDescent="0.25">
      <c r="A14" s="1"/>
      <c r="B14" s="30" t="s">
        <v>12</v>
      </c>
      <c r="C14" s="31"/>
      <c r="D14" s="19"/>
      <c r="E14" s="1"/>
    </row>
    <row r="15" spans="1:5" ht="15" customHeight="1" x14ac:dyDescent="0.25">
      <c r="A15" s="1"/>
      <c r="B15" s="96" t="s">
        <v>12</v>
      </c>
      <c r="C15" s="10">
        <f>'Fane 6. Ikke-påvirkelige omk.'!C17*(1+'Fane 15. Nøgletal'!C16)^3+'Fane 6. Ikke-påvirkelige omk.'!C24+'Fane 6. Ikke-påvirkelige omk.'!C32</f>
        <v>14440745.480132189</v>
      </c>
      <c r="D15" s="11" t="s">
        <v>3</v>
      </c>
      <c r="E15" s="1"/>
    </row>
    <row r="16" spans="1:5" ht="15" customHeight="1" x14ac:dyDescent="0.25">
      <c r="A16" s="1"/>
      <c r="B16" s="30" t="s">
        <v>70</v>
      </c>
      <c r="C16" s="31"/>
      <c r="D16" s="19"/>
      <c r="E16" s="1"/>
    </row>
    <row r="17" spans="1:5" ht="15" customHeight="1" x14ac:dyDescent="0.25">
      <c r="A17" s="1"/>
      <c r="B17" s="88" t="s">
        <v>70</v>
      </c>
      <c r="C17" s="10">
        <f>'Fane 12. Periodevise driftsomk.'!E31</f>
        <v>0</v>
      </c>
      <c r="D17" s="11" t="s">
        <v>3</v>
      </c>
      <c r="E17" s="1"/>
    </row>
    <row r="18" spans="1:5" ht="15" customHeight="1" x14ac:dyDescent="0.25">
      <c r="A18" s="1"/>
      <c r="B18" s="30" t="s">
        <v>120</v>
      </c>
      <c r="C18" s="31"/>
      <c r="D18" s="19"/>
      <c r="E18" s="1"/>
    </row>
    <row r="19" spans="1:5" ht="15" customHeight="1" x14ac:dyDescent="0.25">
      <c r="A19" s="1"/>
      <c r="B19" s="96" t="s">
        <v>163</v>
      </c>
      <c r="C19" s="10">
        <v>0</v>
      </c>
      <c r="D19" s="11" t="s">
        <v>3</v>
      </c>
      <c r="E19" s="1"/>
    </row>
    <row r="20" spans="1:5" ht="15" customHeight="1" x14ac:dyDescent="0.25">
      <c r="A20" s="1"/>
      <c r="B20" s="32" t="s">
        <v>155</v>
      </c>
      <c r="C20" s="31"/>
      <c r="D20" s="19"/>
      <c r="E20" s="1"/>
    </row>
    <row r="21" spans="1:5" ht="15" customHeight="1" x14ac:dyDescent="0.25">
      <c r="A21" s="1"/>
      <c r="B21" s="69" t="s">
        <v>156</v>
      </c>
      <c r="C21" s="10">
        <f>'Fane 8. Skattesagen'!G16</f>
        <v>0</v>
      </c>
      <c r="D21" s="11" t="s">
        <v>3</v>
      </c>
      <c r="E21" s="1"/>
    </row>
    <row r="22" spans="1:5" ht="15" customHeight="1" x14ac:dyDescent="0.25">
      <c r="A22" s="1"/>
      <c r="B22" s="30" t="s">
        <v>252</v>
      </c>
      <c r="C22" s="12">
        <f>SUM(C13,C15,C17,C19,C21)</f>
        <v>380891078.69016171</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ow6T9mRPEDKu2l8IgQqkinZ90gDXGtzhjItf9PPkYIRhQqiTqoy2XRYPxGkgdAluI3yBMjy/zvoB9aueokEmg==" saltValue="R4B0CL0urg9KsJdsNmjOU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view="pageLayout" zoomScale="90" zoomScaleNormal="100" zoomScalePageLayoutView="9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24.95" customHeight="1" x14ac:dyDescent="0.25">
      <c r="A3" s="1"/>
      <c r="B3" s="122" t="s">
        <v>239</v>
      </c>
      <c r="C3" s="122"/>
      <c r="D3" s="122"/>
      <c r="E3" s="1"/>
    </row>
    <row r="4" spans="1:5" x14ac:dyDescent="0.25">
      <c r="A4" s="1"/>
      <c r="B4" s="122"/>
      <c r="C4" s="122"/>
      <c r="D4" s="12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240</v>
      </c>
      <c r="C8" s="31"/>
      <c r="D8" s="19"/>
      <c r="E8" s="1"/>
    </row>
    <row r="9" spans="1:5" x14ac:dyDescent="0.25">
      <c r="A9" s="1"/>
      <c r="B9" s="68" t="s">
        <v>241</v>
      </c>
      <c r="C9" s="7">
        <v>272858205.3137635</v>
      </c>
      <c r="D9" s="8" t="s">
        <v>3</v>
      </c>
      <c r="E9" s="1"/>
    </row>
    <row r="10" spans="1:5" x14ac:dyDescent="0.25">
      <c r="A10" s="1"/>
      <c r="B10" s="67" t="s">
        <v>271</v>
      </c>
      <c r="C10" s="7">
        <v>5608794.8485806724</v>
      </c>
      <c r="D10" s="8" t="s">
        <v>3</v>
      </c>
      <c r="E10" s="1"/>
    </row>
    <row r="11" spans="1:5" x14ac:dyDescent="0.25">
      <c r="A11" s="1"/>
      <c r="B11" s="67" t="s">
        <v>272</v>
      </c>
      <c r="C11" s="7">
        <v>2967965.9551340309</v>
      </c>
      <c r="D11" s="8" t="s">
        <v>3</v>
      </c>
      <c r="E11" s="1"/>
    </row>
    <row r="12" spans="1:5" x14ac:dyDescent="0.25">
      <c r="A12" s="1"/>
      <c r="B12" s="95" t="s">
        <v>37</v>
      </c>
      <c r="C12" s="36">
        <v>0</v>
      </c>
      <c r="D12" s="8" t="s">
        <v>3</v>
      </c>
      <c r="E12" s="1"/>
    </row>
    <row r="13" spans="1:5" x14ac:dyDescent="0.25">
      <c r="A13" s="1"/>
      <c r="B13" s="95" t="s">
        <v>38</v>
      </c>
      <c r="C13" s="36">
        <v>1836231.6804000002</v>
      </c>
      <c r="D13" s="8" t="s">
        <v>3</v>
      </c>
      <c r="E13" s="1"/>
    </row>
    <row r="14" spans="1:5" x14ac:dyDescent="0.25">
      <c r="A14" s="1"/>
      <c r="B14" s="95" t="s">
        <v>27</v>
      </c>
      <c r="C14" s="9">
        <v>0</v>
      </c>
      <c r="D14" s="8" t="s">
        <v>3</v>
      </c>
      <c r="E14" s="1"/>
    </row>
    <row r="15" spans="1:5" x14ac:dyDescent="0.25">
      <c r="A15" s="1"/>
      <c r="B15" s="95" t="s">
        <v>26</v>
      </c>
      <c r="C15" s="9">
        <v>0</v>
      </c>
      <c r="D15" s="8" t="s">
        <v>3</v>
      </c>
      <c r="E15" s="1"/>
    </row>
    <row r="16" spans="1:5" x14ac:dyDescent="0.25">
      <c r="A16" s="1"/>
      <c r="B16" s="95" t="s">
        <v>104</v>
      </c>
      <c r="C16" s="9">
        <v>0</v>
      </c>
      <c r="D16" s="8" t="s">
        <v>3</v>
      </c>
      <c r="E16" s="1"/>
    </row>
    <row r="17" spans="1:5" x14ac:dyDescent="0.25">
      <c r="A17" s="1"/>
      <c r="B17" s="95" t="s">
        <v>105</v>
      </c>
      <c r="C17" s="9">
        <v>0</v>
      </c>
      <c r="D17" s="8" t="s">
        <v>3</v>
      </c>
      <c r="E17" s="1"/>
    </row>
    <row r="18" spans="1:5" x14ac:dyDescent="0.25">
      <c r="A18" s="1"/>
      <c r="B18" s="95" t="s">
        <v>19</v>
      </c>
      <c r="C18" s="9">
        <v>965801.92535765946</v>
      </c>
      <c r="D18" s="8" t="s">
        <v>3</v>
      </c>
      <c r="E18" s="1"/>
    </row>
    <row r="19" spans="1:5" x14ac:dyDescent="0.25">
      <c r="A19" s="1"/>
      <c r="B19" s="95" t="s">
        <v>10</v>
      </c>
      <c r="C19" s="9">
        <v>-861531.48028847331</v>
      </c>
      <c r="D19" s="8" t="s">
        <v>3</v>
      </c>
      <c r="E19" s="1"/>
    </row>
    <row r="20" spans="1:5" x14ac:dyDescent="0.25">
      <c r="A20" s="1"/>
      <c r="B20" s="95" t="s">
        <v>24</v>
      </c>
      <c r="C20" s="9">
        <v>-1905362.2853515558</v>
      </c>
      <c r="D20" s="8" t="s">
        <v>3</v>
      </c>
      <c r="E20" s="38"/>
    </row>
    <row r="21" spans="1:5" x14ac:dyDescent="0.25">
      <c r="A21" s="1"/>
      <c r="B21" s="95" t="s">
        <v>25</v>
      </c>
      <c r="C21" s="9">
        <v>-2656744.9625472398</v>
      </c>
      <c r="D21" s="8" t="s">
        <v>3</v>
      </c>
      <c r="E21" s="1"/>
    </row>
    <row r="22" spans="1:5" x14ac:dyDescent="0.25">
      <c r="A22" s="1"/>
      <c r="B22" s="88" t="s">
        <v>21</v>
      </c>
      <c r="C22" s="10">
        <v>270236600.19133389</v>
      </c>
      <c r="D22" s="11" t="s">
        <v>3</v>
      </c>
      <c r="E22" s="1"/>
    </row>
    <row r="23" spans="1:5" x14ac:dyDescent="0.25">
      <c r="A23" s="1"/>
      <c r="B23" s="30" t="s">
        <v>12</v>
      </c>
      <c r="C23" s="31"/>
      <c r="D23" s="19"/>
      <c r="E23" s="1"/>
    </row>
    <row r="24" spans="1:5" x14ac:dyDescent="0.25">
      <c r="A24" s="1"/>
      <c r="B24" s="96" t="s">
        <v>12</v>
      </c>
      <c r="C24" s="10">
        <v>20090208.617568221</v>
      </c>
      <c r="D24" s="11" t="s">
        <v>3</v>
      </c>
      <c r="E24" s="1"/>
    </row>
    <row r="25" spans="1:5" x14ac:dyDescent="0.25">
      <c r="A25" s="1"/>
      <c r="B25" s="30" t="s">
        <v>70</v>
      </c>
      <c r="C25" s="31"/>
      <c r="D25" s="19"/>
      <c r="E25" s="1"/>
    </row>
    <row r="26" spans="1:5" x14ac:dyDescent="0.25">
      <c r="A26" s="1"/>
      <c r="B26" s="88" t="s">
        <v>70</v>
      </c>
      <c r="C26" s="10">
        <v>0</v>
      </c>
      <c r="D26" s="11" t="s">
        <v>3</v>
      </c>
      <c r="E26" s="1"/>
    </row>
    <row r="27" spans="1:5" x14ac:dyDescent="0.25">
      <c r="A27" s="1"/>
      <c r="B27" s="30" t="s">
        <v>69</v>
      </c>
      <c r="C27" s="31"/>
      <c r="D27" s="19"/>
      <c r="E27" s="1"/>
    </row>
    <row r="28" spans="1:5" x14ac:dyDescent="0.25">
      <c r="A28" s="1"/>
      <c r="B28" s="95" t="s">
        <v>65</v>
      </c>
      <c r="C28" s="9">
        <v>0</v>
      </c>
      <c r="D28" s="8" t="s">
        <v>3</v>
      </c>
      <c r="E28" s="1"/>
    </row>
    <row r="29" spans="1:5" x14ac:dyDescent="0.25">
      <c r="A29" s="1"/>
      <c r="B29" s="95" t="s">
        <v>66</v>
      </c>
      <c r="C29" s="9">
        <v>0</v>
      </c>
      <c r="D29" s="8" t="s">
        <v>3</v>
      </c>
      <c r="E29" s="1"/>
    </row>
    <row r="30" spans="1:5" x14ac:dyDescent="0.25">
      <c r="A30" s="1"/>
      <c r="B30" s="95" t="s">
        <v>185</v>
      </c>
      <c r="C30" s="9">
        <v>0</v>
      </c>
      <c r="D30" s="8" t="s">
        <v>3</v>
      </c>
      <c r="E30" s="1"/>
    </row>
    <row r="31" spans="1:5" x14ac:dyDescent="0.25">
      <c r="A31" s="1"/>
      <c r="B31" s="37" t="s">
        <v>186</v>
      </c>
      <c r="C31" s="9">
        <v>0</v>
      </c>
      <c r="D31" s="8" t="s">
        <v>3</v>
      </c>
      <c r="E31" s="1"/>
    </row>
    <row r="32" spans="1:5" x14ac:dyDescent="0.25">
      <c r="A32" s="1"/>
      <c r="B32" s="88" t="s">
        <v>71</v>
      </c>
      <c r="C32" s="10">
        <v>0</v>
      </c>
      <c r="D32" s="11" t="s">
        <v>3</v>
      </c>
      <c r="E32" s="1"/>
    </row>
    <row r="33" spans="1:5" x14ac:dyDescent="0.25">
      <c r="A33" s="1"/>
      <c r="B33" s="30" t="s">
        <v>273</v>
      </c>
      <c r="C33" s="31"/>
      <c r="D33" s="19"/>
      <c r="E33" s="1"/>
    </row>
    <row r="34" spans="1:5" x14ac:dyDescent="0.25">
      <c r="A34" s="1"/>
      <c r="B34" s="96" t="s">
        <v>273</v>
      </c>
      <c r="C34" s="10">
        <v>0</v>
      </c>
      <c r="D34" s="11" t="s">
        <v>3</v>
      </c>
      <c r="E34" s="1"/>
    </row>
    <row r="35" spans="1:5" x14ac:dyDescent="0.25">
      <c r="A35" s="1"/>
      <c r="B35" s="30" t="s">
        <v>119</v>
      </c>
      <c r="C35" s="31"/>
      <c r="D35" s="19"/>
      <c r="E35" s="1"/>
    </row>
    <row r="36" spans="1:5" x14ac:dyDescent="0.25">
      <c r="A36" s="1"/>
      <c r="B36" s="96" t="s">
        <v>163</v>
      </c>
      <c r="C36" s="10">
        <v>5217240.7151306272</v>
      </c>
      <c r="D36" s="11" t="s">
        <v>3</v>
      </c>
      <c r="E36" s="1"/>
    </row>
    <row r="37" spans="1:5" x14ac:dyDescent="0.25">
      <c r="A37" s="1"/>
      <c r="B37" s="117" t="s">
        <v>155</v>
      </c>
      <c r="C37" s="118"/>
      <c r="D37" s="119"/>
      <c r="E37" s="1"/>
    </row>
    <row r="38" spans="1:5" x14ac:dyDescent="0.25">
      <c r="A38" s="1"/>
      <c r="B38" s="69" t="s">
        <v>156</v>
      </c>
      <c r="C38" s="10">
        <v>0</v>
      </c>
      <c r="D38" s="11" t="s">
        <v>3</v>
      </c>
      <c r="E38" s="1"/>
    </row>
    <row r="39" spans="1:5" x14ac:dyDescent="0.25">
      <c r="A39" s="1"/>
      <c r="B39" s="30" t="s">
        <v>274</v>
      </c>
      <c r="C39" s="12">
        <v>295544049.52403271</v>
      </c>
      <c r="D39" s="13" t="s">
        <v>3</v>
      </c>
      <c r="E39" s="1"/>
    </row>
    <row r="40" spans="1:5" ht="30" customHeight="1" x14ac:dyDescent="0.25">
      <c r="A40" s="1"/>
      <c r="B40" s="121" t="s">
        <v>275</v>
      </c>
      <c r="C40" s="121"/>
      <c r="D40" s="12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row r="50" spans="1:5" x14ac:dyDescent="0.25">
      <c r="A50" s="39"/>
      <c r="B50" s="39"/>
      <c r="C50" s="39"/>
      <c r="D50" s="39"/>
    </row>
  </sheetData>
  <sheetProtection algorithmName="SHA-512" hashValue="vLC5bdZd4uD1H7zLSeWVyUc/Uc3sy+ejR82iGMBldnwyiiFCbKYd/C9TA4fT1yMtliGG8XrV6TdjcJ7XkGD//A==" saltValue="OGLZs6l83OldmEhRhnNoRw==" spinCount="100000" sheet="1" objects="1" scenarios="1"/>
  <mergeCells count="3">
    <mergeCell ref="B40:D40"/>
    <mergeCell ref="B37:D37"/>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55" customWidth="1"/>
    <col min="8" max="8" width="4.42578125" style="2" customWidth="1"/>
    <col min="9" max="9" width="6.7109375" style="2" customWidth="1"/>
    <col min="10" max="16384" width="9" style="2"/>
  </cols>
  <sheetData>
    <row r="1" spans="1:9" ht="15" customHeight="1" x14ac:dyDescent="0.25">
      <c r="A1" s="1"/>
      <c r="B1" s="122" t="s">
        <v>90</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32" t="s">
        <v>132</v>
      </c>
      <c r="C4" s="133"/>
      <c r="D4" s="133"/>
      <c r="E4" s="133"/>
      <c r="F4" s="133"/>
      <c r="G4" s="133"/>
      <c r="H4" s="134"/>
      <c r="I4" s="1"/>
    </row>
    <row r="5" spans="1:9" x14ac:dyDescent="0.25">
      <c r="A5" s="1"/>
      <c r="B5" s="126" t="s">
        <v>133</v>
      </c>
      <c r="C5" s="127"/>
      <c r="D5" s="127"/>
      <c r="E5" s="127"/>
      <c r="F5" s="128"/>
      <c r="G5" s="57">
        <v>86963494.691677257</v>
      </c>
      <c r="H5" s="58" t="s">
        <v>3</v>
      </c>
      <c r="I5" s="1"/>
    </row>
    <row r="6" spans="1:9" ht="15" customHeight="1" x14ac:dyDescent="0.25">
      <c r="A6" s="1"/>
      <c r="B6" s="135" t="s">
        <v>134</v>
      </c>
      <c r="C6" s="136"/>
      <c r="D6" s="136"/>
      <c r="E6" s="136"/>
      <c r="F6" s="137"/>
      <c r="G6" s="71">
        <v>0</v>
      </c>
      <c r="H6" s="58" t="s">
        <v>3</v>
      </c>
      <c r="I6" s="1"/>
    </row>
    <row r="7" spans="1:9" x14ac:dyDescent="0.25">
      <c r="A7" s="1"/>
      <c r="B7" s="126" t="s">
        <v>135</v>
      </c>
      <c r="C7" s="127"/>
      <c r="D7" s="127"/>
      <c r="E7" s="127"/>
      <c r="F7" s="128"/>
      <c r="G7" s="57">
        <f>SUM(G5:G6)*'Fane 15. Nøgletal'!C33</f>
        <v>1739269.8938335453</v>
      </c>
      <c r="H7" s="58" t="s">
        <v>3</v>
      </c>
      <c r="I7" s="1"/>
    </row>
    <row r="8" spans="1:9" x14ac:dyDescent="0.25">
      <c r="A8" s="1"/>
      <c r="B8" s="59"/>
      <c r="C8" s="60"/>
      <c r="D8" s="60"/>
      <c r="E8" s="60"/>
      <c r="F8" s="60"/>
      <c r="G8" s="52"/>
      <c r="H8" s="61"/>
      <c r="I8" s="1"/>
    </row>
    <row r="9" spans="1:9" x14ac:dyDescent="0.25">
      <c r="A9" s="1"/>
      <c r="B9" s="62"/>
      <c r="C9" s="62"/>
      <c r="D9" s="62"/>
      <c r="E9" s="62"/>
      <c r="F9" s="62"/>
      <c r="G9" s="53"/>
      <c r="H9" s="62"/>
      <c r="I9" s="1"/>
    </row>
    <row r="10" spans="1:9" x14ac:dyDescent="0.25">
      <c r="A10" s="1"/>
      <c r="B10" s="129" t="s">
        <v>47</v>
      </c>
      <c r="C10" s="130"/>
      <c r="D10" s="130"/>
      <c r="E10" s="130"/>
      <c r="F10" s="130"/>
      <c r="G10" s="130"/>
      <c r="H10" s="131"/>
      <c r="I10" s="1"/>
    </row>
    <row r="11" spans="1:9" x14ac:dyDescent="0.25">
      <c r="A11" s="1"/>
      <c r="B11" s="126" t="s">
        <v>136</v>
      </c>
      <c r="C11" s="127"/>
      <c r="D11" s="127"/>
      <c r="E11" s="127"/>
      <c r="F11" s="128"/>
      <c r="G11" s="57">
        <f>(G5-G7)*(1+'Fane 15. Nøgletal'!C10)</f>
        <v>86715648.73180598</v>
      </c>
      <c r="H11" s="58" t="s">
        <v>3</v>
      </c>
      <c r="I11" s="1"/>
    </row>
    <row r="12" spans="1:9" x14ac:dyDescent="0.25">
      <c r="A12" s="1"/>
      <c r="B12" s="126" t="s">
        <v>101</v>
      </c>
      <c r="C12" s="127"/>
      <c r="D12" s="127"/>
      <c r="E12" s="127"/>
      <c r="F12" s="128"/>
      <c r="G12" s="71">
        <v>0</v>
      </c>
      <c r="H12" s="58" t="s">
        <v>3</v>
      </c>
      <c r="I12" s="1"/>
    </row>
    <row r="13" spans="1:9" x14ac:dyDescent="0.25">
      <c r="A13" s="1"/>
      <c r="B13" s="135" t="s">
        <v>99</v>
      </c>
      <c r="C13" s="136"/>
      <c r="D13" s="136"/>
      <c r="E13" s="136"/>
      <c r="F13" s="137"/>
      <c r="G13" s="71">
        <v>0</v>
      </c>
      <c r="H13" s="58" t="s">
        <v>3</v>
      </c>
      <c r="I13" s="1"/>
    </row>
    <row r="14" spans="1:9" x14ac:dyDescent="0.25">
      <c r="A14" s="1"/>
      <c r="B14" s="123" t="s">
        <v>137</v>
      </c>
      <c r="C14" s="124"/>
      <c r="D14" s="124"/>
      <c r="E14" s="124"/>
      <c r="F14" s="125"/>
      <c r="G14" s="71">
        <v>1097149.2335375</v>
      </c>
      <c r="H14" s="58" t="s">
        <v>3</v>
      </c>
      <c r="I14" s="1"/>
    </row>
    <row r="15" spans="1:9" x14ac:dyDescent="0.25">
      <c r="A15" s="1"/>
      <c r="B15" s="126" t="s">
        <v>40</v>
      </c>
      <c r="C15" s="127"/>
      <c r="D15" s="127"/>
      <c r="E15" s="127"/>
      <c r="F15" s="128"/>
      <c r="G15" s="57">
        <f>SUM(G11:G14)*'Fane 15. Nøgletal'!C33</f>
        <v>1756255.9593068697</v>
      </c>
      <c r="H15" s="58" t="s">
        <v>3</v>
      </c>
      <c r="I15" s="1"/>
    </row>
    <row r="16" spans="1:9" x14ac:dyDescent="0.25">
      <c r="A16" s="1"/>
      <c r="B16" s="59"/>
      <c r="C16" s="60"/>
      <c r="D16" s="60"/>
      <c r="E16" s="60"/>
      <c r="F16" s="60"/>
      <c r="G16" s="52"/>
      <c r="H16" s="61"/>
      <c r="I16" s="1"/>
    </row>
    <row r="17" spans="1:9" x14ac:dyDescent="0.25">
      <c r="A17" s="1"/>
      <c r="B17" s="62"/>
      <c r="C17" s="62"/>
      <c r="D17" s="62"/>
      <c r="E17" s="62"/>
      <c r="F17" s="62"/>
      <c r="G17" s="53"/>
      <c r="H17" s="62"/>
      <c r="I17" s="1"/>
    </row>
    <row r="18" spans="1:9" x14ac:dyDescent="0.25">
      <c r="A18" s="1"/>
      <c r="B18" s="129" t="s">
        <v>48</v>
      </c>
      <c r="C18" s="130"/>
      <c r="D18" s="130"/>
      <c r="E18" s="130"/>
      <c r="F18" s="130"/>
      <c r="G18" s="130"/>
      <c r="H18" s="131"/>
      <c r="I18" s="1"/>
    </row>
    <row r="19" spans="1:9" x14ac:dyDescent="0.25">
      <c r="A19" s="1"/>
      <c r="B19" s="126" t="s">
        <v>41</v>
      </c>
      <c r="C19" s="127"/>
      <c r="D19" s="127"/>
      <c r="E19" s="127"/>
      <c r="F19" s="128"/>
      <c r="G19" s="57">
        <f>(G11+G12+G14-G15)*(1+'Fane 15. Nøgletal'!C10)</f>
        <v>87562531.491142258</v>
      </c>
      <c r="H19" s="58" t="s">
        <v>3</v>
      </c>
      <c r="I19" s="1"/>
    </row>
    <row r="20" spans="1:9" x14ac:dyDescent="0.25">
      <c r="A20" s="1"/>
      <c r="B20" s="123" t="s">
        <v>42</v>
      </c>
      <c r="C20" s="124"/>
      <c r="D20" s="124"/>
      <c r="E20" s="124"/>
      <c r="F20" s="125"/>
      <c r="G20" s="71">
        <v>1630882.2676712496</v>
      </c>
      <c r="H20" s="58" t="s">
        <v>3</v>
      </c>
      <c r="I20" s="1"/>
    </row>
    <row r="21" spans="1:9" x14ac:dyDescent="0.25">
      <c r="A21" s="1"/>
      <c r="B21" s="126" t="s">
        <v>43</v>
      </c>
      <c r="C21" s="127"/>
      <c r="D21" s="127"/>
      <c r="E21" s="127"/>
      <c r="F21" s="128"/>
      <c r="G21" s="57">
        <f>(G19+G20)*'Fane 15. Nøgletal'!C33</f>
        <v>1783868.2751762699</v>
      </c>
      <c r="H21" s="58" t="s">
        <v>3</v>
      </c>
      <c r="I21" s="1"/>
    </row>
    <row r="22" spans="1:9" x14ac:dyDescent="0.25">
      <c r="A22" s="1"/>
      <c r="B22" s="59"/>
      <c r="C22" s="60"/>
      <c r="D22" s="60"/>
      <c r="E22" s="60"/>
      <c r="F22" s="60"/>
      <c r="G22" s="52"/>
      <c r="H22" s="61"/>
      <c r="I22" s="1"/>
    </row>
    <row r="23" spans="1:9" x14ac:dyDescent="0.25">
      <c r="A23" s="1"/>
      <c r="B23" s="62"/>
      <c r="C23" s="62"/>
      <c r="D23" s="62"/>
      <c r="E23" s="62"/>
      <c r="F23" s="62"/>
      <c r="G23" s="53"/>
      <c r="H23" s="62"/>
      <c r="I23" s="1"/>
    </row>
    <row r="24" spans="1:9" x14ac:dyDescent="0.25">
      <c r="A24" s="1"/>
      <c r="B24" s="129" t="s">
        <v>49</v>
      </c>
      <c r="C24" s="130"/>
      <c r="D24" s="130"/>
      <c r="E24" s="130"/>
      <c r="F24" s="130"/>
      <c r="G24" s="130"/>
      <c r="H24" s="131"/>
      <c r="I24" s="1"/>
    </row>
    <row r="25" spans="1:9" x14ac:dyDescent="0.25">
      <c r="A25" s="1"/>
      <c r="B25" s="126" t="s">
        <v>44</v>
      </c>
      <c r="C25" s="127"/>
      <c r="D25" s="127"/>
      <c r="E25" s="127"/>
      <c r="F25" s="128"/>
      <c r="G25" s="57">
        <f>G19*(1-'Fane 15. Nøgletal'!C33)*(1+'Fane 15. Nøgletal'!C10)+G20*(1-'Fane 15. Nøgletal'!C33)*(1+'Fane 15. Nøgletal'!C11)</f>
        <v>88938253.570827499</v>
      </c>
      <c r="H25" s="58" t="s">
        <v>3</v>
      </c>
      <c r="I25" s="1"/>
    </row>
    <row r="26" spans="1:9" x14ac:dyDescent="0.25">
      <c r="A26" s="1"/>
      <c r="B26" s="138" t="s">
        <v>138</v>
      </c>
      <c r="C26" s="139"/>
      <c r="D26" s="139"/>
      <c r="E26" s="139"/>
      <c r="F26" s="140"/>
      <c r="G26" s="57">
        <f>G20*(1-'Fane 15. Nøgletal'!C33)*(1+'Fane 15. Nøgletal'!C11)</f>
        <v>1625275.2944349956</v>
      </c>
      <c r="H26" s="58" t="s">
        <v>3</v>
      </c>
      <c r="I26" s="1"/>
    </row>
    <row r="27" spans="1:9" x14ac:dyDescent="0.25">
      <c r="A27" s="1"/>
      <c r="B27" s="123" t="s">
        <v>45</v>
      </c>
      <c r="C27" s="124"/>
      <c r="D27" s="124"/>
      <c r="E27" s="124"/>
      <c r="F27" s="125"/>
      <c r="G27" s="71">
        <v>0</v>
      </c>
      <c r="H27" s="58" t="s">
        <v>3</v>
      </c>
      <c r="I27" s="1"/>
    </row>
    <row r="28" spans="1:9" x14ac:dyDescent="0.25">
      <c r="A28" s="1"/>
      <c r="B28" s="126" t="s">
        <v>46</v>
      </c>
      <c r="C28" s="127"/>
      <c r="D28" s="127"/>
      <c r="E28" s="127"/>
      <c r="F28" s="128"/>
      <c r="G28" s="57">
        <f>SUM(G25,G27)*'Fane 15. Nøgletal'!C33</f>
        <v>1778765.0714165501</v>
      </c>
      <c r="H28" s="58" t="s">
        <v>3</v>
      </c>
      <c r="I28" s="1"/>
    </row>
    <row r="29" spans="1:9" x14ac:dyDescent="0.25">
      <c r="A29" s="1"/>
      <c r="B29" s="59"/>
      <c r="C29" s="60"/>
      <c r="D29" s="60"/>
      <c r="E29" s="60"/>
      <c r="F29" s="60"/>
      <c r="G29" s="52"/>
      <c r="H29" s="61"/>
      <c r="I29" s="1"/>
    </row>
    <row r="30" spans="1:9" x14ac:dyDescent="0.25">
      <c r="A30" s="1"/>
      <c r="B30" s="62"/>
      <c r="C30" s="62"/>
      <c r="D30" s="62"/>
      <c r="E30" s="62"/>
      <c r="F30" s="62"/>
      <c r="G30" s="53"/>
      <c r="H30" s="62"/>
      <c r="I30" s="1"/>
    </row>
    <row r="31" spans="1:9" x14ac:dyDescent="0.25">
      <c r="A31" s="1"/>
      <c r="B31" s="129" t="s">
        <v>50</v>
      </c>
      <c r="C31" s="130"/>
      <c r="D31" s="130"/>
      <c r="E31" s="130"/>
      <c r="F31" s="130"/>
      <c r="G31" s="130"/>
      <c r="H31" s="131"/>
      <c r="I31" s="1"/>
    </row>
    <row r="32" spans="1:9" x14ac:dyDescent="0.25">
      <c r="A32" s="1"/>
      <c r="B32" s="126" t="s">
        <v>51</v>
      </c>
      <c r="C32" s="127"/>
      <c r="D32" s="127"/>
      <c r="E32" s="127"/>
      <c r="F32" s="128"/>
      <c r="G32" s="57">
        <f>(G25-G26)*(1-'Fane 15. Nøgletal'!C33)*(1+'Fane 15. Nøgletal'!C10)+G26*(1-'Fane 15. Nøgletal'!C33)*(1+'Fane 15. Nøgletal'!C11)+G27*(1-'Fane 15. Nøgletal'!C33)*(1+'Fane 15. Nøgletal'!C12)</f>
        <v>88683823.886277512</v>
      </c>
      <c r="H32" s="58" t="s">
        <v>3</v>
      </c>
      <c r="I32" s="1"/>
    </row>
    <row r="33" spans="1:9" x14ac:dyDescent="0.25">
      <c r="A33" s="1"/>
      <c r="B33" s="138" t="s">
        <v>138</v>
      </c>
      <c r="C33" s="124"/>
      <c r="D33" s="124"/>
      <c r="E33" s="124"/>
      <c r="F33" s="125"/>
      <c r="G33" s="57">
        <f>G26*(1-'Fane 15. Nøgletal'!C33)*(1+'Fane 15. Nøgletal'!C11)</f>
        <v>1619687.5979727278</v>
      </c>
      <c r="H33" s="58" t="s">
        <v>3</v>
      </c>
      <c r="I33" s="1"/>
    </row>
    <row r="34" spans="1:9" x14ac:dyDescent="0.25">
      <c r="A34" s="1"/>
      <c r="B34" s="138" t="s">
        <v>98</v>
      </c>
      <c r="C34" s="124"/>
      <c r="D34" s="124"/>
      <c r="E34" s="124"/>
      <c r="F34" s="125"/>
      <c r="G34" s="71">
        <v>0</v>
      </c>
      <c r="H34" s="58" t="s">
        <v>3</v>
      </c>
      <c r="I34" s="1"/>
    </row>
    <row r="35" spans="1:9" x14ac:dyDescent="0.25">
      <c r="A35" s="1"/>
      <c r="B35" s="126" t="s">
        <v>114</v>
      </c>
      <c r="C35" s="127"/>
      <c r="D35" s="127"/>
      <c r="E35" s="127"/>
      <c r="F35" s="128"/>
      <c r="G35" s="71">
        <v>4021519.1493632398</v>
      </c>
      <c r="H35" s="58" t="s">
        <v>3</v>
      </c>
      <c r="I35" s="1"/>
    </row>
    <row r="36" spans="1:9" x14ac:dyDescent="0.25">
      <c r="A36" s="1"/>
      <c r="B36" s="126" t="s">
        <v>52</v>
      </c>
      <c r="C36" s="127"/>
      <c r="D36" s="127"/>
      <c r="E36" s="127"/>
      <c r="F36" s="128"/>
      <c r="G36" s="57">
        <f>SUM(G32,G35)*'Fane 15. Nøgletal'!C33</f>
        <v>1854106.8607128151</v>
      </c>
      <c r="H36" s="58" t="s">
        <v>3</v>
      </c>
      <c r="I36" s="1"/>
    </row>
    <row r="37" spans="1:9" x14ac:dyDescent="0.25">
      <c r="A37" s="1"/>
      <c r="B37" s="59"/>
      <c r="C37" s="60"/>
      <c r="D37" s="60"/>
      <c r="E37" s="60"/>
      <c r="F37" s="60"/>
      <c r="G37" s="52"/>
      <c r="H37" s="61"/>
      <c r="I37" s="1"/>
    </row>
    <row r="38" spans="1:9" x14ac:dyDescent="0.25">
      <c r="A38" s="1"/>
      <c r="B38" s="62"/>
      <c r="C38" s="62"/>
      <c r="D38" s="62"/>
      <c r="E38" s="62"/>
      <c r="F38" s="62"/>
      <c r="G38" s="53"/>
      <c r="H38" s="62"/>
      <c r="I38" s="1"/>
    </row>
    <row r="39" spans="1:9" x14ac:dyDescent="0.25">
      <c r="A39" s="1"/>
      <c r="B39" s="129" t="s">
        <v>124</v>
      </c>
      <c r="C39" s="130"/>
      <c r="D39" s="130"/>
      <c r="E39" s="130"/>
      <c r="F39" s="130"/>
      <c r="G39" s="130"/>
      <c r="H39" s="131"/>
      <c r="I39" s="1"/>
    </row>
    <row r="40" spans="1:9" x14ac:dyDescent="0.25">
      <c r="A40" s="1"/>
      <c r="B40" s="126" t="s">
        <v>144</v>
      </c>
      <c r="C40" s="127"/>
      <c r="D40" s="127"/>
      <c r="E40" s="127"/>
      <c r="F40" s="128"/>
      <c r="G40" s="57">
        <f>(SUM(G32,G35)-G36)*(1+'Fane 15. Nøgletal'!C14)</f>
        <v>91151045.254305199</v>
      </c>
      <c r="H40" s="58" t="s">
        <v>3</v>
      </c>
      <c r="I40" s="1"/>
    </row>
    <row r="41" spans="1:9" x14ac:dyDescent="0.25">
      <c r="A41" s="1"/>
      <c r="B41" s="126" t="s">
        <v>143</v>
      </c>
      <c r="C41" s="127"/>
      <c r="D41" s="127"/>
      <c r="E41" s="127"/>
      <c r="F41" s="128"/>
      <c r="G41" s="72">
        <v>5741570.6108680712</v>
      </c>
      <c r="H41" s="58" t="s">
        <v>3</v>
      </c>
      <c r="I41" s="1"/>
    </row>
    <row r="42" spans="1:9" x14ac:dyDescent="0.25">
      <c r="A42" s="1"/>
      <c r="B42" s="126" t="s">
        <v>142</v>
      </c>
      <c r="C42" s="127"/>
      <c r="D42" s="127"/>
      <c r="E42" s="127"/>
      <c r="F42" s="128"/>
      <c r="G42" s="57">
        <f>(G40+G41)*'Fane 15. Nøgletal'!C33</f>
        <v>1937852.3173034654</v>
      </c>
      <c r="H42" s="58" t="s">
        <v>3</v>
      </c>
      <c r="I42" s="1"/>
    </row>
    <row r="43" spans="1:9" x14ac:dyDescent="0.25">
      <c r="A43" s="1"/>
      <c r="B43" s="59"/>
      <c r="C43" s="60"/>
      <c r="D43" s="60"/>
      <c r="E43" s="60"/>
      <c r="F43" s="60"/>
      <c r="G43" s="52"/>
      <c r="H43" s="61"/>
      <c r="I43" s="1"/>
    </row>
    <row r="44" spans="1:9" x14ac:dyDescent="0.25">
      <c r="A44" s="1"/>
      <c r="B44" s="62"/>
      <c r="C44" s="62"/>
      <c r="D44" s="62"/>
      <c r="E44" s="62"/>
      <c r="F44" s="62"/>
      <c r="G44" s="53"/>
      <c r="H44" s="62"/>
      <c r="I44" s="1"/>
    </row>
    <row r="45" spans="1:9" x14ac:dyDescent="0.25">
      <c r="A45" s="1"/>
      <c r="B45" s="129" t="s">
        <v>131</v>
      </c>
      <c r="C45" s="130"/>
      <c r="D45" s="130"/>
      <c r="E45" s="130"/>
      <c r="F45" s="130"/>
      <c r="G45" s="130"/>
      <c r="H45" s="131"/>
      <c r="I45" s="1"/>
    </row>
    <row r="46" spans="1:9" x14ac:dyDescent="0.25">
      <c r="A46" s="1"/>
      <c r="B46" s="126" t="s">
        <v>152</v>
      </c>
      <c r="C46" s="127"/>
      <c r="D46" s="127"/>
      <c r="E46" s="127"/>
      <c r="F46" s="128"/>
      <c r="G46" s="57">
        <f>(G40+G41-G42)*(1+'Fane 15. Nøgletal'!C14)</f>
        <v>95268114.267577782</v>
      </c>
      <c r="H46" s="58" t="s">
        <v>3</v>
      </c>
      <c r="I46" s="1"/>
    </row>
    <row r="47" spans="1:9" x14ac:dyDescent="0.25">
      <c r="A47" s="1"/>
      <c r="B47" s="138" t="s">
        <v>181</v>
      </c>
      <c r="C47" s="139"/>
      <c r="D47" s="139"/>
      <c r="E47" s="139"/>
      <c r="F47" s="140"/>
      <c r="G47" s="71">
        <v>0</v>
      </c>
      <c r="H47" s="58" t="s">
        <v>3</v>
      </c>
      <c r="I47" s="1"/>
    </row>
    <row r="48" spans="1:9" x14ac:dyDescent="0.25">
      <c r="A48" s="1"/>
      <c r="B48" s="126" t="s">
        <v>153</v>
      </c>
      <c r="C48" s="127"/>
      <c r="D48" s="127"/>
      <c r="E48" s="127"/>
      <c r="F48" s="128"/>
      <c r="G48" s="57">
        <f>G46*'Fane 15. Nøgletal'!C33+'Fane 4.1. Gen. krav - drift'!G47*'Fane 15. Nøgletal'!C33</f>
        <v>1905362.2853515558</v>
      </c>
      <c r="H48" s="58" t="s">
        <v>3</v>
      </c>
      <c r="I48" s="1"/>
    </row>
    <row r="49" spans="1:9" x14ac:dyDescent="0.25">
      <c r="A49" s="1"/>
      <c r="B49" s="59"/>
      <c r="C49" s="60"/>
      <c r="D49" s="60"/>
      <c r="E49" s="60"/>
      <c r="F49" s="60"/>
      <c r="G49" s="52"/>
      <c r="H49" s="61"/>
      <c r="I49" s="1"/>
    </row>
    <row r="50" spans="1:9" x14ac:dyDescent="0.25">
      <c r="A50" s="1"/>
      <c r="B50" s="64"/>
      <c r="C50" s="64"/>
      <c r="D50" s="64"/>
      <c r="E50" s="64"/>
      <c r="F50" s="64"/>
      <c r="G50" s="54"/>
      <c r="H50" s="64"/>
      <c r="I50" s="1"/>
    </row>
    <row r="51" spans="1:9" x14ac:dyDescent="0.25">
      <c r="A51" s="1"/>
      <c r="B51" s="64"/>
      <c r="C51" s="64"/>
      <c r="D51" s="64"/>
      <c r="E51" s="64"/>
      <c r="F51" s="64"/>
      <c r="G51" s="54"/>
      <c r="H51" s="64"/>
      <c r="I51" s="1"/>
    </row>
    <row r="52" spans="1:9" x14ac:dyDescent="0.25">
      <c r="A52" s="1"/>
      <c r="B52" s="129" t="s">
        <v>253</v>
      </c>
      <c r="C52" s="130"/>
      <c r="D52" s="130"/>
      <c r="E52" s="130"/>
      <c r="F52" s="130"/>
      <c r="G52" s="130"/>
      <c r="H52" s="131"/>
      <c r="I52" s="1"/>
    </row>
    <row r="53" spans="1:9" x14ac:dyDescent="0.25">
      <c r="A53" s="1"/>
      <c r="B53" s="126" t="s">
        <v>115</v>
      </c>
      <c r="C53" s="127"/>
      <c r="D53" s="127"/>
      <c r="E53" s="127"/>
      <c r="F53" s="128"/>
      <c r="G53" s="57">
        <f>(G46+G47-G48)*(1+'Fane 15. Nøgletal'!C16)</f>
        <v>100906462.34239011</v>
      </c>
      <c r="H53" s="58" t="s">
        <v>3</v>
      </c>
      <c r="I53" s="1"/>
    </row>
    <row r="54" spans="1:9" x14ac:dyDescent="0.25">
      <c r="A54" s="1"/>
      <c r="B54" s="138" t="s">
        <v>243</v>
      </c>
      <c r="C54" s="139"/>
      <c r="D54" s="139"/>
      <c r="E54" s="139"/>
      <c r="F54" s="140"/>
      <c r="G54" s="63">
        <f>('Fane 2.1. Økonomisk ramme 2024'!C10+'Fane 2.1. Økonomisk ramme 2024'!C14+'Fane 2.1. Økonomisk ramme 2024'!C12)*(1+'Fane 15. Nøgletal'!C16)</f>
        <v>3572967.9205830395</v>
      </c>
      <c r="H54" s="58" t="s">
        <v>3</v>
      </c>
      <c r="I54" s="1"/>
    </row>
    <row r="55" spans="1:9" x14ac:dyDescent="0.25">
      <c r="A55" s="1"/>
      <c r="B55" s="126" t="s">
        <v>116</v>
      </c>
      <c r="C55" s="127"/>
      <c r="D55" s="127"/>
      <c r="E55" s="127"/>
      <c r="F55" s="128"/>
      <c r="G55" s="57">
        <f>(G53+G54)*'Fane 15. Nøgletal'!C33</f>
        <v>2089588.605259463</v>
      </c>
      <c r="H55" s="58" t="s">
        <v>3</v>
      </c>
      <c r="I55" s="1"/>
    </row>
    <row r="56" spans="1:9" x14ac:dyDescent="0.25">
      <c r="A56" s="1"/>
      <c r="B56" s="59"/>
      <c r="C56" s="60"/>
      <c r="D56" s="60"/>
      <c r="E56" s="60"/>
      <c r="F56" s="60"/>
      <c r="G56" s="52"/>
      <c r="H56" s="61"/>
      <c r="I56" s="1"/>
    </row>
    <row r="57" spans="1:9" x14ac:dyDescent="0.25">
      <c r="A57" s="1"/>
      <c r="B57" s="62"/>
      <c r="C57" s="62"/>
      <c r="D57" s="62"/>
      <c r="E57" s="62"/>
      <c r="F57" s="62"/>
      <c r="G57" s="53"/>
      <c r="H57" s="62"/>
      <c r="I57" s="1"/>
    </row>
    <row r="58" spans="1:9" x14ac:dyDescent="0.25">
      <c r="A58" s="1"/>
      <c r="B58" s="79" t="s">
        <v>254</v>
      </c>
      <c r="C58" s="80"/>
      <c r="D58" s="80"/>
      <c r="E58" s="80"/>
      <c r="F58" s="80"/>
      <c r="G58" s="65"/>
      <c r="H58" s="81"/>
      <c r="I58" s="1"/>
    </row>
    <row r="59" spans="1:9" x14ac:dyDescent="0.25">
      <c r="A59" s="1"/>
      <c r="B59" s="76" t="s">
        <v>139</v>
      </c>
      <c r="C59" s="77"/>
      <c r="D59" s="77"/>
      <c r="E59" s="77"/>
      <c r="F59" s="78"/>
      <c r="G59" s="57">
        <f>(G53+G54-G55)*(1+'Fane 15. Nøgletal'!C16)</f>
        <v>110662940.86365694</v>
      </c>
      <c r="H59" s="58" t="s">
        <v>3</v>
      </c>
      <c r="I59" s="1"/>
    </row>
    <row r="60" spans="1:9" x14ac:dyDescent="0.25">
      <c r="A60" s="1"/>
      <c r="B60" s="76" t="s">
        <v>140</v>
      </c>
      <c r="C60" s="77"/>
      <c r="D60" s="77"/>
      <c r="E60" s="77"/>
      <c r="F60" s="78"/>
      <c r="G60" s="57">
        <f>(G59)*'Fane 15. Nøgletal'!C33</f>
        <v>2213258.817273139</v>
      </c>
      <c r="H60" s="58" t="s">
        <v>3</v>
      </c>
      <c r="I60" s="1"/>
    </row>
    <row r="61" spans="1:9" x14ac:dyDescent="0.25">
      <c r="A61" s="1"/>
      <c r="B61" s="59"/>
      <c r="C61" s="60"/>
      <c r="D61" s="60"/>
      <c r="E61" s="60"/>
      <c r="F61" s="60"/>
      <c r="G61" s="52"/>
      <c r="H61" s="61"/>
      <c r="I61" s="1"/>
    </row>
    <row r="62" spans="1:9" x14ac:dyDescent="0.25">
      <c r="A62" s="1"/>
      <c r="B62" s="62"/>
      <c r="C62" s="62"/>
      <c r="D62" s="62"/>
      <c r="E62" s="62"/>
      <c r="F62" s="62"/>
      <c r="G62" s="53"/>
      <c r="H62" s="62"/>
      <c r="I62" s="1"/>
    </row>
    <row r="63" spans="1:9" x14ac:dyDescent="0.25">
      <c r="A63" s="1"/>
      <c r="B63" s="79" t="s">
        <v>166</v>
      </c>
      <c r="C63" s="80"/>
      <c r="D63" s="80"/>
      <c r="E63" s="80"/>
      <c r="F63" s="80"/>
      <c r="G63" s="65"/>
      <c r="H63" s="81"/>
      <c r="I63" s="1"/>
    </row>
    <row r="64" spans="1:9" x14ac:dyDescent="0.25">
      <c r="A64" s="1"/>
      <c r="B64" s="76" t="s">
        <v>167</v>
      </c>
      <c r="C64" s="77"/>
      <c r="D64" s="77"/>
      <c r="E64" s="77"/>
      <c r="F64" s="78"/>
      <c r="G64" s="57">
        <f>(G59-G60)*(1+'Fane 15. Nøgletal'!C16)</f>
        <v>117212416.35573161</v>
      </c>
      <c r="H64" s="58" t="s">
        <v>3</v>
      </c>
      <c r="I64" s="1"/>
    </row>
    <row r="65" spans="1:9" x14ac:dyDescent="0.25">
      <c r="A65" s="1"/>
      <c r="B65" s="76" t="s">
        <v>168</v>
      </c>
      <c r="C65" s="77"/>
      <c r="D65" s="77"/>
      <c r="E65" s="77"/>
      <c r="F65" s="78"/>
      <c r="G65" s="57">
        <f>(G64)*'Fane 15. Nøgletal'!C33</f>
        <v>2344248.3271146324</v>
      </c>
      <c r="H65" s="58" t="s">
        <v>3</v>
      </c>
      <c r="I65" s="1"/>
    </row>
    <row r="66" spans="1:9" x14ac:dyDescent="0.25">
      <c r="A66" s="1"/>
      <c r="B66" s="59"/>
      <c r="C66" s="60"/>
      <c r="D66" s="60"/>
      <c r="E66" s="60"/>
      <c r="F66" s="60"/>
      <c r="G66" s="52"/>
      <c r="H66" s="61"/>
      <c r="I66" s="1"/>
    </row>
    <row r="67" spans="1:9" x14ac:dyDescent="0.25">
      <c r="A67" s="1"/>
      <c r="B67" s="62"/>
      <c r="C67" s="62"/>
      <c r="D67" s="62"/>
      <c r="E67" s="62"/>
      <c r="F67" s="62"/>
      <c r="G67" s="53"/>
      <c r="H67" s="62"/>
      <c r="I67" s="1"/>
    </row>
    <row r="68" spans="1:9" x14ac:dyDescent="0.25">
      <c r="A68" s="1"/>
      <c r="B68" s="79" t="s">
        <v>242</v>
      </c>
      <c r="C68" s="80"/>
      <c r="D68" s="80"/>
      <c r="E68" s="80"/>
      <c r="F68" s="80"/>
      <c r="G68" s="65"/>
      <c r="H68" s="81"/>
      <c r="I68" s="1"/>
    </row>
    <row r="69" spans="1:9" x14ac:dyDescent="0.25">
      <c r="A69" s="1"/>
      <c r="B69" s="76" t="s">
        <v>227</v>
      </c>
      <c r="C69" s="77"/>
      <c r="D69" s="77"/>
      <c r="E69" s="77"/>
      <c r="F69" s="78"/>
      <c r="G69" s="57">
        <f>(G64-G65)*(1+'Fane 15. Nøgletal'!C16)</f>
        <v>124149516.00532924</v>
      </c>
      <c r="H69" s="58" t="s">
        <v>3</v>
      </c>
      <c r="I69" s="1"/>
    </row>
    <row r="70" spans="1:9" x14ac:dyDescent="0.25">
      <c r="A70" s="1"/>
      <c r="B70" s="76" t="s">
        <v>228</v>
      </c>
      <c r="C70" s="77"/>
      <c r="D70" s="77"/>
      <c r="E70" s="77"/>
      <c r="F70" s="78"/>
      <c r="G70" s="57">
        <f>(G69)*'Fane 15. Nøgletal'!C33</f>
        <v>2482990.3201065846</v>
      </c>
      <c r="H70" s="58" t="s">
        <v>3</v>
      </c>
      <c r="I70" s="1"/>
    </row>
    <row r="71" spans="1:9" x14ac:dyDescent="0.25">
      <c r="A71" s="1"/>
      <c r="B71" s="30"/>
      <c r="C71" s="31"/>
      <c r="D71" s="31"/>
      <c r="E71" s="31"/>
      <c r="F71" s="31"/>
      <c r="G71" s="52"/>
      <c r="H71" s="19"/>
      <c r="I71" s="1"/>
    </row>
    <row r="72" spans="1:9" x14ac:dyDescent="0.25">
      <c r="A72" s="1"/>
      <c r="B72" s="1"/>
      <c r="C72" s="1"/>
      <c r="D72" s="1"/>
      <c r="E72" s="1"/>
      <c r="F72" s="1"/>
      <c r="G72" s="53"/>
      <c r="H72" s="1"/>
      <c r="I72" s="1"/>
    </row>
    <row r="73" spans="1:9" x14ac:dyDescent="0.25">
      <c r="A73" s="1"/>
      <c r="B73" s="1"/>
      <c r="C73" s="1"/>
      <c r="D73" s="1"/>
      <c r="E73" s="1"/>
      <c r="F73" s="1"/>
      <c r="G73" s="53"/>
      <c r="H73" s="1"/>
      <c r="I73" s="1"/>
    </row>
  </sheetData>
  <sheetProtection algorithmName="SHA-512" hashValue="+t8b1HEjoc+aEmGJn9zHXOKS6HYfFdCCNuSJSLV1VVPQEdgVbZk23yIh/WD6qpMRV09xSCFoK7w/jMcoQPgB0g==" saltValue="yPJ4UnilwxsJPZfggAixtA==" spinCount="100000" sheet="1" objects="1" scenarios="1"/>
  <mergeCells count="38">
    <mergeCell ref="B41:F41"/>
    <mergeCell ref="B47:F47"/>
    <mergeCell ref="B52:H52"/>
    <mergeCell ref="B53:F53"/>
    <mergeCell ref="B55:F55"/>
    <mergeCell ref="B48:F48"/>
    <mergeCell ref="B54:F54"/>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1:H3"/>
    <mergeCell ref="B4:H4"/>
    <mergeCell ref="B5:F5"/>
    <mergeCell ref="B7:F7"/>
    <mergeCell ref="B11:F11"/>
    <mergeCell ref="B10:H10"/>
    <mergeCell ref="B6:F6"/>
    <mergeCell ref="B14:F14"/>
    <mergeCell ref="B15:F15"/>
    <mergeCell ref="B19:F19"/>
    <mergeCell ref="B20:F20"/>
    <mergeCell ref="B31:H31"/>
    <mergeCell ref="B21:F21"/>
    <mergeCell ref="B25:F25"/>
    <mergeCell ref="B27:F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87" zoomScaleNormal="100" zoomScalePageLayoutView="87" workbookViewId="0"/>
  </sheetViews>
  <sheetFormatPr defaultColWidth="9" defaultRowHeight="15" x14ac:dyDescent="0.25"/>
  <cols>
    <col min="1" max="1" width="2.28515625" style="2" customWidth="1"/>
    <col min="2" max="5" width="9" style="2"/>
    <col min="6" max="6" width="21.42578125" style="2" customWidth="1"/>
    <col min="7" max="7" width="21.7109375" style="2" customWidth="1"/>
    <col min="8" max="8" width="3.5703125" style="2" customWidth="1"/>
    <col min="9" max="9" width="2.28515625" style="2" customWidth="1"/>
    <col min="10" max="16384" width="9" style="2"/>
  </cols>
  <sheetData>
    <row r="1" spans="1:9" x14ac:dyDescent="0.25">
      <c r="A1" s="1"/>
      <c r="B1" s="1"/>
      <c r="C1" s="1"/>
      <c r="D1" s="1"/>
      <c r="E1" s="1"/>
      <c r="F1" s="1"/>
      <c r="G1" s="1"/>
      <c r="H1" s="1"/>
      <c r="I1" s="1"/>
    </row>
    <row r="2" spans="1:9" ht="15" customHeight="1" x14ac:dyDescent="0.25">
      <c r="A2" s="1"/>
      <c r="B2" s="141" t="s">
        <v>89</v>
      </c>
      <c r="C2" s="141"/>
      <c r="D2" s="141"/>
      <c r="E2" s="141"/>
      <c r="F2" s="141"/>
      <c r="G2" s="141"/>
      <c r="H2" s="141"/>
      <c r="I2" s="1"/>
    </row>
    <row r="3" spans="1:9" ht="28.5" customHeight="1" x14ac:dyDescent="0.25">
      <c r="A3" s="1"/>
      <c r="B3" s="141"/>
      <c r="C3" s="141"/>
      <c r="D3" s="141"/>
      <c r="E3" s="141"/>
      <c r="F3" s="141"/>
      <c r="G3" s="141"/>
      <c r="H3" s="141"/>
      <c r="I3" s="1"/>
    </row>
    <row r="4" spans="1:9" ht="18.75" x14ac:dyDescent="0.3">
      <c r="A4" s="1"/>
      <c r="B4" s="25"/>
      <c r="C4" s="25"/>
      <c r="D4" s="25"/>
      <c r="E4" s="25"/>
      <c r="F4" s="25"/>
      <c r="G4" s="25"/>
      <c r="H4" s="25"/>
      <c r="I4" s="1"/>
    </row>
    <row r="5" spans="1:9" x14ac:dyDescent="0.25">
      <c r="A5" s="1"/>
      <c r="B5" s="132" t="s">
        <v>145</v>
      </c>
      <c r="C5" s="133"/>
      <c r="D5" s="133"/>
      <c r="E5" s="133"/>
      <c r="F5" s="133"/>
      <c r="G5" s="133"/>
      <c r="H5" s="134"/>
      <c r="I5" s="1"/>
    </row>
    <row r="6" spans="1:9" x14ac:dyDescent="0.25">
      <c r="A6" s="1"/>
      <c r="B6" s="126" t="s">
        <v>146</v>
      </c>
      <c r="C6" s="127"/>
      <c r="D6" s="127"/>
      <c r="E6" s="127"/>
      <c r="F6" s="128"/>
      <c r="G6" s="71">
        <v>165644704.57019508</v>
      </c>
      <c r="H6" s="58" t="s">
        <v>3</v>
      </c>
      <c r="I6" s="1"/>
    </row>
    <row r="7" spans="1:9" x14ac:dyDescent="0.25">
      <c r="A7" s="1"/>
      <c r="B7" s="126" t="s">
        <v>141</v>
      </c>
      <c r="C7" s="127"/>
      <c r="D7" s="127"/>
      <c r="E7" s="127"/>
      <c r="F7" s="128"/>
      <c r="G7" s="57">
        <f>G6*'Fane 15. Nøgletal'!C21</f>
        <v>1507366.8115887754</v>
      </c>
      <c r="H7" s="58" t="s">
        <v>3</v>
      </c>
      <c r="I7" s="1"/>
    </row>
    <row r="8" spans="1:9" x14ac:dyDescent="0.25">
      <c r="A8" s="1"/>
      <c r="B8" s="59"/>
      <c r="C8" s="60"/>
      <c r="D8" s="60"/>
      <c r="E8" s="60"/>
      <c r="F8" s="60"/>
      <c r="G8" s="60"/>
      <c r="H8" s="61"/>
      <c r="I8" s="1"/>
    </row>
    <row r="9" spans="1:9" x14ac:dyDescent="0.25">
      <c r="A9" s="1"/>
      <c r="B9" s="62"/>
      <c r="C9" s="62"/>
      <c r="D9" s="62"/>
      <c r="E9" s="62"/>
      <c r="F9" s="62"/>
      <c r="G9" s="62"/>
      <c r="H9" s="62"/>
      <c r="I9" s="1"/>
    </row>
    <row r="10" spans="1:9" x14ac:dyDescent="0.25">
      <c r="A10" s="1"/>
      <c r="B10" s="129" t="s">
        <v>53</v>
      </c>
      <c r="C10" s="130"/>
      <c r="D10" s="130"/>
      <c r="E10" s="130"/>
      <c r="F10" s="130"/>
      <c r="G10" s="130"/>
      <c r="H10" s="131"/>
      <c r="I10" s="1"/>
    </row>
    <row r="11" spans="1:9" x14ac:dyDescent="0.25">
      <c r="A11" s="1"/>
      <c r="B11" s="126" t="s">
        <v>147</v>
      </c>
      <c r="C11" s="127"/>
      <c r="D11" s="127"/>
      <c r="E11" s="127"/>
      <c r="F11" s="128"/>
      <c r="G11" s="57">
        <f>(G6-G7)*(1+'Fane 15. Nøgletal'!C10)</f>
        <v>167009741.16938195</v>
      </c>
      <c r="H11" s="58" t="s">
        <v>3</v>
      </c>
      <c r="I11" s="1"/>
    </row>
    <row r="12" spans="1:9" x14ac:dyDescent="0.25">
      <c r="A12" s="1"/>
      <c r="B12" s="126" t="s">
        <v>102</v>
      </c>
      <c r="C12" s="127"/>
      <c r="D12" s="127"/>
      <c r="E12" s="127"/>
      <c r="F12" s="128"/>
      <c r="G12" s="71">
        <v>1012696.7821860723</v>
      </c>
      <c r="H12" s="58" t="s">
        <v>3</v>
      </c>
      <c r="I12" s="1"/>
    </row>
    <row r="13" spans="1:9" x14ac:dyDescent="0.25">
      <c r="A13" s="1"/>
      <c r="B13" s="123" t="s">
        <v>233</v>
      </c>
      <c r="C13" s="124"/>
      <c r="D13" s="124"/>
      <c r="E13" s="124"/>
      <c r="F13" s="125"/>
      <c r="G13" s="71">
        <v>0</v>
      </c>
      <c r="H13" s="58" t="s">
        <v>3</v>
      </c>
      <c r="I13" s="1"/>
    </row>
    <row r="14" spans="1:9" x14ac:dyDescent="0.25">
      <c r="A14" s="1"/>
      <c r="B14" s="126" t="s">
        <v>54</v>
      </c>
      <c r="C14" s="127"/>
      <c r="D14" s="127"/>
      <c r="E14" s="127"/>
      <c r="F14" s="128"/>
      <c r="G14" s="57">
        <f>SUM(G11:G13)*'Fane 15. Nøgletal'!C22</f>
        <v>2973997.151742754</v>
      </c>
      <c r="H14" s="58" t="s">
        <v>3</v>
      </c>
      <c r="I14" s="1"/>
    </row>
    <row r="15" spans="1:9" x14ac:dyDescent="0.25">
      <c r="A15" s="1"/>
      <c r="B15" s="59"/>
      <c r="C15" s="60"/>
      <c r="D15" s="60"/>
      <c r="E15" s="60"/>
      <c r="F15" s="60"/>
      <c r="G15" s="60"/>
      <c r="H15" s="61"/>
      <c r="I15" s="1"/>
    </row>
    <row r="16" spans="1:9" x14ac:dyDescent="0.25">
      <c r="A16" s="1"/>
      <c r="B16" s="62"/>
      <c r="C16" s="62"/>
      <c r="D16" s="62"/>
      <c r="E16" s="62"/>
      <c r="F16" s="62"/>
      <c r="G16" s="62"/>
      <c r="H16" s="62"/>
      <c r="I16" s="1"/>
    </row>
    <row r="17" spans="1:9" x14ac:dyDescent="0.25">
      <c r="A17" s="1"/>
      <c r="B17" s="129" t="s">
        <v>55</v>
      </c>
      <c r="C17" s="130"/>
      <c r="D17" s="130"/>
      <c r="E17" s="130"/>
      <c r="F17" s="130"/>
      <c r="G17" s="130"/>
      <c r="H17" s="131"/>
      <c r="I17" s="1"/>
    </row>
    <row r="18" spans="1:9" x14ac:dyDescent="0.25">
      <c r="A18" s="1"/>
      <c r="B18" s="126" t="s">
        <v>56</v>
      </c>
      <c r="C18" s="127"/>
      <c r="D18" s="127"/>
      <c r="E18" s="127"/>
      <c r="F18" s="128"/>
      <c r="G18" s="57">
        <f>(G11+G12+G13-G14)*(1+'Fane 15. Nøgletal'!C10)</f>
        <v>167936788.5138222</v>
      </c>
      <c r="H18" s="58" t="s">
        <v>3</v>
      </c>
      <c r="I18" s="1"/>
    </row>
    <row r="19" spans="1:9" x14ac:dyDescent="0.25">
      <c r="A19" s="1"/>
      <c r="B19" s="123" t="s">
        <v>234</v>
      </c>
      <c r="C19" s="124"/>
      <c r="D19" s="124"/>
      <c r="E19" s="124"/>
      <c r="F19" s="125"/>
      <c r="G19" s="71">
        <v>2305557.9808028196</v>
      </c>
      <c r="H19" s="58" t="s">
        <v>3</v>
      </c>
      <c r="I19" s="1"/>
    </row>
    <row r="20" spans="1:9" x14ac:dyDescent="0.25">
      <c r="A20" s="1"/>
      <c r="B20" s="126" t="s">
        <v>57</v>
      </c>
      <c r="C20" s="127"/>
      <c r="D20" s="127"/>
      <c r="E20" s="127"/>
      <c r="F20" s="128"/>
      <c r="G20" s="57">
        <f>G18*'Fane 15. Nøgletal'!C22+G19*'Fane 15. Nøgletal'!C23</f>
        <v>2992539.5111276377</v>
      </c>
      <c r="H20" s="58" t="s">
        <v>3</v>
      </c>
      <c r="I20" s="1"/>
    </row>
    <row r="21" spans="1:9" x14ac:dyDescent="0.25">
      <c r="A21" s="1"/>
      <c r="B21" s="59"/>
      <c r="C21" s="60"/>
      <c r="D21" s="60"/>
      <c r="E21" s="60"/>
      <c r="F21" s="60"/>
      <c r="G21" s="60"/>
      <c r="H21" s="61"/>
      <c r="I21" s="1"/>
    </row>
    <row r="22" spans="1:9" x14ac:dyDescent="0.25">
      <c r="A22" s="1"/>
      <c r="B22" s="62"/>
      <c r="C22" s="62"/>
      <c r="D22" s="62"/>
      <c r="E22" s="62"/>
      <c r="F22" s="62"/>
      <c r="G22" s="62"/>
      <c r="H22" s="62"/>
      <c r="I22" s="1"/>
    </row>
    <row r="23" spans="1:9" x14ac:dyDescent="0.25">
      <c r="A23" s="1"/>
      <c r="B23" s="129" t="s">
        <v>130</v>
      </c>
      <c r="C23" s="130"/>
      <c r="D23" s="130"/>
      <c r="E23" s="130"/>
      <c r="F23" s="130"/>
      <c r="G23" s="130"/>
      <c r="H23" s="131"/>
      <c r="I23" s="1"/>
    </row>
    <row r="24" spans="1:9" x14ac:dyDescent="0.25">
      <c r="A24" s="1"/>
      <c r="B24" s="126" t="s">
        <v>58</v>
      </c>
      <c r="C24" s="127"/>
      <c r="D24" s="127"/>
      <c r="E24" s="127"/>
      <c r="F24" s="128"/>
      <c r="G24" s="57">
        <f>G18*(1-'Fane 15. Nøgletal'!C22)*(1+'Fane 15. Nøgletal'!C10)+G19*(1-'Fane 15. Nøgletal'!C23)*(1+'Fane 15. Nøgletal'!C11)</f>
        <v>170175307.30593279</v>
      </c>
      <c r="H24" s="58" t="s">
        <v>3</v>
      </c>
      <c r="I24" s="1"/>
    </row>
    <row r="25" spans="1:9" x14ac:dyDescent="0.25">
      <c r="A25" s="1"/>
      <c r="B25" s="138" t="s">
        <v>148</v>
      </c>
      <c r="C25" s="124"/>
      <c r="D25" s="124"/>
      <c r="E25" s="124"/>
      <c r="F25" s="125"/>
      <c r="G25" s="57">
        <f>G19*(1-'Fane 15. Nøgletal'!C23)*(1+'Fane 15. Nøgletal'!C11)</f>
        <v>2324124.5700554848</v>
      </c>
      <c r="H25" s="58" t="s">
        <v>3</v>
      </c>
      <c r="I25" s="1"/>
    </row>
    <row r="26" spans="1:9" x14ac:dyDescent="0.25">
      <c r="A26" s="1"/>
      <c r="B26" s="123" t="s">
        <v>235</v>
      </c>
      <c r="C26" s="124"/>
      <c r="D26" s="124"/>
      <c r="E26" s="124"/>
      <c r="F26" s="125"/>
      <c r="G26" s="63">
        <v>2742980.4518679008</v>
      </c>
      <c r="H26" s="58" t="s">
        <v>3</v>
      </c>
      <c r="I26" s="1"/>
    </row>
    <row r="27" spans="1:9" x14ac:dyDescent="0.25">
      <c r="A27" s="1"/>
      <c r="B27" s="126" t="s">
        <v>59</v>
      </c>
      <c r="C27" s="127"/>
      <c r="D27" s="127"/>
      <c r="E27" s="127"/>
      <c r="F27" s="128"/>
      <c r="G27" s="57">
        <f>(G24-G25)*'Fane 15. Nøgletal'!C23+G25*'Fane 15. Nøgletal'!C24+G26*'Fane 15. Nøgletal'!C25</f>
        <v>1601742.3900180755</v>
      </c>
      <c r="H27" s="58" t="s">
        <v>3</v>
      </c>
      <c r="I27" s="1"/>
    </row>
    <row r="28" spans="1:9" x14ac:dyDescent="0.25">
      <c r="A28" s="1"/>
      <c r="B28" s="59"/>
      <c r="C28" s="60"/>
      <c r="D28" s="60"/>
      <c r="E28" s="60"/>
      <c r="F28" s="60"/>
      <c r="G28" s="60"/>
      <c r="H28" s="61"/>
      <c r="I28" s="1"/>
    </row>
    <row r="29" spans="1:9" x14ac:dyDescent="0.25">
      <c r="A29" s="1"/>
      <c r="B29" s="62"/>
      <c r="C29" s="62"/>
      <c r="D29" s="62"/>
      <c r="E29" s="62"/>
      <c r="F29" s="62"/>
      <c r="G29" s="62"/>
      <c r="H29" s="62"/>
      <c r="I29" s="1"/>
    </row>
    <row r="30" spans="1:9" x14ac:dyDescent="0.25">
      <c r="A30" s="1"/>
      <c r="B30" s="129" t="s">
        <v>60</v>
      </c>
      <c r="C30" s="130"/>
      <c r="D30" s="130"/>
      <c r="E30" s="130"/>
      <c r="F30" s="130"/>
      <c r="G30" s="130"/>
      <c r="H30" s="131"/>
      <c r="I30" s="1"/>
    </row>
    <row r="31" spans="1:9" x14ac:dyDescent="0.25">
      <c r="A31" s="1"/>
      <c r="B31" s="126" t="s">
        <v>61</v>
      </c>
      <c r="C31" s="127"/>
      <c r="D31" s="127"/>
      <c r="E31" s="127"/>
      <c r="F31" s="128"/>
      <c r="G31" s="57">
        <f>(G24-G25)*(1-'Fane 15. Nøgletal'!C22)*(1+'Fane 15. Nøgletal'!C10)+G25*(1-'Fane 15. Nøgletal'!C23)*(1+'Fane 15. Nøgletal'!C11)+G26*(1-'Fane 15. Nøgletal'!C24)*(1+'Fane 15. Nøgletal'!C12)</f>
        <v>172826043.15020555</v>
      </c>
      <c r="H31" s="58" t="s">
        <v>3</v>
      </c>
      <c r="I31" s="1"/>
    </row>
    <row r="32" spans="1:9" x14ac:dyDescent="0.25">
      <c r="A32" s="1"/>
      <c r="B32" s="138" t="s">
        <v>149</v>
      </c>
      <c r="C32" s="124"/>
      <c r="D32" s="124"/>
      <c r="E32" s="124"/>
      <c r="F32" s="125"/>
      <c r="G32" s="57">
        <f>G25*(1-'Fane 15. Nøgletal'!C23)*(1+'Fane 15. Nøgletal'!C11)</f>
        <v>2342840.675494404</v>
      </c>
      <c r="H32" s="58" t="s">
        <v>3</v>
      </c>
      <c r="I32" s="1"/>
    </row>
    <row r="33" spans="1:9" x14ac:dyDescent="0.25">
      <c r="A33" s="1"/>
      <c r="B33" s="138" t="s">
        <v>97</v>
      </c>
      <c r="C33" s="124"/>
      <c r="D33" s="124"/>
      <c r="E33" s="124"/>
      <c r="F33" s="125"/>
      <c r="G33" s="57">
        <f>G26*(1-'Fane 15. Nøgletal'!C24)*(1+'Fane 15. Nøgletal'!C12)</f>
        <v>2717581.879233439</v>
      </c>
      <c r="H33" s="58" t="s">
        <v>3</v>
      </c>
      <c r="I33" s="1"/>
    </row>
    <row r="34" spans="1:9" x14ac:dyDescent="0.25">
      <c r="A34" s="1"/>
      <c r="B34" s="126" t="s">
        <v>236</v>
      </c>
      <c r="C34" s="127"/>
      <c r="D34" s="127"/>
      <c r="E34" s="127"/>
      <c r="F34" s="128"/>
      <c r="G34" s="63">
        <v>8471553.8019587994</v>
      </c>
      <c r="H34" s="58" t="s">
        <v>3</v>
      </c>
      <c r="I34" s="1"/>
    </row>
    <row r="35" spans="1:9" x14ac:dyDescent="0.25">
      <c r="A35" s="1"/>
      <c r="B35" s="126" t="s">
        <v>62</v>
      </c>
      <c r="C35" s="127"/>
      <c r="D35" s="127"/>
      <c r="E35" s="127"/>
      <c r="F35" s="128"/>
      <c r="G35" s="57">
        <f>(G31-SUM(G32:G33))*'Fane 15. Nøgletal'!C22+G32*'Fane 15. Nøgletal'!C23+G33*'Fane 15. Nøgletal'!C24+G34*'Fane 15. Nøgletal'!C25</f>
        <v>3299981.2533408538</v>
      </c>
      <c r="H35" s="58" t="s">
        <v>3</v>
      </c>
      <c r="I35" s="1"/>
    </row>
    <row r="36" spans="1:9" x14ac:dyDescent="0.25">
      <c r="A36" s="1"/>
      <c r="B36" s="59"/>
      <c r="C36" s="60"/>
      <c r="D36" s="60"/>
      <c r="E36" s="60"/>
      <c r="F36" s="60"/>
      <c r="G36" s="60"/>
      <c r="H36" s="61"/>
      <c r="I36" s="1"/>
    </row>
    <row r="37" spans="1:9" x14ac:dyDescent="0.25">
      <c r="A37" s="1"/>
      <c r="B37" s="62"/>
      <c r="C37" s="62"/>
      <c r="D37" s="62"/>
      <c r="E37" s="62"/>
      <c r="F37" s="62"/>
      <c r="G37" s="62"/>
      <c r="H37" s="62"/>
      <c r="I37" s="1"/>
    </row>
    <row r="38" spans="1:9" x14ac:dyDescent="0.25">
      <c r="A38" s="1"/>
      <c r="B38" s="129" t="s">
        <v>125</v>
      </c>
      <c r="C38" s="130"/>
      <c r="D38" s="130"/>
      <c r="E38" s="130"/>
      <c r="F38" s="130"/>
      <c r="G38" s="130"/>
      <c r="H38" s="131"/>
      <c r="I38" s="1"/>
    </row>
    <row r="39" spans="1:9" x14ac:dyDescent="0.25">
      <c r="A39" s="1"/>
      <c r="B39" s="126" t="s">
        <v>150</v>
      </c>
      <c r="C39" s="127"/>
      <c r="D39" s="127"/>
      <c r="E39" s="127"/>
      <c r="F39" s="128"/>
      <c r="G39" s="57">
        <f>(SUM(G31,G34)-G35)*(1+'Fane 15. Nøgletal'!C14)</f>
        <v>178585007.83062965</v>
      </c>
      <c r="H39" s="58" t="s">
        <v>3</v>
      </c>
      <c r="I39" s="1"/>
    </row>
    <row r="40" spans="1:9" x14ac:dyDescent="0.25">
      <c r="A40" s="1"/>
      <c r="B40" s="126" t="s">
        <v>237</v>
      </c>
      <c r="C40" s="127"/>
      <c r="D40" s="127"/>
      <c r="E40" s="127"/>
      <c r="F40" s="128"/>
      <c r="G40" s="71">
        <v>3022138.8155489904</v>
      </c>
      <c r="H40" s="58" t="s">
        <v>3</v>
      </c>
      <c r="I40" s="1"/>
    </row>
    <row r="41" spans="1:9" x14ac:dyDescent="0.25">
      <c r="A41" s="1"/>
      <c r="B41" s="126" t="s">
        <v>126</v>
      </c>
      <c r="C41" s="127"/>
      <c r="D41" s="127"/>
      <c r="E41" s="127"/>
      <c r="F41" s="128"/>
      <c r="G41" s="57">
        <f>(G39+G40)*'Fane 15. Nøgletal'!C26</f>
        <v>2687785.770363444</v>
      </c>
      <c r="H41" s="58" t="s">
        <v>3</v>
      </c>
      <c r="I41" s="1"/>
    </row>
    <row r="42" spans="1:9" x14ac:dyDescent="0.25">
      <c r="A42" s="1"/>
      <c r="B42" s="59"/>
      <c r="C42" s="60"/>
      <c r="D42" s="60"/>
      <c r="E42" s="60"/>
      <c r="F42" s="60"/>
      <c r="G42" s="60"/>
      <c r="H42" s="61"/>
      <c r="I42" s="1"/>
    </row>
    <row r="43" spans="1:9" x14ac:dyDescent="0.25">
      <c r="A43" s="1"/>
      <c r="B43" s="62"/>
      <c r="C43" s="62"/>
      <c r="D43" s="62"/>
      <c r="E43" s="62"/>
      <c r="F43" s="62"/>
      <c r="G43" s="62"/>
      <c r="H43" s="62"/>
      <c r="I43" s="1"/>
    </row>
    <row r="44" spans="1:9" x14ac:dyDescent="0.25">
      <c r="A44" s="1"/>
      <c r="B44" s="129" t="s">
        <v>182</v>
      </c>
      <c r="C44" s="130"/>
      <c r="D44" s="130"/>
      <c r="E44" s="130"/>
      <c r="F44" s="130"/>
      <c r="G44" s="130"/>
      <c r="H44" s="131"/>
      <c r="I44" s="1"/>
    </row>
    <row r="45" spans="1:9" x14ac:dyDescent="0.25">
      <c r="A45" s="1"/>
      <c r="B45" s="126" t="s">
        <v>63</v>
      </c>
      <c r="C45" s="127"/>
      <c r="D45" s="127"/>
      <c r="E45" s="127"/>
      <c r="F45" s="128"/>
      <c r="G45" s="57">
        <f>(G39+G40-G41)*(1+'Fane 15. Nøgletal'!C14)</f>
        <v>179509794.76670539</v>
      </c>
      <c r="H45" s="58" t="s">
        <v>3</v>
      </c>
      <c r="I45" s="1"/>
    </row>
    <row r="46" spans="1:9" x14ac:dyDescent="0.25">
      <c r="A46" s="1"/>
      <c r="B46" s="138" t="s">
        <v>184</v>
      </c>
      <c r="C46" s="139"/>
      <c r="D46" s="139"/>
      <c r="E46" s="139"/>
      <c r="F46" s="140"/>
      <c r="G46" s="63">
        <v>1901601.5282222403</v>
      </c>
      <c r="H46" s="58" t="s">
        <v>3</v>
      </c>
      <c r="I46" s="1"/>
    </row>
    <row r="47" spans="1:9" x14ac:dyDescent="0.25">
      <c r="A47" s="1"/>
      <c r="B47" s="126" t="s">
        <v>154</v>
      </c>
      <c r="C47" s="127"/>
      <c r="D47" s="127"/>
      <c r="E47" s="127"/>
      <c r="F47" s="128"/>
      <c r="G47" s="57">
        <f>G45*'Fane 15. Nøgletal'!C26+G46*'Fane 15. Nøgletal'!C27</f>
        <v>2656744.9625472398</v>
      </c>
      <c r="H47" s="58" t="s">
        <v>3</v>
      </c>
      <c r="I47" s="1"/>
    </row>
    <row r="48" spans="1:9" x14ac:dyDescent="0.25">
      <c r="A48" s="1"/>
      <c r="B48" s="59"/>
      <c r="C48" s="60"/>
      <c r="D48" s="60"/>
      <c r="E48" s="60"/>
      <c r="F48" s="60"/>
      <c r="G48" s="60"/>
      <c r="H48" s="61"/>
      <c r="I48" s="1"/>
    </row>
    <row r="49" spans="1:9" x14ac:dyDescent="0.25">
      <c r="A49" s="1"/>
      <c r="B49" s="1"/>
      <c r="C49" s="1"/>
      <c r="D49" s="1"/>
      <c r="E49" s="1"/>
      <c r="F49" s="1"/>
      <c r="G49" s="1"/>
      <c r="H49" s="1"/>
      <c r="I49" s="1"/>
    </row>
    <row r="50" spans="1:9" x14ac:dyDescent="0.25">
      <c r="A50" s="1"/>
      <c r="B50" s="132" t="s">
        <v>255</v>
      </c>
      <c r="C50" s="133"/>
      <c r="D50" s="133"/>
      <c r="E50" s="133"/>
      <c r="F50" s="133"/>
      <c r="G50" s="133"/>
      <c r="H50" s="134"/>
      <c r="I50" s="1"/>
    </row>
    <row r="51" spans="1:9" x14ac:dyDescent="0.25">
      <c r="A51" s="1"/>
      <c r="B51" s="126" t="s">
        <v>117</v>
      </c>
      <c r="C51" s="127"/>
      <c r="D51" s="127"/>
      <c r="E51" s="127"/>
      <c r="F51" s="128"/>
      <c r="G51" s="57">
        <f>(G45+G46-G47)*(1+'Fane 15. Nøgletal'!C16)</f>
        <v>193198027.16003671</v>
      </c>
      <c r="H51" s="58" t="s">
        <v>3</v>
      </c>
      <c r="I51" s="1"/>
    </row>
    <row r="52" spans="1:9" x14ac:dyDescent="0.25">
      <c r="A52" s="1"/>
      <c r="B52" s="138" t="s">
        <v>238</v>
      </c>
      <c r="C52" s="139"/>
      <c r="D52" s="139"/>
      <c r="E52" s="139"/>
      <c r="F52" s="140"/>
      <c r="G52" s="63">
        <f>('Fane 2.1. Økonomisk ramme 2024'!C11+'Fane 2.1. Økonomisk ramme 2024'!C13+'Fane 2.1. Økonomisk ramme 2024'!C15)*(1+'Fane 15. Nøgletal'!C16)</f>
        <v>2720846.1127904002</v>
      </c>
      <c r="H52" s="58" t="s">
        <v>3</v>
      </c>
      <c r="I52" s="1"/>
    </row>
    <row r="53" spans="1:9" x14ac:dyDescent="0.25">
      <c r="A53" s="1"/>
      <c r="B53" s="126" t="s">
        <v>118</v>
      </c>
      <c r="C53" s="127"/>
      <c r="D53" s="127"/>
      <c r="E53" s="127"/>
      <c r="F53" s="128"/>
      <c r="G53" s="71">
        <v>0</v>
      </c>
      <c r="H53" s="58" t="s">
        <v>3</v>
      </c>
      <c r="I53" s="1"/>
    </row>
    <row r="54" spans="1:9" x14ac:dyDescent="0.25">
      <c r="A54" s="1"/>
      <c r="B54" s="59"/>
      <c r="C54" s="60"/>
      <c r="D54" s="60"/>
      <c r="E54" s="60"/>
      <c r="F54" s="60"/>
      <c r="G54" s="60"/>
      <c r="H54" s="61"/>
      <c r="I54" s="1"/>
    </row>
    <row r="55" spans="1:9" x14ac:dyDescent="0.25">
      <c r="A55" s="1"/>
      <c r="B55" s="62"/>
      <c r="C55" s="62"/>
      <c r="D55" s="62"/>
      <c r="E55" s="62"/>
      <c r="F55" s="62"/>
      <c r="G55" s="62"/>
      <c r="H55" s="62"/>
      <c r="I55" s="1"/>
    </row>
    <row r="56" spans="1:9" x14ac:dyDescent="0.25">
      <c r="A56" s="1"/>
      <c r="B56" s="129" t="s">
        <v>256</v>
      </c>
      <c r="C56" s="130"/>
      <c r="D56" s="130"/>
      <c r="E56" s="130"/>
      <c r="F56" s="130"/>
      <c r="G56" s="130"/>
      <c r="H56" s="131"/>
      <c r="I56" s="1"/>
    </row>
    <row r="57" spans="1:9" x14ac:dyDescent="0.25">
      <c r="A57" s="1"/>
      <c r="B57" s="126" t="s">
        <v>170</v>
      </c>
      <c r="C57" s="127"/>
      <c r="D57" s="127"/>
      <c r="E57" s="127"/>
      <c r="F57" s="128"/>
      <c r="G57" s="57">
        <f>(G51+G52-G53)*(1+'Fane 15. Nøgletal'!C16)</f>
        <v>211749118.23327154</v>
      </c>
      <c r="H57" s="58" t="s">
        <v>3</v>
      </c>
      <c r="I57" s="1"/>
    </row>
    <row r="58" spans="1:9" x14ac:dyDescent="0.25">
      <c r="A58" s="1"/>
      <c r="B58" s="126" t="s">
        <v>151</v>
      </c>
      <c r="C58" s="127"/>
      <c r="D58" s="127"/>
      <c r="E58" s="127"/>
      <c r="F58" s="128"/>
      <c r="G58" s="71">
        <v>0</v>
      </c>
      <c r="H58" s="58" t="s">
        <v>3</v>
      </c>
      <c r="I58" s="1"/>
    </row>
    <row r="59" spans="1:9" x14ac:dyDescent="0.25">
      <c r="A59" s="1"/>
      <c r="B59" s="59"/>
      <c r="C59" s="60"/>
      <c r="D59" s="60"/>
      <c r="E59" s="60"/>
      <c r="F59" s="60"/>
      <c r="G59" s="60"/>
      <c r="H59" s="61"/>
      <c r="I59" s="1"/>
    </row>
    <row r="60" spans="1:9" x14ac:dyDescent="0.25">
      <c r="A60" s="1"/>
      <c r="B60" s="62"/>
      <c r="C60" s="62"/>
      <c r="D60" s="62"/>
      <c r="E60" s="62"/>
      <c r="F60" s="62"/>
      <c r="G60" s="62"/>
      <c r="H60" s="62"/>
      <c r="I60" s="1"/>
    </row>
    <row r="61" spans="1:9" x14ac:dyDescent="0.25">
      <c r="A61" s="1"/>
      <c r="B61" s="129" t="s">
        <v>169</v>
      </c>
      <c r="C61" s="130"/>
      <c r="D61" s="130"/>
      <c r="E61" s="130"/>
      <c r="F61" s="130"/>
      <c r="G61" s="130"/>
      <c r="H61" s="131"/>
      <c r="I61" s="1"/>
    </row>
    <row r="62" spans="1:9" x14ac:dyDescent="0.25">
      <c r="A62" s="1"/>
      <c r="B62" s="126" t="s">
        <v>232</v>
      </c>
      <c r="C62" s="127"/>
      <c r="D62" s="127"/>
      <c r="E62" s="127"/>
      <c r="F62" s="128"/>
      <c r="G62" s="57">
        <f>(G57-G58)*(1+'Fane 15. Nøgletal'!C16)</f>
        <v>228858446.98651987</v>
      </c>
      <c r="H62" s="58" t="s">
        <v>3</v>
      </c>
      <c r="I62" s="1"/>
    </row>
    <row r="63" spans="1:9" x14ac:dyDescent="0.25">
      <c r="A63" s="1"/>
      <c r="B63" s="126" t="s">
        <v>171</v>
      </c>
      <c r="C63" s="127"/>
      <c r="D63" s="127"/>
      <c r="E63" s="127"/>
      <c r="F63" s="128"/>
      <c r="G63" s="71">
        <v>0</v>
      </c>
      <c r="H63" s="58" t="s">
        <v>3</v>
      </c>
      <c r="I63" s="1"/>
    </row>
    <row r="64" spans="1:9" x14ac:dyDescent="0.25">
      <c r="A64" s="1"/>
      <c r="B64" s="59"/>
      <c r="C64" s="60"/>
      <c r="D64" s="60"/>
      <c r="E64" s="60"/>
      <c r="F64" s="60"/>
      <c r="G64" s="60"/>
      <c r="H64" s="61"/>
      <c r="I64" s="1"/>
    </row>
    <row r="65" spans="1:9" x14ac:dyDescent="0.25">
      <c r="A65" s="1"/>
      <c r="B65" s="62"/>
      <c r="C65" s="62"/>
      <c r="D65" s="62"/>
      <c r="E65" s="62"/>
      <c r="F65" s="62"/>
      <c r="G65" s="62"/>
      <c r="H65" s="62"/>
      <c r="I65" s="1"/>
    </row>
    <row r="66" spans="1:9" x14ac:dyDescent="0.25">
      <c r="A66" s="1"/>
      <c r="B66" s="129" t="s">
        <v>229</v>
      </c>
      <c r="C66" s="130"/>
      <c r="D66" s="130"/>
      <c r="E66" s="130"/>
      <c r="F66" s="130"/>
      <c r="G66" s="130"/>
      <c r="H66" s="131"/>
      <c r="I66" s="1"/>
    </row>
    <row r="67" spans="1:9" x14ac:dyDescent="0.25">
      <c r="A67" s="1"/>
      <c r="B67" s="126" t="s">
        <v>230</v>
      </c>
      <c r="C67" s="127"/>
      <c r="D67" s="127"/>
      <c r="E67" s="127"/>
      <c r="F67" s="128"/>
      <c r="G67" s="57">
        <f>(G62-G63)*(1+'Fane 15. Nøgletal'!C16)</f>
        <v>247350209.50303069</v>
      </c>
      <c r="H67" s="58" t="s">
        <v>3</v>
      </c>
      <c r="I67" s="1"/>
    </row>
    <row r="68" spans="1:9" x14ac:dyDescent="0.25">
      <c r="A68" s="1"/>
      <c r="B68" s="126" t="s">
        <v>231</v>
      </c>
      <c r="C68" s="127"/>
      <c r="D68" s="127"/>
      <c r="E68" s="127"/>
      <c r="F68" s="128"/>
      <c r="G68" s="71">
        <v>0</v>
      </c>
      <c r="H68" s="58" t="s">
        <v>3</v>
      </c>
      <c r="I68" s="1"/>
    </row>
    <row r="69" spans="1:9" x14ac:dyDescent="0.25">
      <c r="A69" s="1"/>
      <c r="B69" s="30"/>
      <c r="C69" s="31"/>
      <c r="D69" s="31"/>
      <c r="E69" s="31"/>
      <c r="F69" s="31"/>
      <c r="G69" s="31"/>
      <c r="H69" s="19"/>
      <c r="I69" s="1"/>
    </row>
    <row r="70" spans="1:9" x14ac:dyDescent="0.25">
      <c r="A70" s="1"/>
      <c r="B70" s="1"/>
      <c r="C70" s="1"/>
      <c r="D70" s="1"/>
      <c r="E70" s="1"/>
      <c r="F70" s="1"/>
      <c r="G70" s="1"/>
      <c r="H70" s="1"/>
      <c r="I70" s="1"/>
    </row>
    <row r="71" spans="1:9" x14ac:dyDescent="0.25">
      <c r="A71" s="1"/>
      <c r="B71" s="1"/>
      <c r="C71" s="1"/>
      <c r="D71" s="1"/>
      <c r="E71" s="1"/>
      <c r="F71" s="1"/>
      <c r="G71" s="1"/>
      <c r="H71" s="1"/>
      <c r="I71" s="1"/>
    </row>
  </sheetData>
  <sheetProtection algorithmName="SHA-512" hashValue="VJhuqkvMmnxgg90FMeai5Rf1BkhZVm9X32XUD76vZZhSG1YwxllFOiYUg6zdQCqvQCO/xUvO2VFybmx4TeW93A==" saltValue="HXaOw7/oKeUIGE3QPxR7Pw==" spinCount="100000" sheet="1" objects="1" scenarios="1"/>
  <mergeCells count="45">
    <mergeCell ref="B66:H66"/>
    <mergeCell ref="B67:F67"/>
    <mergeCell ref="B68:F68"/>
    <mergeCell ref="B52:F52"/>
    <mergeCell ref="B56:H56"/>
    <mergeCell ref="B61:H61"/>
    <mergeCell ref="B62:F62"/>
    <mergeCell ref="B63:F63"/>
    <mergeCell ref="B45:F45"/>
    <mergeCell ref="B57:F57"/>
    <mergeCell ref="B58:F58"/>
    <mergeCell ref="B46:F46"/>
    <mergeCell ref="B51:F51"/>
    <mergeCell ref="B53:F53"/>
    <mergeCell ref="B50:H50"/>
    <mergeCell ref="B47:F47"/>
    <mergeCell ref="B24:F24"/>
    <mergeCell ref="B40:F40"/>
    <mergeCell ref="B32:F32"/>
    <mergeCell ref="B33:F33"/>
    <mergeCell ref="B39:F39"/>
    <mergeCell ref="B26:F26"/>
    <mergeCell ref="B27:F27"/>
    <mergeCell ref="B25:F25"/>
    <mergeCell ref="B30:H30"/>
    <mergeCell ref="B31:F31"/>
    <mergeCell ref="B35:F35"/>
    <mergeCell ref="B38:H38"/>
    <mergeCell ref="B34:F34"/>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6" t="s">
        <v>72</v>
      </c>
      <c r="C3" s="116"/>
      <c r="D3" s="116"/>
      <c r="E3" s="116"/>
      <c r="F3" s="116"/>
      <c r="G3" s="116"/>
      <c r="H3" s="1"/>
    </row>
    <row r="4" spans="1:8" ht="15" customHeight="1" x14ac:dyDescent="0.25">
      <c r="A4" s="1"/>
      <c r="B4" s="116"/>
      <c r="C4" s="116"/>
      <c r="D4" s="116"/>
      <c r="E4" s="116"/>
      <c r="F4" s="116"/>
      <c r="G4" s="11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2" t="s">
        <v>10</v>
      </c>
      <c r="C8" s="133"/>
      <c r="D8" s="133"/>
      <c r="E8" s="133"/>
      <c r="F8" s="133"/>
      <c r="G8" s="134"/>
      <c r="H8" s="1"/>
    </row>
    <row r="9" spans="1:8" x14ac:dyDescent="0.25">
      <c r="A9" s="1"/>
      <c r="B9" s="144" t="s">
        <v>278</v>
      </c>
      <c r="C9" s="145"/>
      <c r="D9" s="145"/>
      <c r="E9" s="145"/>
      <c r="F9" s="146"/>
      <c r="G9" s="74">
        <v>0</v>
      </c>
      <c r="H9" s="1"/>
    </row>
    <row r="10" spans="1:8" x14ac:dyDescent="0.25">
      <c r="A10" s="1"/>
      <c r="B10" s="30"/>
      <c r="C10" s="31"/>
      <c r="D10" s="31"/>
      <c r="E10" s="31"/>
      <c r="F10" s="31"/>
      <c r="G10" s="19"/>
      <c r="H10" s="1"/>
    </row>
    <row r="11" spans="1:8" ht="33" customHeight="1" x14ac:dyDescent="0.25">
      <c r="A11" s="1"/>
      <c r="B11" s="142" t="s">
        <v>269</v>
      </c>
      <c r="C11" s="143"/>
      <c r="D11" s="143"/>
      <c r="E11" s="143"/>
      <c r="F11" s="143"/>
      <c r="G11" s="14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YyOl9QfxSu6WCssl9ZCIm6EzYp8xTAZaQGZ+KfQ105jOltdxpkZGpHjVarzlcnUNhXAOZcfn5M3rbMoqO7G+DQ==" saltValue="gWgZ7MBIXktqLYJOipoEJ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9</vt:i4>
      </vt:variant>
    </vt:vector>
  </HeadingPairs>
  <TitlesOfParts>
    <vt:vector size="29"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'Fane 4.1. Gen. krav - drift'!Kap1_tekst2</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2023-11-05T12:45:57Z</dcterms:modified>
</cp:coreProperties>
</file>