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estforsyning Spildevand AS (S10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E12" i="37" l="1"/>
  <c r="C15" i="19" l="1"/>
  <c r="E34" i="27" l="1"/>
  <c r="C21" i="23"/>
  <c r="C21" i="22"/>
  <c r="C22" i="15"/>
  <c r="C38" i="2"/>
  <c r="G18" i="41" l="1"/>
  <c r="E26" i="32" l="1"/>
  <c r="E34" i="32" l="1"/>
  <c r="E36" i="32" s="1"/>
  <c r="C19" i="23" s="1"/>
  <c r="E30" i="32"/>
  <c r="C36" i="2" s="1"/>
  <c r="F10" i="11"/>
  <c r="C20" i="15" l="1"/>
  <c r="C19" i="22"/>
  <c r="J11" i="11" l="1"/>
  <c r="H11" i="11"/>
  <c r="C16" i="19" l="1"/>
  <c r="C15" i="23" l="1"/>
  <c r="C15" i="22"/>
  <c r="C16" i="15"/>
  <c r="C24" i="2"/>
  <c r="G34" i="30"/>
  <c r="C11" i="2"/>
  <c r="C10" i="2"/>
  <c r="C10" i="37" l="1"/>
  <c r="C13"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3"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7" i="30" s="1"/>
  <c r="G42" i="30" l="1"/>
  <c r="E14"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<sst xmlns="http://schemas.openxmlformats.org/spreadsheetml/2006/main" count="632" uniqueCount="296">
  <si>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</si>
  <si>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</si>
  <si>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</si>
  <si>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</si>
  <si>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</si>
  <si>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</si>
  <si>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</si>
  <si>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</si>
  <si>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</si>
  <si>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</si>
  <si>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</si>
  <si>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</si>
  <si>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</si>
  <si>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</si>
  <si>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</si>
  <si>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</si>
  <si>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</si>
  <si>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</si>
  <si>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</si>
  <si>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</si>
  <si>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</si>
  <si>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</si>
  <si>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</si>
  <si>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</si>
  <si>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</si>
  <si>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</si>
  <si>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</si>
  <si>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</si>
  <si>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</si>
  <si>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</si>
  <si>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</si>
  <si>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</si>
  <si>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</si>
  <si>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</si>
  <si>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</si>
  <si>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</si>
  <si>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</si>
  <si>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</si>
  <si>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</si>
  <si>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</si>
  <si>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</si>
  <si>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</si>
  <si>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</si>
  <si>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</si>
  <si>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</si>
  <si>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</si>
  <si>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</si>
  <si>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</si>
  <si>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</si>
  <si>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</si>
  <si>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</si>
  <si>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</si>
  <si>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</si>
  <si>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</si>
  <si>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</si>
  <si>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</si>
  <si>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</si>
  <si>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</si>
  <si>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</si>
  <si>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</si>
  <si>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</si>
  <si>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</si>
  <si>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</si>
  <si>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</si>
  <si>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</si>
  <si>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</si>
  <si>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</si>
  <si>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</si>
  <si>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</si>
  <si>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</si>
  <si>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</si>
  <si>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</si>
  <si>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</si>
  <si>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</si>
  <si>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</si>
  <si>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</si>
  <si>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</si>
  <si>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</si>
  <si>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</si>
  <si>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</si>
  <si>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</si>
  <si>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</si>
  <si>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</si>
  <si>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</si>
  <si>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</si>
  <si>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</si>
  <si>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</si>
  <si>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</si>
  <si>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</si>
  <si>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</si>
  <si>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</si>
  <si>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</si>
  <si>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</si>
  <si>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</si>
  <si>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</si>
  <si>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</si>
  <si>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</si>
  <si>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</si>
  <si>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</si>
  <si>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</si>
  <si>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</si>
  <si>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</si>
  <si>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</si>
  <si>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</si>
  <si>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</si>
  <si>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</si>
  <si>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</si>
  <si>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</si>
  <si>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</si>
  <si>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</si>
  <si>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</si>
  <si>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</si>
  <si>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</si>
  <si>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</si>
  <si>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</si>
  <si>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</si>
  <si>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</si>
  <si>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</si>
  <si>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</si>
  <si>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</si>
  <si>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</si>
  <si>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</si>
  <si>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</si>
  <si>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</si>
  <si>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</si>
  <si>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</si>
  <si>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</si>
  <si>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</si>
  <si>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</si>
  <si>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</si>
  <si>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</si>
  <si>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</si>
  <si>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</si>
  <si>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</si>
  <si>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</si>
  <si>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</si>
  <si>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</si>
  <si>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</si>
  <si>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</si>
  <si>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</si>
  <si>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</si>
  <si>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</si>
  <si>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</si>
  <si>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</si>
  <si>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</si>
  <si>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</si>
  <si>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</si>
  <si>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</si>
  <si>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</si>
  <si>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</si>
  <si>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</si>
  <si>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</si>
  <si>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</si>
  <si>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</si>
  <si>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</si>
  <si>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</si>
  <si>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</si>
  <si>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</si>
  <si>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</si>
  <si>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</si>
  <si>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</si>
  <si>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</si>
  <si>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</si>
  <si>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</si>
  <si>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</si>
  <si>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</si>
  <si>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</si>
  <si>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</si>
  <si>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</si>
  <si>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</si>
  <si>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</si>
  <si>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</si>
  <si>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</si>
  <si>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</si>
  <si>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</si>
  <si>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</si>
  <si>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</si>
  <si>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</si>
  <si>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</si>
  <si>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</si>
  <si>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</si>
  <si>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</si>
  <si>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</si>
  <si>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</si>
  <si>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</si>
  <si>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</si>
  <si>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</si>
  <si>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</si>
  <si>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</si>
  <si>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</si>
  <si>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</si>
  <si>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</si>
  <si>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</si>
  <si>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</si>
  <si>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</si>
  <si>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</si>
  <si>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</si>
  <si>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</si>
  <si>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</si>
  <si>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</si>
  <si>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</si>
  <si>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</si>
  <si>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</si>
  <si>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</si>
  <si>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</si>
  <si>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</si>
  <si>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</si>
  <si>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</si>
  <si>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</si>
  <si>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</si>
  <si>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</si>
  <si>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</si>
  <si>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</si>
  <si>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</si>
  <si>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</si>
  <si>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</si>
  <si>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</si>
  <si>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</si>
  <si>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</si>
  <si>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</si>
  <si>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</si>
  <si>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</si>
  <si>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</si>
  <si>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</si>
  <si>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</si>
  <si>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</si>
  <si>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</si>
  <si>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</si>
  <si>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</si>
  <si>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</si>
  <si>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</si>
  <si>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</si>
  <si>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</si>
  <si>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</si>
  <si>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</si>
  <si>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</si>
  <si>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</si>
  <si>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</si>
  <si>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</si>
  <si>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</si>
  <si>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</si>
  <si>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</si>
  <si>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</si>
  <si>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</si>
  <si>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</si>
  <si>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</si>
  <si>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</si>
  <si>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</si>
  <si>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</si>
  <si>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</si>
  <si>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</si>
  <si>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</si>
  <si>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</si>
  <si>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</si>
  <si>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</si>
  <si>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</si>
  <si>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</si>
  <si>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</si>
  <si>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</si>
  <si>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</si>
  <si>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</si>
  <si>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</si>
  <si>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</si>
  <si>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</si>
  <si>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</si>
  <si>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</si>
  <si>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</si>
  <si>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</si>
  <si>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</si>
  <si>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</si>
  <si>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</si>
  <si>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</si>
  <si>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</si>
  <si>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</si>
  <si>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</si>
  <si>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</si>
  <si>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</si>
  <si>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</si>
  <si>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</si>
  <si>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</si>
  <si>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</si>
  <si>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</si>
  <si>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Erstatninger</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</si>
  <si>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</si>
  <si>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</si>
  <si>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</si>
  <si>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</si>
  <si>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</si>
  <si>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</si>
  <si>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</si>
  <si>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</si>
  <si>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</si>
  <si>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</si>
  <si>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</si>
  <si>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Separatkloakeringer og digitalisering</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</si>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</sst>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0" t="s">
        <v>232</v>
      </c>
      <c r="E8" s="110"/>
      <c r="F8" s="110"/>
      <c r="G8" s="11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1"/>
      <c r="I12" s="1"/>
    </row>
    <row r="13" spans="1:9" x14ac:dyDescent="0.25">
      <c r="A13" s="1"/>
      <c r="B13" s="1"/>
      <c r="C13" s="6" t="s">
        <v>6</v>
      </c>
      <c r="D13" s="111" t="s">
        <v>134</v>
      </c>
      <c r="E13" s="112"/>
      <c r="F13" s="112"/>
      <c r="G13" s="113"/>
      <c r="H13" s="1"/>
      <c r="I13" s="1"/>
    </row>
    <row r="14" spans="1:9" x14ac:dyDescent="0.25">
      <c r="A14" s="1"/>
      <c r="B14" s="1"/>
      <c r="C14" s="6" t="s">
        <v>16</v>
      </c>
      <c r="D14" s="111" t="s">
        <v>235</v>
      </c>
      <c r="E14" s="112"/>
      <c r="F14" s="112"/>
      <c r="G14" s="113"/>
      <c r="H14" s="1"/>
      <c r="I14" s="1"/>
    </row>
    <row r="15" spans="1:9" x14ac:dyDescent="0.25">
      <c r="A15" s="1"/>
      <c r="B15" s="1"/>
      <c r="C15" s="6" t="s">
        <v>34</v>
      </c>
      <c r="D15" s="111" t="s">
        <v>135</v>
      </c>
      <c r="E15" s="112"/>
      <c r="F15" s="112"/>
      <c r="G15" s="113"/>
      <c r="H15" s="1"/>
      <c r="I15" s="1"/>
    </row>
    <row r="16" spans="1:9" x14ac:dyDescent="0.25">
      <c r="A16" s="1"/>
      <c r="B16" s="1"/>
      <c r="C16" s="6" t="s">
        <v>35</v>
      </c>
      <c r="D16" s="111" t="s">
        <v>191</v>
      </c>
      <c r="E16" s="112"/>
      <c r="F16" s="112"/>
      <c r="G16" s="113"/>
      <c r="H16" s="1"/>
      <c r="I16" s="1"/>
    </row>
    <row r="17" spans="1:9" x14ac:dyDescent="0.25">
      <c r="A17" s="1"/>
      <c r="B17" s="1"/>
      <c r="C17" s="6" t="s">
        <v>109</v>
      </c>
      <c r="D17" s="111" t="s">
        <v>192</v>
      </c>
      <c r="E17" s="112"/>
      <c r="F17" s="112"/>
      <c r="G17" s="113"/>
      <c r="H17" s="1"/>
      <c r="I17" s="1"/>
    </row>
    <row r="18" spans="1:9" x14ac:dyDescent="0.25">
      <c r="A18" s="1"/>
      <c r="B18" s="1"/>
      <c r="C18" s="6" t="s">
        <v>94</v>
      </c>
      <c r="D18" s="114" t="s">
        <v>83</v>
      </c>
      <c r="E18" s="115"/>
      <c r="F18" s="115"/>
      <c r="G18" s="116"/>
      <c r="H18" s="1"/>
      <c r="I18" s="1"/>
    </row>
    <row r="19" spans="1:9" x14ac:dyDescent="0.25">
      <c r="A19" s="1"/>
      <c r="B19" s="1"/>
      <c r="C19" s="6" t="s">
        <v>95</v>
      </c>
      <c r="D19" s="114" t="s">
        <v>84</v>
      </c>
      <c r="E19" s="115"/>
      <c r="F19" s="115"/>
      <c r="G19" s="116"/>
      <c r="H19" s="1"/>
      <c r="I19" s="1"/>
    </row>
    <row r="20" spans="1:9" x14ac:dyDescent="0.25">
      <c r="A20" s="1"/>
      <c r="B20" s="1"/>
      <c r="C20" s="6" t="s">
        <v>7</v>
      </c>
      <c r="D20" s="114" t="s">
        <v>10</v>
      </c>
      <c r="E20" s="115"/>
      <c r="F20" s="115"/>
      <c r="G20" s="116"/>
      <c r="H20" s="1"/>
      <c r="I20" s="1"/>
    </row>
    <row r="21" spans="1:9" x14ac:dyDescent="0.25">
      <c r="A21" s="1"/>
      <c r="B21" s="1"/>
      <c r="C21" s="6" t="s">
        <v>96</v>
      </c>
      <c r="D21" s="102" t="s">
        <v>12</v>
      </c>
      <c r="E21" s="103"/>
      <c r="F21" s="103"/>
      <c r="G21" s="104"/>
      <c r="H21" s="1"/>
      <c r="I21" s="1"/>
    </row>
    <row r="22" spans="1:9" x14ac:dyDescent="0.25">
      <c r="A22" s="1"/>
      <c r="B22" s="1"/>
      <c r="C22" s="6" t="s">
        <v>71</v>
      </c>
      <c r="D22" s="105" t="s">
        <v>193</v>
      </c>
      <c r="E22" s="106"/>
      <c r="F22" s="106"/>
      <c r="G22" s="107"/>
      <c r="H22" s="1"/>
      <c r="I22" s="1"/>
    </row>
    <row r="23" spans="1:9" x14ac:dyDescent="0.25">
      <c r="A23" s="1"/>
      <c r="B23" s="1"/>
      <c r="C23" s="6" t="s">
        <v>8</v>
      </c>
      <c r="D23" s="105" t="s">
        <v>251</v>
      </c>
      <c r="E23" s="106"/>
      <c r="F23" s="106"/>
      <c r="G23" s="107"/>
      <c r="H23" s="1"/>
      <c r="I23" s="1"/>
    </row>
    <row r="24" spans="1:9" x14ac:dyDescent="0.25">
      <c r="A24" s="1"/>
      <c r="B24" s="1"/>
      <c r="C24" s="6" t="s">
        <v>9</v>
      </c>
      <c r="D24" s="105" t="s">
        <v>194</v>
      </c>
      <c r="E24" s="106"/>
      <c r="F24" s="106"/>
      <c r="G24" s="107"/>
      <c r="H24" s="1"/>
      <c r="I24" s="1"/>
    </row>
    <row r="25" spans="1:9" x14ac:dyDescent="0.25">
      <c r="A25" s="1"/>
      <c r="B25" s="1"/>
      <c r="C25" s="6" t="s">
        <v>264</v>
      </c>
      <c r="D25" s="105" t="s">
        <v>246</v>
      </c>
      <c r="E25" s="106"/>
      <c r="F25" s="106"/>
      <c r="G25" s="107"/>
      <c r="H25" s="1"/>
      <c r="I25" s="1"/>
    </row>
    <row r="26" spans="1:9" x14ac:dyDescent="0.25">
      <c r="A26" s="1"/>
      <c r="B26" s="1"/>
      <c r="C26" s="6" t="s">
        <v>265</v>
      </c>
      <c r="D26" s="105" t="s">
        <v>72</v>
      </c>
      <c r="E26" s="106"/>
      <c r="F26" s="106"/>
      <c r="G26" s="107"/>
      <c r="H26" s="1"/>
      <c r="I26" s="1"/>
    </row>
    <row r="27" spans="1:9" x14ac:dyDescent="0.25">
      <c r="A27" s="1"/>
      <c r="B27" s="1"/>
      <c r="C27" s="6" t="s">
        <v>266</v>
      </c>
      <c r="D27" s="105" t="s">
        <v>73</v>
      </c>
      <c r="E27" s="106"/>
      <c r="F27" s="106"/>
      <c r="G27" s="107"/>
      <c r="H27" s="1"/>
      <c r="I27" s="1"/>
    </row>
    <row r="28" spans="1:9" x14ac:dyDescent="0.25">
      <c r="A28" s="1"/>
      <c r="B28" s="1"/>
      <c r="C28" s="6" t="s">
        <v>15</v>
      </c>
      <c r="D28" s="105" t="s">
        <v>74</v>
      </c>
      <c r="E28" s="106"/>
      <c r="F28" s="106"/>
      <c r="G28" s="107"/>
      <c r="H28" s="1"/>
      <c r="I28" s="1"/>
    </row>
    <row r="29" spans="1:9" x14ac:dyDescent="0.25">
      <c r="A29" s="1"/>
      <c r="B29" s="1"/>
      <c r="C29" s="6" t="s">
        <v>37</v>
      </c>
      <c r="D29" s="105" t="s">
        <v>112</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267</v>
      </c>
      <c r="D31" s="99" t="s">
        <v>92</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MaKdZ8zuay6kCDsUv9/rq0CjfeuQ0DGsP3ZmNRxVEoiksHDCxftNBi65A17hYVpkvKRJ0ZbTY4NSU+VwNQ7YNA==" saltValue="V/rSKDyYsfZbRWt4Jr1+qw=="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86" t="s">
        <v>278</v>
      </c>
      <c r="C10" s="9">
        <v>1729634</v>
      </c>
      <c r="D10" s="14" t="s">
        <v>3</v>
      </c>
      <c r="E10" s="1"/>
      <c r="F10" s="1"/>
    </row>
    <row r="11" spans="1:6" ht="15" customHeight="1" x14ac:dyDescent="0.25">
      <c r="A11" s="1"/>
      <c r="B11" s="86" t="s">
        <v>279</v>
      </c>
      <c r="C11" s="9">
        <v>154128</v>
      </c>
      <c r="D11" s="14" t="s">
        <v>3</v>
      </c>
      <c r="E11" s="1"/>
      <c r="F11" s="1"/>
    </row>
    <row r="12" spans="1:6" x14ac:dyDescent="0.25">
      <c r="A12" s="1"/>
      <c r="B12" s="86" t="s">
        <v>280</v>
      </c>
      <c r="C12" s="9">
        <v>757000</v>
      </c>
      <c r="D12" s="14" t="s">
        <v>3</v>
      </c>
      <c r="E12" s="1"/>
      <c r="F12" s="1"/>
    </row>
    <row r="13" spans="1:6" x14ac:dyDescent="0.25">
      <c r="A13" s="1"/>
      <c r="B13" s="86" t="s">
        <v>281</v>
      </c>
      <c r="C13" s="9">
        <v>276129.5</v>
      </c>
      <c r="D13" s="14" t="s">
        <v>3</v>
      </c>
      <c r="E13" s="1"/>
      <c r="F13" s="1"/>
    </row>
    <row r="14" spans="1:6" x14ac:dyDescent="0.25">
      <c r="A14" s="1"/>
      <c r="B14" s="86" t="s">
        <v>282</v>
      </c>
      <c r="C14" s="9">
        <v>172751.38</v>
      </c>
      <c r="D14" s="14" t="s">
        <v>3</v>
      </c>
      <c r="E14" s="1"/>
      <c r="F14" s="1"/>
    </row>
    <row r="15" spans="1:6" x14ac:dyDescent="0.25">
      <c r="A15" s="1"/>
      <c r="B15" s="32" t="s">
        <v>211</v>
      </c>
      <c r="C15" s="12">
        <f>SUM(C10:C14)</f>
        <v>3089642.88</v>
      </c>
      <c r="D15" s="13" t="s">
        <v>3</v>
      </c>
      <c r="E15" s="1"/>
      <c r="F15" s="1"/>
    </row>
    <row r="16" spans="1:6" x14ac:dyDescent="0.25">
      <c r="A16" s="1"/>
      <c r="B16" s="32" t="s">
        <v>212</v>
      </c>
      <c r="C16" s="12">
        <f>C15*(1+'Fane 15. Nøgletal'!C15)^2</f>
        <v>3313541.1428563967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50" t="s">
        <v>105</v>
      </c>
      <c r="C19" s="151"/>
      <c r="D19" s="153"/>
      <c r="E19" s="1"/>
      <c r="F19" s="1"/>
    </row>
    <row r="20" spans="1:6" x14ac:dyDescent="0.25">
      <c r="A20" s="1"/>
      <c r="B20" s="86" t="s">
        <v>268</v>
      </c>
      <c r="C20" s="9">
        <v>0</v>
      </c>
      <c r="D20" s="14" t="s">
        <v>3</v>
      </c>
      <c r="E20" s="1"/>
      <c r="F20" s="1"/>
    </row>
    <row r="21" spans="1:6" x14ac:dyDescent="0.25">
      <c r="A21" s="1"/>
      <c r="B21" s="86" t="s">
        <v>269</v>
      </c>
      <c r="C21" s="9">
        <v>0</v>
      </c>
      <c r="D21" s="14" t="s">
        <v>3</v>
      </c>
      <c r="E21" s="1"/>
      <c r="F21" s="1"/>
    </row>
    <row r="22" spans="1:6" x14ac:dyDescent="0.25">
      <c r="A22" s="1"/>
      <c r="B22" s="86" t="s">
        <v>270</v>
      </c>
      <c r="C22" s="9">
        <v>0</v>
      </c>
      <c r="D22" s="14" t="s">
        <v>3</v>
      </c>
      <c r="E22" s="1"/>
      <c r="F22" s="1"/>
    </row>
    <row r="23" spans="1:6" x14ac:dyDescent="0.25">
      <c r="A23" s="1"/>
      <c r="B23" s="28" t="s">
        <v>271</v>
      </c>
      <c r="C23" s="9">
        <v>0</v>
      </c>
      <c r="D23" s="14" t="s">
        <v>3</v>
      </c>
      <c r="E23" s="1"/>
      <c r="F23" s="1"/>
    </row>
    <row r="24" spans="1:6" x14ac:dyDescent="0.25">
      <c r="A24" s="1"/>
      <c r="B24" s="150"/>
      <c r="C24" s="151"/>
      <c r="D24" s="153"/>
      <c r="E24" s="1"/>
      <c r="F24" s="1"/>
    </row>
    <row r="25" spans="1:6" x14ac:dyDescent="0.25">
      <c r="A25" s="1"/>
      <c r="B25" s="1"/>
      <c r="C25" s="1"/>
      <c r="D25" s="1"/>
      <c r="E25" s="1"/>
      <c r="F25" s="1"/>
    </row>
    <row r="26" spans="1:6" x14ac:dyDescent="0.25">
      <c r="A26" s="1"/>
      <c r="B26" s="1"/>
      <c r="C26" s="1"/>
      <c r="D26" s="1"/>
      <c r="E26" s="1"/>
      <c r="F26" s="1"/>
    </row>
    <row r="27" spans="1:6" x14ac:dyDescent="0.25">
      <c r="A27" s="1"/>
      <c r="B27" s="150" t="s">
        <v>86</v>
      </c>
      <c r="C27" s="151"/>
      <c r="D27" s="153"/>
      <c r="E27" s="1"/>
      <c r="F27" s="1"/>
    </row>
    <row r="28" spans="1:6" x14ac:dyDescent="0.25">
      <c r="A28" s="1"/>
      <c r="B28" s="86" t="s">
        <v>268</v>
      </c>
      <c r="C28" s="9">
        <v>0</v>
      </c>
      <c r="D28" s="14" t="s">
        <v>3</v>
      </c>
      <c r="E28" s="1"/>
      <c r="F28" s="1"/>
    </row>
    <row r="29" spans="1:6" x14ac:dyDescent="0.25">
      <c r="A29" s="1"/>
      <c r="B29" s="86" t="s">
        <v>269</v>
      </c>
      <c r="C29" s="9">
        <v>0</v>
      </c>
      <c r="D29" s="14" t="s">
        <v>3</v>
      </c>
      <c r="E29" s="1"/>
      <c r="F29" s="1"/>
    </row>
    <row r="30" spans="1:6" x14ac:dyDescent="0.25">
      <c r="A30" s="1"/>
      <c r="B30" s="86" t="s">
        <v>270</v>
      </c>
      <c r="C30" s="9">
        <v>0</v>
      </c>
      <c r="D30" s="14" t="s">
        <v>3</v>
      </c>
      <c r="E30" s="1"/>
      <c r="F30" s="1"/>
    </row>
    <row r="31" spans="1:6" x14ac:dyDescent="0.25">
      <c r="A31" s="1"/>
      <c r="B31" s="28" t="s">
        <v>271</v>
      </c>
      <c r="C31" s="9">
        <v>0</v>
      </c>
      <c r="D31" s="14" t="s">
        <v>3</v>
      </c>
      <c r="E31" s="1"/>
      <c r="F31" s="1"/>
    </row>
    <row r="32" spans="1:6" x14ac:dyDescent="0.25">
      <c r="A32" s="1"/>
      <c r="B32" s="150"/>
      <c r="C32" s="151"/>
      <c r="D32" s="15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3JJaqYgRp1IK/vyNd3AR1e3fkl+mLuqI/YiUOk+VREKRGQfpcNJDcZ3IlvJVghdAfUhOr4JTwGH+61VNjcHcsw==" saltValue="d1Vhiji2qt47jdK1GvKxB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213</v>
      </c>
      <c r="C3" s="140"/>
      <c r="D3" s="140"/>
      <c r="E3" s="140"/>
      <c r="F3" s="140"/>
      <c r="G3" s="1"/>
    </row>
    <row r="4" spans="1:7" ht="15" customHeight="1" x14ac:dyDescent="0.25">
      <c r="A4" s="1"/>
      <c r="B4" s="140"/>
      <c r="C4" s="140"/>
      <c r="D4" s="140"/>
      <c r="E4" s="140"/>
      <c r="F4" s="140"/>
      <c r="G4" s="1"/>
    </row>
    <row r="5" spans="1:7" ht="15" customHeight="1" x14ac:dyDescent="0.25">
      <c r="A5" s="1"/>
      <c r="B5" s="84"/>
      <c r="C5" s="84"/>
      <c r="D5" s="84"/>
      <c r="E5" s="84"/>
      <c r="F5" s="84"/>
      <c r="G5" s="1"/>
    </row>
    <row r="6" spans="1:7" ht="15" customHeight="1" x14ac:dyDescent="0.25">
      <c r="A6" s="1"/>
      <c r="B6" s="84"/>
      <c r="C6" s="84"/>
      <c r="D6" s="84"/>
      <c r="E6" s="84"/>
      <c r="F6" s="84"/>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7" t="s">
        <v>184</v>
      </c>
      <c r="C9" s="148"/>
      <c r="D9" s="149"/>
      <c r="E9" s="9">
        <v>30517035.690584928</v>
      </c>
      <c r="F9" s="14" t="s">
        <v>3</v>
      </c>
      <c r="G9" s="1"/>
    </row>
    <row r="10" spans="1:7" x14ac:dyDescent="0.25">
      <c r="A10" s="1"/>
      <c r="B10" s="147" t="s">
        <v>185</v>
      </c>
      <c r="C10" s="148"/>
      <c r="D10" s="149"/>
      <c r="E10" s="9">
        <v>3036803</v>
      </c>
      <c r="F10" s="14" t="s">
        <v>3</v>
      </c>
      <c r="G10" s="1"/>
    </row>
    <row r="11" spans="1:7" x14ac:dyDescent="0.25">
      <c r="A11" s="1"/>
      <c r="B11" s="147" t="s">
        <v>214</v>
      </c>
      <c r="C11" s="148"/>
      <c r="D11" s="149"/>
      <c r="E11" s="9">
        <v>-82325.911003604531</v>
      </c>
      <c r="F11" s="14" t="s">
        <v>3</v>
      </c>
      <c r="G11" s="1"/>
    </row>
    <row r="12" spans="1:7" x14ac:dyDescent="0.25">
      <c r="A12" s="1"/>
      <c r="B12" s="147" t="s">
        <v>272</v>
      </c>
      <c r="C12" s="148"/>
      <c r="D12" s="149"/>
      <c r="E12" s="9">
        <v>33471512.779581323</v>
      </c>
      <c r="F12" s="14" t="s">
        <v>3</v>
      </c>
      <c r="G12" s="1"/>
    </row>
    <row r="13" spans="1:7" x14ac:dyDescent="0.25">
      <c r="A13" s="1"/>
      <c r="B13" s="32"/>
      <c r="C13" s="33"/>
      <c r="D13" s="33"/>
      <c r="E13" s="33"/>
      <c r="F13" s="20"/>
      <c r="G13" s="1"/>
    </row>
    <row r="14" spans="1:7" ht="75.75" customHeight="1" x14ac:dyDescent="0.25">
      <c r="A14" s="1"/>
      <c r="B14" s="122" t="s">
        <v>273</v>
      </c>
      <c r="C14" s="123"/>
      <c r="D14" s="123"/>
      <c r="E14" s="123"/>
      <c r="F14" s="12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7" t="s">
        <v>274</v>
      </c>
      <c r="C17" s="148"/>
      <c r="D17" s="149"/>
      <c r="E17" s="9">
        <v>0</v>
      </c>
      <c r="F17" s="14" t="s">
        <v>3</v>
      </c>
      <c r="G17" s="1"/>
    </row>
    <row r="18" spans="1:7" x14ac:dyDescent="0.25">
      <c r="A18" s="1"/>
      <c r="B18" s="147" t="s">
        <v>187</v>
      </c>
      <c r="C18" s="148"/>
      <c r="D18" s="149"/>
      <c r="E18" s="9">
        <v>0</v>
      </c>
      <c r="F18" s="14" t="s">
        <v>3</v>
      </c>
      <c r="G18" s="1"/>
    </row>
    <row r="19" spans="1:7" x14ac:dyDescent="0.25">
      <c r="A19" s="1"/>
      <c r="B19" s="32"/>
      <c r="C19" s="33"/>
      <c r="D19" s="33"/>
      <c r="E19" s="33"/>
      <c r="F19" s="20"/>
      <c r="G19" s="1"/>
    </row>
    <row r="20" spans="1:7" ht="31.5" customHeight="1" x14ac:dyDescent="0.25">
      <c r="A20" s="1"/>
      <c r="B20" s="122" t="s">
        <v>188</v>
      </c>
      <c r="C20" s="123"/>
      <c r="D20" s="123"/>
      <c r="E20" s="123"/>
      <c r="F20" s="124"/>
      <c r="G20" s="1"/>
    </row>
    <row r="21" spans="1:7" ht="26.25" customHeight="1" x14ac:dyDescent="0.25">
      <c r="A21" s="1"/>
      <c r="B21" s="1"/>
      <c r="C21" s="1"/>
      <c r="D21" s="1"/>
      <c r="E21" s="1"/>
      <c r="F21" s="1"/>
      <c r="G21" s="1"/>
    </row>
    <row r="22" spans="1:7" ht="28.5" customHeight="1" x14ac:dyDescent="0.25">
      <c r="A22" s="1"/>
      <c r="B22" s="90" t="s">
        <v>215</v>
      </c>
      <c r="C22" s="91"/>
      <c r="D22" s="91"/>
      <c r="E22" s="91"/>
      <c r="F22" s="92"/>
      <c r="G22" s="1"/>
    </row>
    <row r="23" spans="1:7" x14ac:dyDescent="0.25">
      <c r="A23" s="1"/>
      <c r="B23" s="87" t="s">
        <v>216</v>
      </c>
      <c r="C23" s="88"/>
      <c r="D23" s="89"/>
      <c r="E23" s="9">
        <v>123808112.61954863</v>
      </c>
      <c r="F23" s="14" t="s">
        <v>3</v>
      </c>
      <c r="G23" s="1"/>
    </row>
    <row r="24" spans="1:7" x14ac:dyDescent="0.25">
      <c r="A24" s="1"/>
      <c r="B24" s="87" t="s">
        <v>217</v>
      </c>
      <c r="C24" s="88"/>
      <c r="D24" s="89"/>
      <c r="E24" s="9">
        <v>144720996.23000002</v>
      </c>
      <c r="F24" s="14" t="s">
        <v>3</v>
      </c>
      <c r="G24" s="1"/>
    </row>
    <row r="25" spans="1:7" x14ac:dyDescent="0.25">
      <c r="A25" s="1"/>
      <c r="B25" s="87" t="s">
        <v>33</v>
      </c>
      <c r="C25" s="88"/>
      <c r="D25" s="89"/>
      <c r="E25" s="9">
        <v>0</v>
      </c>
      <c r="F25" s="14" t="s">
        <v>3</v>
      </c>
      <c r="G25" s="1"/>
    </row>
    <row r="26" spans="1:7" x14ac:dyDescent="0.25">
      <c r="A26" s="1"/>
      <c r="B26" s="80" t="s">
        <v>218</v>
      </c>
      <c r="C26" s="81"/>
      <c r="D26" s="82"/>
      <c r="E26" s="62">
        <f>E23-(E24-E25)</f>
        <v>-20912883.610451385</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34" t="s">
        <v>276</v>
      </c>
      <c r="C30" s="135"/>
      <c r="D30" s="136"/>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jf/YdWbPhJUesTWL94c4VikUFCLg5avgGMUq9LUsIjp3zsTilOPOdSJEz31CkqmqQK/SdG40a8kSAsViUOoAvg==" saltValue="PCFhFYbIpGoQxtBZWjKXyA==" spinCount="100000" sheet="1" objects="1" scenarios="1"/>
  <mergeCells count="19">
    <mergeCell ref="B34:D34"/>
    <mergeCell ref="B35:D35"/>
    <mergeCell ref="B36:D36"/>
    <mergeCell ref="B37:F37"/>
    <mergeCell ref="B14:F14"/>
    <mergeCell ref="B16:F16"/>
    <mergeCell ref="B18:D18"/>
    <mergeCell ref="B20:F20"/>
    <mergeCell ref="B31:F31"/>
    <mergeCell ref="B33:F33"/>
    <mergeCell ref="B17:D17"/>
    <mergeCell ref="B29:F29"/>
    <mergeCell ref="B30:D30"/>
    <mergeCell ref="B12:D12"/>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25" t="s">
        <v>254</v>
      </c>
      <c r="C9" s="126"/>
      <c r="D9" s="126"/>
      <c r="E9" s="126"/>
      <c r="F9" s="126"/>
      <c r="G9" s="126"/>
      <c r="H9" s="127"/>
      <c r="I9" s="1"/>
    </row>
    <row r="10" spans="1:9" x14ac:dyDescent="0.25">
      <c r="A10" s="1"/>
      <c r="B10" s="171" t="s">
        <v>285</v>
      </c>
      <c r="C10" s="172"/>
      <c r="D10" s="172"/>
      <c r="E10" s="172"/>
      <c r="F10" s="173"/>
      <c r="G10" s="44">
        <v>0</v>
      </c>
      <c r="H10" s="9" t="s">
        <v>3</v>
      </c>
      <c r="I10" s="1"/>
    </row>
    <row r="11" spans="1:9" x14ac:dyDescent="0.25">
      <c r="A11" s="1"/>
      <c r="B11" s="171" t="s">
        <v>286</v>
      </c>
      <c r="C11" s="172"/>
      <c r="D11" s="172"/>
      <c r="E11" s="172"/>
      <c r="F11" s="173"/>
      <c r="G11" s="44">
        <v>0</v>
      </c>
      <c r="H11" s="9" t="s">
        <v>3</v>
      </c>
      <c r="I11" s="1"/>
    </row>
    <row r="12" spans="1:9" x14ac:dyDescent="0.25">
      <c r="A12" s="1"/>
      <c r="B12" s="171" t="s">
        <v>287</v>
      </c>
      <c r="C12" s="172"/>
      <c r="D12" s="172"/>
      <c r="E12" s="172"/>
      <c r="F12" s="173"/>
      <c r="G12" s="9">
        <v>0</v>
      </c>
      <c r="H12" s="9" t="s">
        <v>3</v>
      </c>
      <c r="I12" s="1"/>
    </row>
    <row r="13" spans="1:9" x14ac:dyDescent="0.25">
      <c r="A13" s="1"/>
      <c r="B13" s="171" t="s">
        <v>288</v>
      </c>
      <c r="C13" s="172"/>
      <c r="D13" s="172"/>
      <c r="E13" s="172"/>
      <c r="F13" s="173"/>
      <c r="G13" s="9">
        <v>0</v>
      </c>
      <c r="H13" s="9" t="s">
        <v>3</v>
      </c>
      <c r="I13" s="1"/>
    </row>
    <row r="14" spans="1:9" x14ac:dyDescent="0.25">
      <c r="A14" s="1"/>
      <c r="B14" s="171" t="s">
        <v>289</v>
      </c>
      <c r="C14" s="172"/>
      <c r="D14" s="172"/>
      <c r="E14" s="172"/>
      <c r="F14" s="173"/>
      <c r="G14" s="9">
        <v>0</v>
      </c>
      <c r="H14" s="9" t="s">
        <v>3</v>
      </c>
      <c r="I14" s="1"/>
    </row>
    <row r="15" spans="1:9" x14ac:dyDescent="0.25">
      <c r="A15" s="1"/>
      <c r="B15" s="171" t="s">
        <v>290</v>
      </c>
      <c r="C15" s="172"/>
      <c r="D15" s="172"/>
      <c r="E15" s="172"/>
      <c r="F15" s="173"/>
      <c r="G15" s="9">
        <v>0</v>
      </c>
      <c r="H15" s="9" t="s">
        <v>3</v>
      </c>
      <c r="I15" s="1"/>
    </row>
    <row r="16" spans="1:9" x14ac:dyDescent="0.25">
      <c r="A16" s="1"/>
      <c r="B16" s="171" t="s">
        <v>291</v>
      </c>
      <c r="C16" s="172"/>
      <c r="D16" s="172"/>
      <c r="E16" s="172"/>
      <c r="F16" s="173"/>
      <c r="G16" s="9">
        <v>0</v>
      </c>
      <c r="H16" s="9" t="s">
        <v>3</v>
      </c>
      <c r="I16" s="1"/>
    </row>
    <row r="17" spans="1:9" x14ac:dyDescent="0.25">
      <c r="A17" s="1"/>
      <c r="B17" s="171" t="s">
        <v>292</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B9ZG/uRpJYLHJVA/ei7UzwUy6B3K841ZCi4NpemSakA2lhu/3EiTCZIYyfNR84TTpqWiri+4nYL0inAbRzE8SQ==" saltValue="puta4if0aefjbeY24qGfO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256</v>
      </c>
      <c r="C3" s="140"/>
      <c r="D3" s="140"/>
      <c r="E3" s="140"/>
      <c r="F3" s="140"/>
      <c r="G3" s="1"/>
    </row>
    <row r="4" spans="1:7" ht="1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22" t="s">
        <v>87</v>
      </c>
      <c r="C10" s="123"/>
      <c r="D10" s="124"/>
      <c r="E10" s="7">
        <v>0</v>
      </c>
      <c r="F10" s="8" t="s">
        <v>3</v>
      </c>
      <c r="G10" s="1"/>
    </row>
    <row r="11" spans="1:7" x14ac:dyDescent="0.25">
      <c r="A11" s="1"/>
      <c r="B11" s="147" t="s">
        <v>220</v>
      </c>
      <c r="C11" s="148"/>
      <c r="D11" s="149"/>
      <c r="E11" s="7">
        <v>0</v>
      </c>
      <c r="F11" s="8" t="s">
        <v>3</v>
      </c>
      <c r="G11" s="1"/>
    </row>
    <row r="12" spans="1:7" x14ac:dyDescent="0.25">
      <c r="A12" s="1"/>
      <c r="B12" s="134" t="s">
        <v>88</v>
      </c>
      <c r="C12" s="135"/>
      <c r="D12" s="136"/>
      <c r="E12" s="10">
        <f>E11-E10</f>
        <v>0</v>
      </c>
      <c r="F12" s="11" t="s">
        <v>3</v>
      </c>
      <c r="G12" s="1"/>
    </row>
    <row r="13" spans="1:7" x14ac:dyDescent="0.25">
      <c r="A13" s="1"/>
      <c r="B13" s="174" t="s">
        <v>82</v>
      </c>
      <c r="C13" s="174"/>
      <c r="D13" s="174"/>
      <c r="E13" s="174"/>
      <c r="F13" s="174"/>
      <c r="G13" s="1"/>
    </row>
    <row r="14" spans="1:7" x14ac:dyDescent="0.25">
      <c r="A14" s="1"/>
      <c r="B14" s="147" t="s">
        <v>221</v>
      </c>
      <c r="C14" s="148"/>
      <c r="D14" s="149"/>
      <c r="E14" s="9">
        <v>0</v>
      </c>
      <c r="F14" s="8" t="s">
        <v>3</v>
      </c>
      <c r="G14" s="1"/>
    </row>
    <row r="15" spans="1:7" x14ac:dyDescent="0.25">
      <c r="A15" s="1"/>
      <c r="B15" s="122" t="s">
        <v>222</v>
      </c>
      <c r="C15" s="123"/>
      <c r="D15" s="124"/>
      <c r="E15" s="9">
        <v>0</v>
      </c>
      <c r="F15" s="8" t="s">
        <v>3</v>
      </c>
      <c r="G15" s="1"/>
    </row>
    <row r="16" spans="1:7" x14ac:dyDescent="0.25">
      <c r="A16" s="1"/>
      <c r="B16" s="134" t="s">
        <v>88</v>
      </c>
      <c r="C16" s="135"/>
      <c r="D16" s="136"/>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K/oLcsEZzlFmIxsHT+wz2AOddsKob9GXIuWKiuvpPW3lblRRM+8XbIjHJ8xHhVsJWquCyhBr9xgyhtkoQnWNw==" saltValue="vLc52oBtSOiE7KRAILxEF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283</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2" t="s">
        <v>249</v>
      </c>
      <c r="H11" s="12">
        <f>SUM(H10:H10)</f>
        <v>0</v>
      </c>
      <c r="I11" s="92"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gjjLYtQZM9pFAi+/VXF/eEnumLobMkiP+dKj0XOhtw5YUBHiFQ3X5zVaeSb218X9UmPusCjXluLdgavtTPnOYw==" saltValue="TKkFvVGUCtjULPCY9DO8q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7" t="s">
        <v>17</v>
      </c>
      <c r="C9" s="77" t="s">
        <v>11</v>
      </c>
      <c r="D9" s="78"/>
      <c r="E9" s="77"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294</v>
      </c>
      <c r="C11" s="22">
        <v>244838</v>
      </c>
      <c r="D11" s="14" t="s">
        <v>3</v>
      </c>
      <c r="E11" s="9">
        <v>1224377</v>
      </c>
      <c r="F11" s="14" t="s">
        <v>3</v>
      </c>
      <c r="G11" s="1"/>
    </row>
    <row r="12" spans="1:7" x14ac:dyDescent="0.25">
      <c r="A12" s="1"/>
      <c r="B12" s="25" t="s">
        <v>293</v>
      </c>
      <c r="C12" s="22">
        <v>1118347</v>
      </c>
      <c r="D12" s="14" t="s">
        <v>3</v>
      </c>
      <c r="E12" s="9">
        <f>59201+137104</f>
        <v>196305</v>
      </c>
      <c r="F12" s="14" t="s">
        <v>3</v>
      </c>
      <c r="G12" s="1"/>
    </row>
    <row r="13" spans="1:7" x14ac:dyDescent="0.25">
      <c r="A13" s="1"/>
      <c r="B13" s="32" t="s">
        <v>144</v>
      </c>
      <c r="C13" s="12">
        <f>SUM(C10:C12)</f>
        <v>1363185</v>
      </c>
      <c r="D13" s="13" t="s">
        <v>3</v>
      </c>
      <c r="E13" s="12">
        <f>SUM(E10:E12)</f>
        <v>1420682</v>
      </c>
      <c r="F13" s="13" t="s">
        <v>3</v>
      </c>
      <c r="G13" s="1"/>
    </row>
    <row r="14" spans="1:7" x14ac:dyDescent="0.25">
      <c r="A14" s="1"/>
      <c r="B14" s="32" t="s">
        <v>224</v>
      </c>
      <c r="C14" s="12">
        <f>C13*(1+'Fane 15. Nøgletal'!C15)</f>
        <v>1411714.3860000002</v>
      </c>
      <c r="D14" s="13" t="s">
        <v>3</v>
      </c>
      <c r="E14" s="12">
        <f>E13*(1+'Fane 15. Nøgletal'!C15)</f>
        <v>1471258.2792000002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2fJdiduzej4NiJTppplGcbuPfoiqAQ1jVac5ONCelSi8nK4cjJdac/ETKbIqMz10Erya5gEd6wPGEqsYdSzbw==" saltValue="SXMcFXZmZd9accLKtXkOF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90" t="s">
        <v>85</v>
      </c>
      <c r="C7" s="91"/>
      <c r="D7" s="91"/>
      <c r="E7" s="91"/>
      <c r="F7" s="92"/>
      <c r="G7" s="1"/>
    </row>
    <row r="8" spans="1:7" x14ac:dyDescent="0.25">
      <c r="A8" s="1"/>
      <c r="B8" s="77" t="s">
        <v>17</v>
      </c>
      <c r="C8" s="77" t="s">
        <v>11</v>
      </c>
      <c r="D8" s="78"/>
      <c r="E8" s="77" t="s">
        <v>31</v>
      </c>
      <c r="F8" s="97"/>
      <c r="G8" s="1"/>
    </row>
    <row r="9" spans="1:7" x14ac:dyDescent="0.25">
      <c r="A9" s="1"/>
      <c r="B9" s="25" t="s">
        <v>295</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L8CzCOQ0mElpL9ttQgcWE14jkLgo1ZELYf0wnsYhU7V/+BeJ37MkL4lqJutTQY/g83jZHTachVS10rZw816fcA==" saltValue="69akYlbzHxUzH4U/pQhLUQ=="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260</v>
      </c>
      <c r="C3" s="140"/>
      <c r="D3" s="140"/>
      <c r="E3" s="140"/>
      <c r="F3" s="140"/>
      <c r="G3" s="1"/>
    </row>
    <row r="4" spans="1:7" ht="15" customHeight="1" x14ac:dyDescent="0.25">
      <c r="A4" s="1"/>
      <c r="B4" s="140"/>
      <c r="C4" s="140"/>
      <c r="D4" s="140"/>
      <c r="E4" s="140"/>
      <c r="F4" s="140"/>
      <c r="G4" s="1"/>
    </row>
    <row r="5" spans="1:7" x14ac:dyDescent="0.25">
      <c r="A5" s="1"/>
      <c r="B5" s="140"/>
      <c r="C5" s="140"/>
      <c r="D5" s="140"/>
      <c r="E5" s="140"/>
      <c r="F5" s="14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37" t="s">
        <v>10</v>
      </c>
      <c r="C11" s="138"/>
      <c r="D11" s="139"/>
      <c r="E11" s="9">
        <f>-E10*'Fane 5. Individuelt eff. krav'!G9</f>
        <v>0</v>
      </c>
      <c r="F11" s="14" t="s">
        <v>3</v>
      </c>
      <c r="G11" s="1"/>
    </row>
    <row r="12" spans="1:7" x14ac:dyDescent="0.25">
      <c r="A12" s="1"/>
      <c r="B12" s="137" t="s">
        <v>25</v>
      </c>
      <c r="C12" s="138"/>
      <c r="D12" s="139"/>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37" t="s">
        <v>10</v>
      </c>
      <c r="C17" s="138"/>
      <c r="D17" s="139"/>
      <c r="E17" s="9">
        <f>-E16*'Fane 5. Individuelt eff. krav'!G9</f>
        <v>0</v>
      </c>
      <c r="F17" s="14" t="s">
        <v>3</v>
      </c>
      <c r="G17" s="1"/>
    </row>
    <row r="18" spans="1:7" x14ac:dyDescent="0.25">
      <c r="A18" s="1"/>
      <c r="B18" s="137" t="s">
        <v>25</v>
      </c>
      <c r="C18" s="138"/>
      <c r="D18" s="139"/>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37" t="s">
        <v>10</v>
      </c>
      <c r="C23" s="138"/>
      <c r="D23" s="139"/>
      <c r="E23" s="9">
        <f>-E22*'Fane 5. Individuelt eff. krav'!G9</f>
        <v>0</v>
      </c>
      <c r="F23" s="14" t="s">
        <v>3</v>
      </c>
      <c r="G23" s="1"/>
    </row>
    <row r="24" spans="1:7" x14ac:dyDescent="0.25">
      <c r="A24" s="1"/>
      <c r="B24" s="137" t="s">
        <v>25</v>
      </c>
      <c r="C24" s="138"/>
      <c r="D24" s="139"/>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37" t="s">
        <v>10</v>
      </c>
      <c r="C29" s="138"/>
      <c r="D29" s="139"/>
      <c r="E29" s="9">
        <f>-E28*'Fane 5. Individuelt eff. krav'!G9</f>
        <v>0</v>
      </c>
      <c r="F29" s="14" t="s">
        <v>3</v>
      </c>
      <c r="G29" s="1"/>
    </row>
    <row r="30" spans="1:7" x14ac:dyDescent="0.25">
      <c r="A30" s="1"/>
      <c r="B30" s="137" t="s">
        <v>25</v>
      </c>
      <c r="C30" s="138"/>
      <c r="D30" s="139"/>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EylmRygPWHu2sc21AnZADjMIpSWtaLL+Tl2j3qpjRE3uXL52HnJwingeqkEK8tGifRCy52UWGk96xxdsi2TFEg==" saltValue="KiFtQ/RkPK6IB6fWkGWCcA=="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261</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25" t="s">
        <v>11</v>
      </c>
      <c r="D9" s="127"/>
      <c r="E9" s="178" t="s">
        <v>31</v>
      </c>
      <c r="F9" s="179"/>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fPu2xHxY1SaMFh5lDv8ae1rUpYU/GgZHYhulc8zKNRqffggQFG/tv/K64xKHZGEzb2hn3fFFXWbFf1FEjbBA==" saltValue="xgUneaQohRu4UQKHcU+Df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262</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NKfCFyMMEe2DxqylCNpmLr4+h0VlpF0MslGo8ZuVIpBCQm8WN0SpZdp1GcY/rV2xvUjJZv4S3tglxfn5e4sUg==" saltValue="7Pzu3JM0kyVDbgnP6xkWE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5" t="s">
        <v>93</v>
      </c>
      <c r="C9" s="7">
        <f>'Fane 3. Omkostninger i ØR2022'!E20</f>
        <v>120881507.1769115</v>
      </c>
      <c r="D9" s="8" t="s">
        <v>3</v>
      </c>
      <c r="E9" s="1"/>
    </row>
    <row r="10" spans="1:5" x14ac:dyDescent="0.25">
      <c r="A10" s="1"/>
      <c r="B10" s="79" t="s">
        <v>236</v>
      </c>
      <c r="C10" s="7">
        <f>('Fane 3. Omkostninger i ØR2022'!E10+'Fane 3. Omkostninger i ØR2022'!E14)*(1+'Fane 15. Nøgletal'!C14)*(1-'Fane 15. Nøgletal'!C31-'Fane 5. Individuelt eff. krav'!G9)</f>
        <v>1390742.5644609213</v>
      </c>
      <c r="D10" s="8" t="s">
        <v>3</v>
      </c>
      <c r="E10" s="1"/>
    </row>
    <row r="11" spans="1:5" x14ac:dyDescent="0.25">
      <c r="A11" s="1"/>
      <c r="B11" s="79" t="s">
        <v>237</v>
      </c>
      <c r="C11" s="7">
        <f>('Fane 3. Omkostninger i ØR2022'!E11+'Fane 3. Omkostninger i ØR2022'!E15)*(1+'Fane 15. Nøgletal'!C14)*(1-'Fane 15. Nøgletal'!C25-'Fane 5. Individuelt eff. krav'!G9)</f>
        <v>372149.24699014646</v>
      </c>
      <c r="D11" s="8" t="s">
        <v>3</v>
      </c>
      <c r="E11" s="1"/>
    </row>
    <row r="12" spans="1:5" ht="17.25" customHeight="1" x14ac:dyDescent="0.25">
      <c r="A12" s="1"/>
      <c r="B12" s="83" t="s">
        <v>39</v>
      </c>
      <c r="C12" s="40">
        <f>'Fane 11.1. Varige tillæg'!C14</f>
        <v>1411714.3860000002</v>
      </c>
      <c r="D12" s="8" t="s">
        <v>3</v>
      </c>
      <c r="E12" s="1"/>
    </row>
    <row r="13" spans="1:5" ht="17.25" customHeight="1" x14ac:dyDescent="0.25">
      <c r="A13" s="1"/>
      <c r="B13" s="83" t="s">
        <v>40</v>
      </c>
      <c r="C13" s="40">
        <f>'Fane 11.1. Varige tillæg'!E14</f>
        <v>1471258.2792000002</v>
      </c>
      <c r="D13" s="8" t="s">
        <v>3</v>
      </c>
      <c r="E13" s="1"/>
    </row>
    <row r="14" spans="1:5" ht="17.25" customHeight="1" x14ac:dyDescent="0.25">
      <c r="A14" s="1"/>
      <c r="B14" s="83" t="s">
        <v>28</v>
      </c>
      <c r="C14" s="9">
        <f>-'Fane 14. Bortfald'!C13</f>
        <v>0</v>
      </c>
      <c r="D14" s="8" t="s">
        <v>3</v>
      </c>
      <c r="E14" s="1"/>
    </row>
    <row r="15" spans="1:5" ht="17.25" customHeight="1" x14ac:dyDescent="0.25">
      <c r="A15" s="1"/>
      <c r="B15" s="83" t="s">
        <v>27</v>
      </c>
      <c r="C15" s="9">
        <f>-'Fane 14. Bortfald'!E13</f>
        <v>0</v>
      </c>
      <c r="D15" s="8" t="s">
        <v>3</v>
      </c>
      <c r="E15" s="1"/>
    </row>
    <row r="16" spans="1:5" ht="17.25" customHeight="1" x14ac:dyDescent="0.25">
      <c r="A16" s="1"/>
      <c r="B16" s="83" t="s">
        <v>113</v>
      </c>
      <c r="C16" s="9">
        <f>'Fane 13. Tilknyttet virksomhed'!C12</f>
        <v>0</v>
      </c>
      <c r="D16" s="8" t="s">
        <v>3</v>
      </c>
      <c r="E16" s="1"/>
    </row>
    <row r="17" spans="1:5" ht="17.25" customHeight="1" x14ac:dyDescent="0.25">
      <c r="A17" s="1"/>
      <c r="B17" s="83" t="s">
        <v>114</v>
      </c>
      <c r="C17" s="9">
        <f>'Fane 13. Tilknyttet virksomhed'!E12</f>
        <v>0</v>
      </c>
      <c r="D17" s="8" t="s">
        <v>3</v>
      </c>
      <c r="E17" s="1"/>
    </row>
    <row r="18" spans="1:5" ht="17.25" customHeight="1" x14ac:dyDescent="0.25">
      <c r="A18" s="1"/>
      <c r="B18" s="83" t="s">
        <v>19</v>
      </c>
      <c r="C18" s="9">
        <f>SUM(C9)*'Fane 15. Nøgletal'!C14+SUM(C12:C17)*'Fane 15. Nøgletal'!C15</f>
        <v>501542.80056492798</v>
      </c>
      <c r="D18" s="8" t="s">
        <v>3</v>
      </c>
      <c r="E18" s="1"/>
    </row>
    <row r="19" spans="1:5" ht="17.25" customHeight="1" x14ac:dyDescent="0.25">
      <c r="A19" s="1"/>
      <c r="B19" s="83" t="s">
        <v>10</v>
      </c>
      <c r="C19" s="9">
        <f>-SUM(C9,C12:C18)*'Fane 5. Individuelt eff. krav'!G9</f>
        <v>0</v>
      </c>
      <c r="D19" s="8" t="s">
        <v>3</v>
      </c>
      <c r="E19" s="1"/>
    </row>
    <row r="20" spans="1:5" ht="17.25" customHeight="1" x14ac:dyDescent="0.25">
      <c r="A20" s="1"/>
      <c r="B20" s="83" t="s">
        <v>25</v>
      </c>
      <c r="C20" s="9">
        <f>-'Fane 4.1. Gen. krav - drift'!G48</f>
        <v>-861697.35121358465</v>
      </c>
      <c r="D20" s="8" t="s">
        <v>3</v>
      </c>
      <c r="E20" s="42"/>
    </row>
    <row r="21" spans="1:5" ht="15" customHeight="1" x14ac:dyDescent="0.25">
      <c r="A21" s="1"/>
      <c r="B21" s="83" t="s">
        <v>26</v>
      </c>
      <c r="C21" s="9">
        <f>-'Fane 4.2. Gen. krav - anlæg'!G47</f>
        <v>-1184730.3812175472</v>
      </c>
      <c r="D21" s="8" t="s">
        <v>3</v>
      </c>
      <c r="E21" s="1"/>
    </row>
    <row r="22" spans="1:5" ht="15" customHeight="1" x14ac:dyDescent="0.25">
      <c r="A22" s="1"/>
      <c r="B22" s="80" t="s">
        <v>21</v>
      </c>
      <c r="C22" s="10">
        <f>SUM(C9,C12:C21)</f>
        <v>122219594.9102453</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omk.'!C16+'Fane 6. Ikke-påvirkelige omk.'!C20+'Fane 6. Ikke-påvirkelige omk.'!C28</f>
        <v>3313541.1428563967</v>
      </c>
      <c r="D24" s="11" t="s">
        <v>3</v>
      </c>
      <c r="E24" s="1"/>
    </row>
    <row r="25" spans="1:5" ht="15" customHeight="1" x14ac:dyDescent="0.25">
      <c r="A25" s="1"/>
      <c r="B25" s="32" t="s">
        <v>74</v>
      </c>
      <c r="C25" s="33"/>
      <c r="D25" s="20"/>
      <c r="E25" s="1"/>
    </row>
    <row r="26" spans="1:5" ht="15" customHeight="1" x14ac:dyDescent="0.25">
      <c r="A26" s="1"/>
      <c r="B26" s="80" t="s">
        <v>74</v>
      </c>
      <c r="C26" s="10">
        <f>'Fane 12. Periodevise driftsomk.'!E13</f>
        <v>0</v>
      </c>
      <c r="D26" s="11" t="s">
        <v>3</v>
      </c>
      <c r="E26" s="1"/>
    </row>
    <row r="27" spans="1:5" ht="15" customHeight="1" x14ac:dyDescent="0.25">
      <c r="A27" s="1"/>
      <c r="B27" s="32" t="s">
        <v>73</v>
      </c>
      <c r="C27" s="33"/>
      <c r="D27" s="20"/>
      <c r="E27" s="1"/>
    </row>
    <row r="28" spans="1:5" x14ac:dyDescent="0.25">
      <c r="A28" s="1"/>
      <c r="B28" s="83" t="s">
        <v>69</v>
      </c>
      <c r="C28" s="9">
        <f>'Fane 11.2. Engangstillæg'!C11</f>
        <v>0</v>
      </c>
      <c r="D28" s="8" t="s">
        <v>3</v>
      </c>
      <c r="E28" s="1"/>
    </row>
    <row r="29" spans="1:5" ht="15" customHeight="1" x14ac:dyDescent="0.25">
      <c r="A29" s="1"/>
      <c r="B29" s="83" t="s">
        <v>70</v>
      </c>
      <c r="C29" s="9">
        <f>'Fane 11.2. Engangstillæg'!E11</f>
        <v>0</v>
      </c>
      <c r="D29" s="8" t="s">
        <v>3</v>
      </c>
      <c r="E29" s="1"/>
    </row>
    <row r="30" spans="1:5" ht="15" customHeight="1" x14ac:dyDescent="0.25">
      <c r="A30" s="1"/>
      <c r="B30" s="83"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0"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0</v>
      </c>
      <c r="D34" s="11" t="s">
        <v>3</v>
      </c>
      <c r="E34" s="1"/>
    </row>
    <row r="35" spans="1:5" x14ac:dyDescent="0.25">
      <c r="A35" s="1"/>
      <c r="B35" s="32" t="s">
        <v>131</v>
      </c>
      <c r="C35" s="33"/>
      <c r="D35" s="20"/>
      <c r="E35" s="1"/>
    </row>
    <row r="36" spans="1:5" x14ac:dyDescent="0.25">
      <c r="A36" s="1"/>
      <c r="B36" s="96" t="s">
        <v>190</v>
      </c>
      <c r="C36" s="10">
        <f>'Fane 7. Kontrol af ØR2021'!E30</f>
        <v>0</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125533136.05310169</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43"/>
      <c r="B47" s="43"/>
      <c r="C47" s="43"/>
      <c r="D47" s="43"/>
      <c r="E47" s="43"/>
    </row>
    <row r="48" spans="1:5" x14ac:dyDescent="0.25">
      <c r="A48" s="43"/>
      <c r="B48" s="43"/>
      <c r="C48" s="43"/>
      <c r="D48" s="43"/>
    </row>
  </sheetData>
  <sheetProtection algorithmName="SHA-512" hashValue="+3gV9AGiAEl6A5noj9QC1ZL0GfEciRRPTi43du1XdTNi7Rl3jEzgJdrTUaZUr8XF83LQK4vC5WBARcqC71Ynrw==" saltValue="9Jmx0i2L8W3aItalxeEsL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40" t="s">
        <v>263</v>
      </c>
      <c r="C3" s="140"/>
      <c r="D3" s="1"/>
    </row>
    <row r="4" spans="1:4" ht="25.5" customHeight="1" x14ac:dyDescent="0.25">
      <c r="A4" s="1"/>
      <c r="B4" s="140"/>
      <c r="C4" s="14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6" t="s">
        <v>180</v>
      </c>
      <c r="C9" s="26">
        <v>1.2699999999999999E-2</v>
      </c>
      <c r="D9" s="1"/>
    </row>
    <row r="10" spans="1:4" x14ac:dyDescent="0.25">
      <c r="A10" s="1"/>
      <c r="B10" s="86" t="s">
        <v>100</v>
      </c>
      <c r="C10" s="26">
        <v>1.7500000000000002E-2</v>
      </c>
      <c r="D10" s="1"/>
    </row>
    <row r="11" spans="1:4" x14ac:dyDescent="0.25">
      <c r="A11" s="1"/>
      <c r="B11" s="86"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6" t="s">
        <v>181</v>
      </c>
      <c r="C20" s="23">
        <v>9.1000000000000004E-3</v>
      </c>
      <c r="D20" s="1"/>
    </row>
    <row r="21" spans="1:4" x14ac:dyDescent="0.25">
      <c r="A21" s="1"/>
      <c r="B21" s="86" t="s">
        <v>102</v>
      </c>
      <c r="C21" s="23">
        <v>1.77E-2</v>
      </c>
      <c r="D21" s="1"/>
    </row>
    <row r="22" spans="1:4" x14ac:dyDescent="0.25">
      <c r="A22" s="1"/>
      <c r="B22" s="86" t="s">
        <v>101</v>
      </c>
      <c r="C22" s="23">
        <v>8.6999999999999994E-3</v>
      </c>
      <c r="D22" s="1"/>
    </row>
    <row r="23" spans="1:4" x14ac:dyDescent="0.25">
      <c r="A23" s="1"/>
      <c r="B23" s="86" t="s">
        <v>103</v>
      </c>
      <c r="C23" s="23">
        <v>2.8400000000000002E-2</v>
      </c>
      <c r="D23" s="1"/>
    </row>
    <row r="24" spans="1:4" x14ac:dyDescent="0.25">
      <c r="A24" s="1"/>
      <c r="B24" s="86" t="s">
        <v>122</v>
      </c>
      <c r="C24" s="30">
        <v>2.75E-2</v>
      </c>
      <c r="D24" s="1"/>
    </row>
    <row r="25" spans="1:4" x14ac:dyDescent="0.25">
      <c r="A25" s="1"/>
      <c r="B25" s="86" t="s">
        <v>149</v>
      </c>
      <c r="C25" s="30">
        <v>1.4800000000000001E-2</v>
      </c>
      <c r="D25" s="1"/>
    </row>
    <row r="26" spans="1:4" x14ac:dyDescent="0.25">
      <c r="A26" s="1"/>
      <c r="B26" s="86"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6"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3HD9m1eyoPqLoRPrygB8dSwI1XLitDxhaVXJhPlCT6I6zb8eeyQ+8zDFG22a5MSx7Qcz4QEXiTjOLY0Fj7ThIQ==" saltValue="9Oh272b3NkQaXhLHs5gY6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85" t="s">
        <v>115</v>
      </c>
      <c r="C9" s="7">
        <f>'Fane 2.1. Økonomisk ramme 2023'!C22</f>
        <v>122219594.9102453</v>
      </c>
      <c r="D9" s="8" t="s">
        <v>3</v>
      </c>
      <c r="E9" s="1"/>
    </row>
    <row r="10" spans="1:5" ht="15" customHeight="1" x14ac:dyDescent="0.25">
      <c r="A10" s="1"/>
      <c r="B10" s="79" t="s">
        <v>19</v>
      </c>
      <c r="C10" s="7">
        <f>SUM(C9:C9)*'Fane 15. Nøgletal'!C15</f>
        <v>4351017.5788047323</v>
      </c>
      <c r="D10" s="8" t="s">
        <v>3</v>
      </c>
      <c r="E10" s="1"/>
    </row>
    <row r="11" spans="1:5" ht="15" customHeight="1" x14ac:dyDescent="0.25">
      <c r="A11" s="1"/>
      <c r="B11" s="79" t="s">
        <v>10</v>
      </c>
      <c r="C11" s="9">
        <f>-SUM(C9:C10)*'Fane 5. Individuelt eff. krav'!G9</f>
        <v>0</v>
      </c>
      <c r="D11" s="8" t="s">
        <v>3</v>
      </c>
      <c r="E11" s="1"/>
    </row>
    <row r="12" spans="1:5" ht="15" customHeight="1" x14ac:dyDescent="0.25">
      <c r="A12" s="1"/>
      <c r="B12" s="79" t="s">
        <v>25</v>
      </c>
      <c r="C12" s="9">
        <f>-'Fane 4.1. Gen. krav - drift'!G54</f>
        <v>-874526.30137845268</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125696086.18767157</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omk.'!C16*(1+'Fane 15. Nøgletal'!C15)+'Fane 6. Ikke-påvirkelige omk.'!C21+'Fane 6. Ikke-påvirkelige omk.'!C29</f>
        <v>3431503.2075420846</v>
      </c>
      <c r="D16" s="11" t="s">
        <v>3</v>
      </c>
      <c r="E16" s="1"/>
    </row>
    <row r="17" spans="1:5" ht="15" customHeight="1" x14ac:dyDescent="0.25">
      <c r="A17" s="1"/>
      <c r="B17" s="32" t="s">
        <v>74</v>
      </c>
      <c r="C17" s="33"/>
      <c r="D17" s="20"/>
      <c r="E17" s="1"/>
    </row>
    <row r="18" spans="1:5" ht="15" customHeight="1" x14ac:dyDescent="0.25">
      <c r="A18" s="1"/>
      <c r="B18" s="80"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129127589.39521366</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YGXfHpGazm/e8h4FheAlT1joGaP0lyxmdsjluLLxEbhQZ5fxFsJgZUQ9DNE1iIvy2HMU+jTuYy4En+Kul2QK8Q==" saltValue="At77OSyMeZdhNFXngEIon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5" t="s">
        <v>137</v>
      </c>
      <c r="C8" s="7">
        <f>'Fane 2.2. Økonomisk ramme 2024'!C14</f>
        <v>125696086.18767157</v>
      </c>
      <c r="D8" s="8" t="s">
        <v>3</v>
      </c>
      <c r="E8" s="1"/>
    </row>
    <row r="9" spans="1:5" ht="15" customHeight="1" x14ac:dyDescent="0.25">
      <c r="A9" s="1"/>
      <c r="B9" s="79" t="s">
        <v>19</v>
      </c>
      <c r="C9" s="44">
        <f>SUM(C8:C8)*'Fane 15. Nøgletal'!C15</f>
        <v>4474780.6682811081</v>
      </c>
      <c r="D9" s="8" t="s">
        <v>3</v>
      </c>
      <c r="E9" s="1"/>
    </row>
    <row r="10" spans="1:5" ht="15" customHeight="1" x14ac:dyDescent="0.25">
      <c r="A10" s="1"/>
      <c r="B10" s="79" t="s">
        <v>10</v>
      </c>
      <c r="C10" s="9">
        <f>-SUM(C8:C9)*'Fane 5. Individuelt eff. krav'!G9</f>
        <v>0</v>
      </c>
      <c r="D10" s="8" t="s">
        <v>3</v>
      </c>
      <c r="E10" s="1"/>
    </row>
    <row r="11" spans="1:5" ht="15" customHeight="1" x14ac:dyDescent="0.25">
      <c r="A11" s="1"/>
      <c r="B11" s="79" t="s">
        <v>25</v>
      </c>
      <c r="C11" s="9">
        <f>-'Fane 4.1. Gen. krav - drift'!G59</f>
        <v>-887546.24895337503</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129283320.60699931</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Nøgletal'!C15)^2+'Fane 6. Ikke-påvirkelige omk.'!C22+'Fane 6. Ikke-påvirkelige omk.'!C30</f>
        <v>3553664.7217305829</v>
      </c>
      <c r="D15" s="11" t="s">
        <v>3</v>
      </c>
      <c r="E15" s="1"/>
    </row>
    <row r="16" spans="1:5" ht="15" customHeight="1" x14ac:dyDescent="0.25">
      <c r="A16" s="1"/>
      <c r="B16" s="32" t="s">
        <v>74</v>
      </c>
      <c r="C16" s="33"/>
      <c r="D16" s="20"/>
      <c r="E16" s="1"/>
    </row>
    <row r="17" spans="1:5" ht="15" customHeight="1" x14ac:dyDescent="0.25">
      <c r="A17" s="1"/>
      <c r="B17" s="80"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132836985.3287299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ykyO3bZV5glf1rAi2vRdME+KO1WSptc6zRtI36SSqNNw3vzA82xAn9AiQJKw6UGml29aMZY2sx+6bYctFJuJQ==" saltValue="xH4tFZQVMfeHHdIm4HN1t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5" t="s">
        <v>199</v>
      </c>
      <c r="C8" s="7">
        <f>'Fane 2.3. Økonomisk ramme 2025'!C13</f>
        <v>129283320.60699931</v>
      </c>
      <c r="D8" s="8" t="s">
        <v>3</v>
      </c>
      <c r="E8" s="1"/>
    </row>
    <row r="9" spans="1:5" ht="15" customHeight="1" x14ac:dyDescent="0.25">
      <c r="A9" s="1"/>
      <c r="B9" s="79" t="s">
        <v>19</v>
      </c>
      <c r="C9" s="44">
        <f>SUM(C8:C8)*'Fane 15. Nøgletal'!C15</f>
        <v>4602486.2136091758</v>
      </c>
      <c r="D9" s="8" t="s">
        <v>3</v>
      </c>
      <c r="E9" s="1"/>
    </row>
    <row r="10" spans="1:5" ht="15" customHeight="1" x14ac:dyDescent="0.25">
      <c r="A10" s="1"/>
      <c r="B10" s="79" t="s">
        <v>10</v>
      </c>
      <c r="C10" s="9">
        <f>-SUM(C8:C9)*'Fane 5. Individuelt eff. krav'!G9</f>
        <v>0</v>
      </c>
      <c r="D10" s="8" t="s">
        <v>3</v>
      </c>
      <c r="E10" s="1"/>
    </row>
    <row r="11" spans="1:5" ht="15" customHeight="1" x14ac:dyDescent="0.25">
      <c r="A11" s="1"/>
      <c r="B11" s="79" t="s">
        <v>25</v>
      </c>
      <c r="C11" s="9">
        <f>-'Fane 4.1. Gen. krav - drift'!G64</f>
        <v>-900760.03750779305</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132985046.78310069</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Nøgletal'!C15)^3+'Fane 6. Ikke-påvirkelige omk.'!C23+'Fane 6. Ikke-påvirkelige omk.'!C31</f>
        <v>3680175.1858241921</v>
      </c>
      <c r="D15" s="11" t="s">
        <v>3</v>
      </c>
      <c r="E15" s="1"/>
    </row>
    <row r="16" spans="1:5" ht="15" customHeight="1" x14ac:dyDescent="0.25">
      <c r="A16" s="1"/>
      <c r="B16" s="32" t="s">
        <v>74</v>
      </c>
      <c r="C16" s="33"/>
      <c r="D16" s="20"/>
      <c r="E16" s="1"/>
    </row>
    <row r="17" spans="1:5" ht="15" customHeight="1" x14ac:dyDescent="0.25">
      <c r="A17" s="1"/>
      <c r="B17" s="80"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136665221.96892488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qVclaZVgbHlkX9M0LnG55RwUs0XMXdpD917sRoR5i6rHMWlhHi05xB1MKpgNQZYRNwwVEosae1+LzUTDB/DJg==" saltValue="+70j1/a0gPvZ+dUgO3j7v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201</v>
      </c>
      <c r="C3" s="140"/>
      <c r="D3" s="140"/>
      <c r="E3" s="140"/>
      <c r="F3" s="140"/>
      <c r="G3" s="1"/>
    </row>
    <row r="4" spans="1:7" ht="29.2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41" t="s">
        <v>24</v>
      </c>
      <c r="C9" s="142"/>
      <c r="D9" s="143"/>
      <c r="E9" s="63">
        <v>120731453.92595904</v>
      </c>
      <c r="F9" s="8" t="s">
        <v>3</v>
      </c>
      <c r="G9" s="1"/>
    </row>
    <row r="10" spans="1:7" ht="14.25" customHeight="1" x14ac:dyDescent="0.25">
      <c r="A10" s="1"/>
      <c r="B10" s="137" t="s">
        <v>39</v>
      </c>
      <c r="C10" s="138"/>
      <c r="D10" s="139"/>
      <c r="E10" s="63">
        <v>1414457.3565000002</v>
      </c>
      <c r="F10" s="8" t="s">
        <v>3</v>
      </c>
      <c r="G10" s="1"/>
    </row>
    <row r="11" spans="1:7" ht="14.25" customHeight="1" x14ac:dyDescent="0.25">
      <c r="A11" s="1"/>
      <c r="B11" s="137" t="s">
        <v>40</v>
      </c>
      <c r="C11" s="138"/>
      <c r="D11" s="139"/>
      <c r="E11" s="63">
        <v>376497.35470000003</v>
      </c>
      <c r="F11" s="8" t="s">
        <v>3</v>
      </c>
      <c r="G11" s="1"/>
    </row>
    <row r="12" spans="1:7" x14ac:dyDescent="0.25">
      <c r="A12" s="1"/>
      <c r="B12" s="128" t="s">
        <v>28</v>
      </c>
      <c r="C12" s="129"/>
      <c r="D12" s="130"/>
      <c r="E12" s="64">
        <v>0</v>
      </c>
      <c r="F12" s="8" t="s">
        <v>3</v>
      </c>
      <c r="G12" s="1"/>
    </row>
    <row r="13" spans="1:7" ht="15" customHeight="1" x14ac:dyDescent="0.25">
      <c r="A13" s="1"/>
      <c r="B13" s="128" t="s">
        <v>27</v>
      </c>
      <c r="C13" s="129"/>
      <c r="D13" s="130"/>
      <c r="E13" s="64">
        <v>0</v>
      </c>
      <c r="F13" s="8" t="s">
        <v>3</v>
      </c>
      <c r="G13" s="1"/>
    </row>
    <row r="14" spans="1:7" x14ac:dyDescent="0.25">
      <c r="A14" s="1"/>
      <c r="B14" s="128" t="s">
        <v>113</v>
      </c>
      <c r="C14" s="129"/>
      <c r="D14" s="130"/>
      <c r="E14" s="64">
        <v>0</v>
      </c>
      <c r="F14" s="8" t="s">
        <v>3</v>
      </c>
      <c r="G14" s="1"/>
    </row>
    <row r="15" spans="1:7" x14ac:dyDescent="0.25">
      <c r="A15" s="1"/>
      <c r="B15" s="128" t="s">
        <v>114</v>
      </c>
      <c r="C15" s="129"/>
      <c r="D15" s="130"/>
      <c r="E15" s="64">
        <v>0</v>
      </c>
      <c r="F15" s="8" t="s">
        <v>3</v>
      </c>
      <c r="G15" s="1"/>
    </row>
    <row r="16" spans="1:7" x14ac:dyDescent="0.25">
      <c r="A16" s="1"/>
      <c r="B16" s="128" t="s">
        <v>19</v>
      </c>
      <c r="C16" s="129"/>
      <c r="D16" s="130"/>
      <c r="E16" s="64">
        <f>SUM(E9:E15)*'Fane 15. Nøgletal'!C14</f>
        <v>404323.94850262481</v>
      </c>
      <c r="F16" s="8" t="s">
        <v>3</v>
      </c>
      <c r="G16" s="1"/>
    </row>
    <row r="17" spans="1:7" x14ac:dyDescent="0.25">
      <c r="A17" s="1"/>
      <c r="B17" s="128" t="s">
        <v>10</v>
      </c>
      <c r="C17" s="129"/>
      <c r="D17" s="130"/>
      <c r="E17" s="64">
        <v>0</v>
      </c>
      <c r="F17" s="8" t="s">
        <v>3</v>
      </c>
      <c r="G17" s="1"/>
    </row>
    <row r="18" spans="1:7" x14ac:dyDescent="0.25">
      <c r="A18" s="1"/>
      <c r="B18" s="128" t="s">
        <v>25</v>
      </c>
      <c r="C18" s="129"/>
      <c r="D18" s="130"/>
      <c r="E18" s="64">
        <f>-'Fane 4.1. Gen. krav - drift'!G42</f>
        <v>-846652.90546375781</v>
      </c>
      <c r="F18" s="8" t="s">
        <v>3</v>
      </c>
      <c r="G18" s="1"/>
    </row>
    <row r="19" spans="1:7" x14ac:dyDescent="0.25">
      <c r="A19" s="1"/>
      <c r="B19" s="128" t="s">
        <v>26</v>
      </c>
      <c r="C19" s="129"/>
      <c r="D19" s="130"/>
      <c r="E19" s="64">
        <f>-'Fane 4.2. Gen. krav - anlæg'!G41</f>
        <v>-1198572.5032864013</v>
      </c>
      <c r="F19" s="8" t="s">
        <v>3</v>
      </c>
      <c r="G19" s="1"/>
    </row>
    <row r="20" spans="1:7" x14ac:dyDescent="0.25">
      <c r="A20" s="1"/>
      <c r="B20" s="131" t="s">
        <v>21</v>
      </c>
      <c r="C20" s="132"/>
      <c r="D20" s="133"/>
      <c r="E20" s="65">
        <f>SUM(E9:E19)</f>
        <v>120881507.1769115</v>
      </c>
      <c r="F20" s="45" t="s">
        <v>3</v>
      </c>
      <c r="G20" s="1"/>
    </row>
    <row r="21" spans="1:7" x14ac:dyDescent="0.25">
      <c r="A21" s="1"/>
      <c r="B21" s="32" t="s">
        <v>12</v>
      </c>
      <c r="C21" s="33"/>
      <c r="D21" s="33"/>
      <c r="E21" s="66"/>
      <c r="F21" s="20"/>
      <c r="G21" s="1"/>
    </row>
    <row r="22" spans="1:7" ht="14.25" customHeight="1" x14ac:dyDescent="0.25">
      <c r="A22" s="1"/>
      <c r="B22" s="125" t="s">
        <v>12</v>
      </c>
      <c r="C22" s="126"/>
      <c r="D22" s="127"/>
      <c r="E22" s="67">
        <v>3635276.5813677805</v>
      </c>
      <c r="F22" s="10" t="s">
        <v>3</v>
      </c>
      <c r="G22" s="1"/>
    </row>
    <row r="23" spans="1:7" ht="14.25" customHeight="1" x14ac:dyDescent="0.25">
      <c r="A23" s="1"/>
      <c r="B23" s="32" t="s">
        <v>74</v>
      </c>
      <c r="C23" s="33"/>
      <c r="D23" s="33"/>
      <c r="E23" s="66"/>
      <c r="F23" s="20"/>
      <c r="G23" s="1"/>
    </row>
    <row r="24" spans="1:7" x14ac:dyDescent="0.25">
      <c r="A24" s="1"/>
      <c r="B24" s="134" t="s">
        <v>74</v>
      </c>
      <c r="C24" s="135"/>
      <c r="D24" s="136"/>
      <c r="E24" s="67">
        <v>0</v>
      </c>
      <c r="F24" s="10" t="s">
        <v>3</v>
      </c>
      <c r="G24" s="1"/>
    </row>
    <row r="25" spans="1:7" x14ac:dyDescent="0.25">
      <c r="A25" s="1"/>
      <c r="B25" s="32" t="s">
        <v>73</v>
      </c>
      <c r="C25" s="33"/>
      <c r="D25" s="33"/>
      <c r="E25" s="66"/>
      <c r="F25" s="20"/>
      <c r="G25" s="1"/>
    </row>
    <row r="26" spans="1:7" ht="15.4" customHeight="1" x14ac:dyDescent="0.25">
      <c r="A26" s="1"/>
      <c r="B26" s="137" t="s">
        <v>69</v>
      </c>
      <c r="C26" s="138"/>
      <c r="D26" s="139"/>
      <c r="E26" s="68">
        <v>0</v>
      </c>
      <c r="F26" s="8" t="s">
        <v>3</v>
      </c>
      <c r="G26" s="1"/>
    </row>
    <row r="27" spans="1:7" ht="15.75" customHeight="1" x14ac:dyDescent="0.25">
      <c r="A27" s="1"/>
      <c r="B27" s="137" t="s">
        <v>70</v>
      </c>
      <c r="C27" s="138"/>
      <c r="D27" s="139"/>
      <c r="E27" s="68">
        <v>0</v>
      </c>
      <c r="F27" s="8" t="s">
        <v>3</v>
      </c>
      <c r="G27" s="1"/>
    </row>
    <row r="28" spans="1:7" x14ac:dyDescent="0.25">
      <c r="A28" s="1"/>
      <c r="B28" s="80"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25" t="s">
        <v>136</v>
      </c>
      <c r="C30" s="126"/>
      <c r="D30" s="127"/>
      <c r="E30" s="67">
        <v>0</v>
      </c>
      <c r="F30" s="11" t="s">
        <v>3</v>
      </c>
      <c r="G30" s="1"/>
    </row>
    <row r="31" spans="1:7" ht="15" customHeight="1" x14ac:dyDescent="0.25">
      <c r="A31" s="1"/>
      <c r="B31" s="32" t="s">
        <v>131</v>
      </c>
      <c r="C31" s="32"/>
      <c r="D31" s="32"/>
      <c r="E31" s="66"/>
      <c r="F31" s="20"/>
      <c r="G31" s="1"/>
    </row>
    <row r="32" spans="1:7" ht="15" customHeight="1" x14ac:dyDescent="0.25">
      <c r="A32" s="1"/>
      <c r="B32" s="125" t="s">
        <v>190</v>
      </c>
      <c r="C32" s="126"/>
      <c r="D32" s="127"/>
      <c r="E32" s="67">
        <v>0</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124516783.75827928</v>
      </c>
      <c r="F35" s="47" t="s">
        <v>3</v>
      </c>
      <c r="G35" s="1"/>
    </row>
    <row r="36" spans="1:7" ht="27" customHeight="1" x14ac:dyDescent="0.25">
      <c r="A36" s="1"/>
      <c r="B36" s="122" t="s">
        <v>203</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xVpHquAuK8GLK5cJ2gIl2iTe59s3mZNbNhUTEYIkz0wz2XTQ5E7VvQCkSC5Bbv6BCdhtffgzsWlwCKgIx7tMqA==" saltValue="Q8SJUO5l+dNu9ryMaSSBZg==" spinCount="100000" sheet="1" objects="1" scenarios="1"/>
  <mergeCells count="20">
    <mergeCell ref="B3:F4"/>
    <mergeCell ref="B9:D9"/>
    <mergeCell ref="B12:D12"/>
    <mergeCell ref="B13:D13"/>
    <mergeCell ref="B10:D10"/>
    <mergeCell ref="B11:D11"/>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40" t="s">
        <v>99</v>
      </c>
      <c r="C1" s="140"/>
      <c r="D1" s="140"/>
      <c r="E1" s="140"/>
      <c r="F1" s="140"/>
      <c r="G1" s="140"/>
      <c r="H1" s="140"/>
      <c r="I1" s="1"/>
    </row>
    <row r="2" spans="1:9" ht="15" customHeight="1" x14ac:dyDescent="0.25">
      <c r="A2" s="1"/>
      <c r="B2" s="140"/>
      <c r="C2" s="140"/>
      <c r="D2" s="140"/>
      <c r="E2" s="140"/>
      <c r="F2" s="140"/>
      <c r="G2" s="140"/>
      <c r="H2" s="140"/>
      <c r="I2" s="1"/>
    </row>
    <row r="3" spans="1:9" ht="15" customHeight="1" x14ac:dyDescent="0.25">
      <c r="A3" s="1"/>
      <c r="B3" s="140"/>
      <c r="C3" s="140"/>
      <c r="D3" s="140"/>
      <c r="E3" s="140"/>
      <c r="F3" s="140"/>
      <c r="G3" s="140"/>
      <c r="H3" s="140"/>
      <c r="I3" s="1"/>
    </row>
    <row r="4" spans="1:9" x14ac:dyDescent="0.25">
      <c r="A4" s="1"/>
      <c r="B4" s="150" t="s">
        <v>154</v>
      </c>
      <c r="C4" s="151"/>
      <c r="D4" s="151"/>
      <c r="E4" s="151"/>
      <c r="F4" s="151"/>
      <c r="G4" s="151"/>
      <c r="H4" s="153"/>
      <c r="I4" s="1"/>
    </row>
    <row r="5" spans="1:9" x14ac:dyDescent="0.25">
      <c r="A5" s="1"/>
      <c r="B5" s="147" t="s">
        <v>155</v>
      </c>
      <c r="C5" s="148"/>
      <c r="D5" s="148"/>
      <c r="E5" s="148"/>
      <c r="F5" s="149"/>
      <c r="G5" s="24">
        <v>42129081.489402078</v>
      </c>
      <c r="H5" s="14" t="s">
        <v>3</v>
      </c>
      <c r="I5" s="1"/>
    </row>
    <row r="6" spans="1:9" ht="15" customHeight="1" x14ac:dyDescent="0.25">
      <c r="A6" s="1"/>
      <c r="B6" s="122" t="s">
        <v>156</v>
      </c>
      <c r="C6" s="123"/>
      <c r="D6" s="123"/>
      <c r="E6" s="123"/>
      <c r="F6" s="124"/>
      <c r="G6" s="70">
        <v>0</v>
      </c>
      <c r="H6" s="14" t="s">
        <v>3</v>
      </c>
      <c r="I6" s="1"/>
    </row>
    <row r="7" spans="1:9" x14ac:dyDescent="0.25">
      <c r="A7" s="1"/>
      <c r="B7" s="147" t="s">
        <v>157</v>
      </c>
      <c r="C7" s="148"/>
      <c r="D7" s="148"/>
      <c r="E7" s="148"/>
      <c r="F7" s="149"/>
      <c r="G7" s="70">
        <f>SUM(G5:G6)*'Fane 15. Nøgletal'!C31</f>
        <v>842581.62978804158</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7" t="s">
        <v>158</v>
      </c>
      <c r="C11" s="148"/>
      <c r="D11" s="148"/>
      <c r="E11" s="148"/>
      <c r="F11" s="149"/>
      <c r="G11" s="70">
        <f>(G5-G7)*(1+'Fane 15. Nøgletal'!C10)</f>
        <v>42009013.607157283</v>
      </c>
      <c r="H11" s="14" t="s">
        <v>3</v>
      </c>
      <c r="I11" s="1"/>
    </row>
    <row r="12" spans="1:9" x14ac:dyDescent="0.25">
      <c r="A12" s="1"/>
      <c r="B12" s="147" t="s">
        <v>110</v>
      </c>
      <c r="C12" s="148"/>
      <c r="D12" s="148"/>
      <c r="E12" s="148"/>
      <c r="F12" s="149"/>
      <c r="G12" s="70">
        <v>-40377.518339376096</v>
      </c>
      <c r="H12" s="14" t="s">
        <v>3</v>
      </c>
      <c r="I12" s="1"/>
    </row>
    <row r="13" spans="1:9" x14ac:dyDescent="0.25">
      <c r="A13" s="1"/>
      <c r="B13" s="122" t="s">
        <v>108</v>
      </c>
      <c r="C13" s="123"/>
      <c r="D13" s="123"/>
      <c r="E13" s="123"/>
      <c r="F13" s="124"/>
      <c r="G13" s="70">
        <v>0</v>
      </c>
      <c r="H13" s="14" t="s">
        <v>3</v>
      </c>
      <c r="I13" s="1"/>
    </row>
    <row r="14" spans="1:9" x14ac:dyDescent="0.25">
      <c r="A14" s="1"/>
      <c r="B14" s="144" t="s">
        <v>159</v>
      </c>
      <c r="C14" s="145"/>
      <c r="D14" s="145"/>
      <c r="E14" s="145"/>
      <c r="F14" s="146"/>
      <c r="G14" s="70">
        <v>198061.33276875003</v>
      </c>
      <c r="H14" s="14" t="s">
        <v>3</v>
      </c>
      <c r="I14" s="1"/>
    </row>
    <row r="15" spans="1:9" x14ac:dyDescent="0.25">
      <c r="A15" s="1"/>
      <c r="B15" s="147" t="s">
        <v>42</v>
      </c>
      <c r="C15" s="148"/>
      <c r="D15" s="148"/>
      <c r="E15" s="148"/>
      <c r="F15" s="149"/>
      <c r="G15" s="70">
        <f>SUM(G11:G14)*'Fane 15. Nøgletal'!C31</f>
        <v>843333.9484317333</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7" t="s">
        <v>43</v>
      </c>
      <c r="C19" s="148"/>
      <c r="D19" s="148"/>
      <c r="E19" s="148"/>
      <c r="F19" s="149"/>
      <c r="G19" s="70">
        <f>(G11+G12+G14-G15)*(1+'Fane 15. Nøgletal'!C10)</f>
        <v>42046522.333935149</v>
      </c>
      <c r="H19" s="14" t="s">
        <v>3</v>
      </c>
      <c r="I19" s="1"/>
    </row>
    <row r="20" spans="1:9" x14ac:dyDescent="0.25">
      <c r="A20" s="1"/>
      <c r="B20" s="144" t="s">
        <v>44</v>
      </c>
      <c r="C20" s="145"/>
      <c r="D20" s="145"/>
      <c r="E20" s="145"/>
      <c r="F20" s="146"/>
      <c r="G20" s="70">
        <v>-197380.39790669107</v>
      </c>
      <c r="H20" s="14" t="s">
        <v>3</v>
      </c>
      <c r="I20" s="1"/>
    </row>
    <row r="21" spans="1:9" x14ac:dyDescent="0.25">
      <c r="A21" s="1"/>
      <c r="B21" s="147" t="s">
        <v>45</v>
      </c>
      <c r="C21" s="148"/>
      <c r="D21" s="148"/>
      <c r="E21" s="148"/>
      <c r="F21" s="149"/>
      <c r="G21" s="70">
        <f>(G19+G20)*'Fane 15. Nøgletal'!C31</f>
        <v>836982.83872056915</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7" t="s">
        <v>46</v>
      </c>
      <c r="C25" s="148"/>
      <c r="D25" s="148"/>
      <c r="E25" s="148"/>
      <c r="F25" s="149"/>
      <c r="G25" s="70">
        <f>G19*(1-'Fane 15. Nøgletal'!C31)*(1+'Fane 15. Nøgletal'!C10)+G20*(1-'Fane 15. Nøgletal'!C31)*(1+'Fane 15. Nøgletal'!C11)</f>
        <v>41729987.941184744</v>
      </c>
      <c r="H25" s="14" t="s">
        <v>3</v>
      </c>
      <c r="I25" s="1"/>
    </row>
    <row r="26" spans="1:9" x14ac:dyDescent="0.25">
      <c r="A26" s="1"/>
      <c r="B26" s="154" t="s">
        <v>160</v>
      </c>
      <c r="C26" s="155"/>
      <c r="D26" s="155"/>
      <c r="E26" s="155"/>
      <c r="F26" s="156"/>
      <c r="G26" s="70">
        <f>G20*(1-'Fane 15. Nøgletal'!C31)*(1+'Fane 15. Nøgletal'!C11)</f>
        <v>-196701.80409868783</v>
      </c>
      <c r="H26" s="14" t="s">
        <v>3</v>
      </c>
      <c r="I26" s="1"/>
    </row>
    <row r="27" spans="1:9" x14ac:dyDescent="0.25">
      <c r="A27" s="1"/>
      <c r="B27" s="144" t="s">
        <v>47</v>
      </c>
      <c r="C27" s="145"/>
      <c r="D27" s="145"/>
      <c r="E27" s="145"/>
      <c r="F27" s="146"/>
      <c r="G27" s="70">
        <v>0</v>
      </c>
      <c r="H27" s="14" t="s">
        <v>3</v>
      </c>
      <c r="I27" s="1"/>
    </row>
    <row r="28" spans="1:9" x14ac:dyDescent="0.25">
      <c r="A28" s="1"/>
      <c r="B28" s="147" t="s">
        <v>48</v>
      </c>
      <c r="C28" s="148"/>
      <c r="D28" s="148"/>
      <c r="E28" s="148"/>
      <c r="F28" s="149"/>
      <c r="G28" s="70">
        <f>SUM(G25,G27)*'Fane 15. Nøgletal'!C31</f>
        <v>834599.75882369489</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7" t="s">
        <v>53</v>
      </c>
      <c r="C32" s="148"/>
      <c r="D32" s="148"/>
      <c r="E32" s="148"/>
      <c r="F32" s="149"/>
      <c r="G32" s="70">
        <f>(G25-G26)*(1-'Fane 15. Nøgletal'!C31)*(1+'Fane 15. Nøgletal'!C10)+G26*(1-'Fane 15. Nøgletal'!C31)*(1+'Fane 15. Nøgletal'!C11)+G27*(1-'Fane 15. Nøgletal'!C31)*(1+'Fane 15. Nøgletal'!C12)</f>
        <v>41611173.136213183</v>
      </c>
      <c r="H32" s="14" t="s">
        <v>3</v>
      </c>
      <c r="I32" s="1"/>
    </row>
    <row r="33" spans="1:9" x14ac:dyDescent="0.25">
      <c r="A33" s="1"/>
      <c r="B33" s="154" t="s">
        <v>160</v>
      </c>
      <c r="C33" s="145"/>
      <c r="D33" s="145"/>
      <c r="E33" s="145"/>
      <c r="F33" s="146"/>
      <c r="G33" s="70">
        <f>G26*(1-'Fane 15. Nøgletal'!C31)*(1+'Fane 15. Nøgletal'!C11)</f>
        <v>-196025.54329619653</v>
      </c>
      <c r="H33" s="14" t="s">
        <v>3</v>
      </c>
      <c r="I33" s="1"/>
    </row>
    <row r="34" spans="1:9" x14ac:dyDescent="0.25">
      <c r="A34" s="1"/>
      <c r="B34" s="154" t="s">
        <v>107</v>
      </c>
      <c r="C34" s="145"/>
      <c r="D34" s="145"/>
      <c r="E34" s="145"/>
      <c r="F34" s="146"/>
      <c r="G34" s="70">
        <f>G27*(1-'Fane 15. Nøgletal'!C31)*(1+'Fane 15. Nøgletal'!C12)</f>
        <v>0</v>
      </c>
      <c r="H34" s="14" t="s">
        <v>3</v>
      </c>
      <c r="I34" s="1"/>
    </row>
    <row r="35" spans="1:9" x14ac:dyDescent="0.25">
      <c r="A35" s="1"/>
      <c r="B35" s="147" t="s">
        <v>123</v>
      </c>
      <c r="C35" s="148"/>
      <c r="D35" s="148"/>
      <c r="E35" s="148"/>
      <c r="F35" s="149"/>
      <c r="G35" s="70">
        <v>0</v>
      </c>
      <c r="H35" s="14" t="s">
        <v>3</v>
      </c>
      <c r="I35" s="1"/>
    </row>
    <row r="36" spans="1:9" x14ac:dyDescent="0.25">
      <c r="A36" s="1"/>
      <c r="B36" s="147" t="s">
        <v>54</v>
      </c>
      <c r="C36" s="148"/>
      <c r="D36" s="148"/>
      <c r="E36" s="148"/>
      <c r="F36" s="149"/>
      <c r="G36" s="70">
        <f>SUM(G32,G35)*'Fane 15. Nøgletal'!C31</f>
        <v>832223.46272426366</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7" t="s">
        <v>166</v>
      </c>
      <c r="C40" s="148"/>
      <c r="D40" s="148"/>
      <c r="E40" s="148"/>
      <c r="F40" s="149"/>
      <c r="G40" s="70">
        <f>(SUM(G32,G35)-G36)*(1+'Fane 15. Nøgletal'!C14)</f>
        <v>40913520.207411438</v>
      </c>
      <c r="H40" s="14" t="s">
        <v>3</v>
      </c>
      <c r="I40" s="1"/>
    </row>
    <row r="41" spans="1:9" x14ac:dyDescent="0.25">
      <c r="A41" s="1"/>
      <c r="B41" s="147" t="s">
        <v>165</v>
      </c>
      <c r="C41" s="148"/>
      <c r="D41" s="148"/>
      <c r="E41" s="148"/>
      <c r="F41" s="149"/>
      <c r="G41" s="73">
        <v>1419125.0657764503</v>
      </c>
      <c r="H41" s="14" t="s">
        <v>3</v>
      </c>
      <c r="I41" s="1"/>
    </row>
    <row r="42" spans="1:9" x14ac:dyDescent="0.25">
      <c r="A42" s="1"/>
      <c r="B42" s="147" t="s">
        <v>164</v>
      </c>
      <c r="C42" s="148"/>
      <c r="D42" s="148"/>
      <c r="E42" s="148"/>
      <c r="F42" s="149"/>
      <c r="G42" s="70">
        <f>(G40+G41)*'Fane 15. Nøgletal'!C31</f>
        <v>846652.90546375781</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7" t="s">
        <v>175</v>
      </c>
      <c r="C46" s="148"/>
      <c r="D46" s="148"/>
      <c r="E46" s="148"/>
      <c r="F46" s="149"/>
      <c r="G46" s="70">
        <f>(G40+G41-G42)*(1+'Fane 15. Nøgletal'!C14)</f>
        <v>41622896.142537631</v>
      </c>
      <c r="H46" s="14" t="s">
        <v>3</v>
      </c>
      <c r="I46" s="1"/>
    </row>
    <row r="47" spans="1:9" x14ac:dyDescent="0.25">
      <c r="A47" s="1"/>
      <c r="B47" s="154" t="s">
        <v>238</v>
      </c>
      <c r="C47" s="155"/>
      <c r="D47" s="155"/>
      <c r="E47" s="155"/>
      <c r="F47" s="156"/>
      <c r="G47" s="73">
        <f>('Fane 2.1. Økonomisk ramme 2023'!C12+'Fane 2.1. Økonomisk ramme 2023'!C14+'Fane 2.1. Økonomisk ramme 2023'!C16)*(1+'Fane 15. Nøgletal'!C15)</f>
        <v>1461971.4181416002</v>
      </c>
      <c r="H47" s="14" t="s">
        <v>3</v>
      </c>
      <c r="I47" s="1"/>
    </row>
    <row r="48" spans="1:9" x14ac:dyDescent="0.25">
      <c r="A48" s="1"/>
      <c r="B48" s="147" t="s">
        <v>176</v>
      </c>
      <c r="C48" s="148"/>
      <c r="D48" s="148"/>
      <c r="E48" s="148"/>
      <c r="F48" s="149"/>
      <c r="G48" s="70">
        <f>G46*'Fane 15. Nøgletal'!C31+'Fane 4.1. Gen. krav - drift'!G47*'Fane 15. Nøgletal'!C31</f>
        <v>861697.35121358465</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7" t="s">
        <v>125</v>
      </c>
      <c r="C53" s="148"/>
      <c r="D53" s="148"/>
      <c r="E53" s="148"/>
      <c r="F53" s="149"/>
      <c r="G53" s="70">
        <f>(G46+G47-G48)*(1+'Fane 15. Nøgletal'!C15)</f>
        <v>43726315.068922631</v>
      </c>
      <c r="H53" s="14" t="s">
        <v>3</v>
      </c>
      <c r="I53" s="1"/>
    </row>
    <row r="54" spans="1:9" x14ac:dyDescent="0.25">
      <c r="A54" s="1"/>
      <c r="B54" s="147" t="s">
        <v>126</v>
      </c>
      <c r="C54" s="148"/>
      <c r="D54" s="148"/>
      <c r="E54" s="148"/>
      <c r="F54" s="149"/>
      <c r="G54" s="70">
        <f>(G53)*'Fane 15. Nøgletal'!C31</f>
        <v>874526.30137845268</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90" t="s">
        <v>152</v>
      </c>
      <c r="C57" s="91"/>
      <c r="D57" s="91"/>
      <c r="E57" s="91"/>
      <c r="F57" s="91"/>
      <c r="G57" s="75"/>
      <c r="H57" s="92"/>
      <c r="I57" s="1"/>
    </row>
    <row r="58" spans="1:9" x14ac:dyDescent="0.25">
      <c r="A58" s="1"/>
      <c r="B58" s="87" t="s">
        <v>161</v>
      </c>
      <c r="C58" s="88"/>
      <c r="D58" s="88"/>
      <c r="E58" s="88"/>
      <c r="F58" s="89"/>
      <c r="G58" s="70">
        <f>(G53-G54)*(1+'Fane 15. Nøgletal'!C15)</f>
        <v>44377312.447668754</v>
      </c>
      <c r="H58" s="14" t="s">
        <v>3</v>
      </c>
      <c r="I58" s="1"/>
    </row>
    <row r="59" spans="1:9" x14ac:dyDescent="0.25">
      <c r="A59" s="1"/>
      <c r="B59" s="87" t="s">
        <v>162</v>
      </c>
      <c r="C59" s="88"/>
      <c r="D59" s="88"/>
      <c r="E59" s="88"/>
      <c r="F59" s="89"/>
      <c r="G59" s="70">
        <f>(G58)*'Fane 15. Nøgletal'!C31</f>
        <v>887546.24895337503</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90" t="s">
        <v>204</v>
      </c>
      <c r="C62" s="91"/>
      <c r="D62" s="91"/>
      <c r="E62" s="91"/>
      <c r="F62" s="91"/>
      <c r="G62" s="75"/>
      <c r="H62" s="92"/>
      <c r="I62" s="1"/>
    </row>
    <row r="63" spans="1:9" x14ac:dyDescent="0.25">
      <c r="A63" s="1"/>
      <c r="B63" s="87" t="s">
        <v>205</v>
      </c>
      <c r="C63" s="88"/>
      <c r="D63" s="88"/>
      <c r="E63" s="88"/>
      <c r="F63" s="89"/>
      <c r="G63" s="70">
        <f>(G58-G59)*(1+'Fane 15. Nøgletal'!C15)</f>
        <v>45038001.87538965</v>
      </c>
      <c r="H63" s="14" t="s">
        <v>3</v>
      </c>
      <c r="I63" s="1"/>
    </row>
    <row r="64" spans="1:9" x14ac:dyDescent="0.25">
      <c r="A64" s="1"/>
      <c r="B64" s="87" t="s">
        <v>206</v>
      </c>
      <c r="C64" s="88"/>
      <c r="D64" s="88"/>
      <c r="E64" s="88"/>
      <c r="F64" s="89"/>
      <c r="G64" s="70">
        <f>(G63)*'Fane 15. Nøgletal'!C31</f>
        <v>900760.03750779305</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OdvnmsvGCtbGLZ3omRn9j/4q7iGaSwSci9Vt1w0ROel6kNfdp/4MqY8WGTHer4F+sCSVdZxM7XpEiS9lRR4Ang==" saltValue="ZJ6GJAn5x7EWqKCW3vIyAg==" spinCount="100000" sheet="1" objects="1" scenarios="1"/>
  <mergeCells count="37">
    <mergeCell ref="B41:F41"/>
    <mergeCell ref="B47:F47"/>
    <mergeCell ref="B52:H52"/>
    <mergeCell ref="B53:F53"/>
    <mergeCell ref="B54:F54"/>
    <mergeCell ref="B48:F48"/>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9.85546875" style="2" customWidth="1"/>
    <col min="7" max="7" width="11"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7" t="s">
        <v>168</v>
      </c>
      <c r="C6" s="148"/>
      <c r="D6" s="148"/>
      <c r="E6" s="148"/>
      <c r="F6" s="149"/>
      <c r="G6" s="70">
        <v>79341482.939911634</v>
      </c>
      <c r="H6" s="14" t="s">
        <v>3</v>
      </c>
      <c r="I6" s="1"/>
    </row>
    <row r="7" spans="1:9" x14ac:dyDescent="0.25">
      <c r="A7" s="1"/>
      <c r="B7" s="147" t="s">
        <v>163</v>
      </c>
      <c r="C7" s="148"/>
      <c r="D7" s="148"/>
      <c r="E7" s="148"/>
      <c r="F7" s="149"/>
      <c r="G7" s="70">
        <f>G6*'Fane 15. Nøgletal'!C20</f>
        <v>722007.4947531959</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7" t="s">
        <v>169</v>
      </c>
      <c r="C11" s="148"/>
      <c r="D11" s="148"/>
      <c r="E11" s="148"/>
      <c r="F11" s="149"/>
      <c r="G11" s="70">
        <f>(G6-G7)*(1+'Fane 15. Nøgletal'!C10)</f>
        <v>79995316.265448719</v>
      </c>
      <c r="H11" s="14" t="s">
        <v>3</v>
      </c>
      <c r="I11" s="1"/>
    </row>
    <row r="12" spans="1:9" x14ac:dyDescent="0.25">
      <c r="A12" s="1"/>
      <c r="B12" s="147" t="s">
        <v>111</v>
      </c>
      <c r="C12" s="148"/>
      <c r="D12" s="148"/>
      <c r="E12" s="148"/>
      <c r="F12" s="149"/>
      <c r="G12" s="70">
        <v>233427.31891325233</v>
      </c>
      <c r="H12" s="14" t="s">
        <v>3</v>
      </c>
      <c r="I12" s="1"/>
    </row>
    <row r="13" spans="1:9" x14ac:dyDescent="0.25">
      <c r="A13" s="1"/>
      <c r="B13" s="144" t="s">
        <v>170</v>
      </c>
      <c r="C13" s="145"/>
      <c r="D13" s="145"/>
      <c r="E13" s="145"/>
      <c r="F13" s="146"/>
      <c r="G13" s="70">
        <v>19766.066925000003</v>
      </c>
      <c r="H13" s="14" t="s">
        <v>3</v>
      </c>
      <c r="I13" s="1"/>
    </row>
    <row r="14" spans="1:9" x14ac:dyDescent="0.25">
      <c r="A14" s="1"/>
      <c r="B14" s="147" t="s">
        <v>56</v>
      </c>
      <c r="C14" s="148"/>
      <c r="D14" s="148"/>
      <c r="E14" s="148"/>
      <c r="F14" s="149"/>
      <c r="G14" s="70">
        <f>SUM(G11:G13)*'Fane 15. Nøgletal'!C21</f>
        <v>1420398.6208277794</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7" t="s">
        <v>58</v>
      </c>
      <c r="C18" s="148"/>
      <c r="D18" s="148"/>
      <c r="E18" s="148"/>
      <c r="F18" s="149"/>
      <c r="G18" s="70">
        <f>(G11+G12+G13-G14)*(1+'Fane 15. Nøgletal'!C10)</f>
        <v>80207602.973492235</v>
      </c>
      <c r="H18" s="14" t="s">
        <v>3</v>
      </c>
      <c r="I18" s="1"/>
    </row>
    <row r="19" spans="1:9" x14ac:dyDescent="0.25">
      <c r="A19" s="1"/>
      <c r="B19" s="144" t="s">
        <v>59</v>
      </c>
      <c r="C19" s="145"/>
      <c r="D19" s="145"/>
      <c r="E19" s="145"/>
      <c r="F19" s="146"/>
      <c r="G19" s="70">
        <v>244981.08552265994</v>
      </c>
      <c r="H19" s="14" t="s">
        <v>3</v>
      </c>
      <c r="I19" s="1"/>
    </row>
    <row r="20" spans="1:9" x14ac:dyDescent="0.25">
      <c r="A20" s="1"/>
      <c r="B20" s="147" t="s">
        <v>60</v>
      </c>
      <c r="C20" s="148"/>
      <c r="D20" s="148"/>
      <c r="E20" s="148"/>
      <c r="F20" s="149"/>
      <c r="G20" s="70">
        <f>G18*'Fane 15. Nøgletal'!C21+G19*'Fane 15. Nøgletal'!C22</f>
        <v>1421805.9080748598</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7" t="s">
        <v>61</v>
      </c>
      <c r="C24" s="148"/>
      <c r="D24" s="148"/>
      <c r="E24" s="148"/>
      <c r="F24" s="149"/>
      <c r="G24" s="70">
        <f>G18*(1-'Fane 15. Nøgletal'!C21)*(1+'Fane 15. Nøgletal'!C10)+G19*(1-'Fane 15. Nøgletal'!C22)*(1+'Fane 15. Nøgletal'!C11)</f>
        <v>80413671.058731422</v>
      </c>
      <c r="H24" s="14" t="s">
        <v>3</v>
      </c>
      <c r="I24" s="1"/>
    </row>
    <row r="25" spans="1:9" x14ac:dyDescent="0.25">
      <c r="A25" s="1"/>
      <c r="B25" s="154" t="s">
        <v>171</v>
      </c>
      <c r="C25" s="145"/>
      <c r="D25" s="145"/>
      <c r="E25" s="145"/>
      <c r="F25" s="146"/>
      <c r="G25" s="70">
        <f>G19*(1-'Fane 15. Nøgletal'!C22)*(1+'Fane 15. Nøgletal'!C11)</f>
        <v>246953.91085494132</v>
      </c>
      <c r="H25" s="14" t="s">
        <v>3</v>
      </c>
      <c r="I25" s="1"/>
    </row>
    <row r="26" spans="1:9" x14ac:dyDescent="0.25">
      <c r="A26" s="1"/>
      <c r="B26" s="144" t="s">
        <v>62</v>
      </c>
      <c r="C26" s="145"/>
      <c r="D26" s="145"/>
      <c r="E26" s="145"/>
      <c r="F26" s="146"/>
      <c r="G26" s="70">
        <v>713288.41749139677</v>
      </c>
      <c r="H26" s="14" t="s">
        <v>3</v>
      </c>
      <c r="I26" s="1"/>
    </row>
    <row r="27" spans="1:9" x14ac:dyDescent="0.25">
      <c r="A27" s="1"/>
      <c r="B27" s="147" t="s">
        <v>63</v>
      </c>
      <c r="C27" s="148"/>
      <c r="D27" s="148"/>
      <c r="E27" s="148"/>
      <c r="F27" s="149"/>
      <c r="G27" s="70">
        <f>(G24-G25)*'Fane 15. Nøgletal'!C22+G25*'Fane 15. Nøgletal'!C23+G26*'Fane 15. Nøgletal'!C24</f>
        <v>724079.36173581914</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7" t="s">
        <v>65</v>
      </c>
      <c r="C31" s="148"/>
      <c r="D31" s="148"/>
      <c r="E31" s="148"/>
      <c r="F31" s="149"/>
      <c r="G31" s="70">
        <f>(G24-G25)*(1-'Fane 15. Nøgletal'!C21)*(1+'Fane 15. Nøgletal'!C10)+G25*(1-'Fane 15. Nøgletal'!C22)*(1+'Fane 15. Nøgletal'!C11)+G26*(1-'Fane 15. Nøgletal'!C23)*(1+'Fane 15. Nøgletal'!C12)</f>
        <v>81081478.524756193</v>
      </c>
      <c r="H31" s="14" t="s">
        <v>3</v>
      </c>
      <c r="I31" s="1"/>
    </row>
    <row r="32" spans="1:9" x14ac:dyDescent="0.25">
      <c r="A32" s="1"/>
      <c r="B32" s="154" t="s">
        <v>172</v>
      </c>
      <c r="C32" s="145"/>
      <c r="D32" s="145"/>
      <c r="E32" s="145"/>
      <c r="F32" s="146"/>
      <c r="G32" s="70">
        <f>G25*(1-'Fane 15. Nøgletal'!C22)*(1+'Fane 15. Nøgletal'!C11)</f>
        <v>248942.62329043882</v>
      </c>
      <c r="H32" s="14" t="s">
        <v>3</v>
      </c>
      <c r="I32" s="1"/>
    </row>
    <row r="33" spans="1:9" x14ac:dyDescent="0.25">
      <c r="A33" s="1"/>
      <c r="B33" s="154" t="s">
        <v>106</v>
      </c>
      <c r="C33" s="145"/>
      <c r="D33" s="145"/>
      <c r="E33" s="145"/>
      <c r="F33" s="146"/>
      <c r="G33" s="70">
        <f>G26*(1-'Fane 15. Nøgletal'!C23)*(1+'Fane 15. Nøgletal'!C12)</f>
        <v>706683.73765540356</v>
      </c>
      <c r="H33" s="14" t="s">
        <v>3</v>
      </c>
      <c r="I33" s="1"/>
    </row>
    <row r="34" spans="1:9" x14ac:dyDescent="0.25">
      <c r="A34" s="1"/>
      <c r="B34" s="147" t="s">
        <v>127</v>
      </c>
      <c r="C34" s="148"/>
      <c r="D34" s="148"/>
      <c r="E34" s="148"/>
      <c r="F34" s="149"/>
      <c r="G34" s="70">
        <v>720561.10097664001</v>
      </c>
      <c r="H34" s="14" t="s">
        <v>3</v>
      </c>
      <c r="I34" s="1"/>
    </row>
    <row r="35" spans="1:9" x14ac:dyDescent="0.25">
      <c r="A35" s="1"/>
      <c r="B35" s="147" t="s">
        <v>66</v>
      </c>
      <c r="C35" s="148"/>
      <c r="D35" s="148"/>
      <c r="E35" s="148"/>
      <c r="F35" s="149"/>
      <c r="G35" s="70">
        <f>(G31-SUM(G32:G33))*'Fane 15. Nøgletal'!C21+G32*'Fane 15. Nøgletal'!C22+G33*'Fane 15. Nøgletal'!C23+G34*'Fane 15. Nøgletal'!C24</f>
        <v>1460278.6325483413</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7" t="s">
        <v>173</v>
      </c>
      <c r="C39" s="148"/>
      <c r="D39" s="148"/>
      <c r="E39" s="148"/>
      <c r="F39" s="149"/>
      <c r="G39" s="70">
        <f>(SUM(G31,G34)-G35)*(1+'Fane 15. Nøgletal'!C14)</f>
        <v>80606888.804462001</v>
      </c>
      <c r="H39" s="14" t="s">
        <v>3</v>
      </c>
      <c r="I39" s="1"/>
    </row>
    <row r="40" spans="1:9" x14ac:dyDescent="0.25">
      <c r="A40" s="1"/>
      <c r="B40" s="147" t="s">
        <v>141</v>
      </c>
      <c r="C40" s="148"/>
      <c r="D40" s="148"/>
      <c r="E40" s="148"/>
      <c r="F40" s="149"/>
      <c r="G40" s="70">
        <v>377739.79597051005</v>
      </c>
      <c r="H40" s="14" t="s">
        <v>3</v>
      </c>
      <c r="I40" s="1"/>
    </row>
    <row r="41" spans="1:9" x14ac:dyDescent="0.25">
      <c r="A41" s="1"/>
      <c r="B41" s="147" t="s">
        <v>142</v>
      </c>
      <c r="C41" s="148"/>
      <c r="D41" s="148"/>
      <c r="E41" s="148"/>
      <c r="F41" s="149"/>
      <c r="G41" s="70">
        <f>(G39+G40)*'Fane 15. Nøgletal'!C25</f>
        <v>1198572.5032864013</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7" t="s">
        <v>67</v>
      </c>
      <c r="C45" s="148"/>
      <c r="D45" s="148"/>
      <c r="E45" s="148"/>
      <c r="F45" s="149"/>
      <c r="G45" s="70">
        <f>(G39+G40-G41)*(1+'Fane 15. Nøgletal'!C14)</f>
        <v>80049350.082266703</v>
      </c>
      <c r="H45" s="14" t="s">
        <v>3</v>
      </c>
      <c r="I45" s="1"/>
    </row>
    <row r="46" spans="1:9" x14ac:dyDescent="0.25">
      <c r="A46" s="1"/>
      <c r="B46" s="154" t="s">
        <v>243</v>
      </c>
      <c r="C46" s="155"/>
      <c r="D46" s="155"/>
      <c r="E46" s="155"/>
      <c r="F46" s="156"/>
      <c r="G46" s="73">
        <f>(SUM('Fane 2.1. Økonomisk ramme 2023'!C13,'Fane 2.1. Økonomisk ramme 2023'!C15,'Fane 2.1. Økonomisk ramme 2023'!C17))*(1+'Fane 15. Nøgletal'!C15)</f>
        <v>1523635.0739395204</v>
      </c>
      <c r="H46" s="14" t="s">
        <v>3</v>
      </c>
      <c r="I46" s="1"/>
    </row>
    <row r="47" spans="1:9" x14ac:dyDescent="0.25">
      <c r="A47" s="1"/>
      <c r="B47" s="147" t="s">
        <v>177</v>
      </c>
      <c r="C47" s="148"/>
      <c r="D47" s="148"/>
      <c r="E47" s="148"/>
      <c r="F47" s="149"/>
      <c r="G47" s="70">
        <f>G45*'Fane 15. Nøgletal'!C25+G46*'Fane 15. Nøgletal'!C26</f>
        <v>1184730.3812175472</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7" t="s">
        <v>129</v>
      </c>
      <c r="C51" s="148"/>
      <c r="D51" s="148"/>
      <c r="E51" s="148"/>
      <c r="F51" s="149"/>
      <c r="G51" s="70">
        <f>(G45+G46-G47)*(1+'Fane 15. Nøgletal'!C15)</f>
        <v>83250076.64497827</v>
      </c>
      <c r="H51" s="14" t="s">
        <v>3</v>
      </c>
      <c r="I51" s="1"/>
    </row>
    <row r="52" spans="1:9" x14ac:dyDescent="0.25">
      <c r="A52" s="1"/>
      <c r="B52" s="147" t="s">
        <v>130</v>
      </c>
      <c r="C52" s="148"/>
      <c r="D52" s="148"/>
      <c r="E52" s="148"/>
      <c r="F52" s="149"/>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7" t="s">
        <v>129</v>
      </c>
      <c r="C56" s="148"/>
      <c r="D56" s="148"/>
      <c r="E56" s="148"/>
      <c r="F56" s="149"/>
      <c r="G56" s="70">
        <f>(G51-G52)*(1+'Fane 15. Nøgletal'!C15)</f>
        <v>86213779.373539507</v>
      </c>
      <c r="H56" s="14" t="s">
        <v>3</v>
      </c>
      <c r="I56" s="1"/>
    </row>
    <row r="57" spans="1:9" x14ac:dyDescent="0.25">
      <c r="A57" s="1"/>
      <c r="B57" s="147" t="s">
        <v>174</v>
      </c>
      <c r="C57" s="148"/>
      <c r="D57" s="148"/>
      <c r="E57" s="148"/>
      <c r="F57" s="149"/>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7" t="s">
        <v>208</v>
      </c>
      <c r="C61" s="148"/>
      <c r="D61" s="148"/>
      <c r="E61" s="148"/>
      <c r="F61" s="149"/>
      <c r="G61" s="70">
        <f>(G56-G57)*(1+'Fane 15. Nøgletal'!C15)</f>
        <v>89282989.919237524</v>
      </c>
      <c r="H61" s="14" t="s">
        <v>3</v>
      </c>
      <c r="I61" s="1"/>
    </row>
    <row r="62" spans="1:9" x14ac:dyDescent="0.25">
      <c r="A62" s="1"/>
      <c r="B62" s="147" t="s">
        <v>209</v>
      </c>
      <c r="C62" s="148"/>
      <c r="D62" s="148"/>
      <c r="E62" s="148"/>
      <c r="F62" s="149"/>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AndDZC0DmCmjgoAvbjNABy4WfAkpcStZ8eHQ8CkFOkY9Zdnku3/5Jc9eAXfa/0NfbTg7AebB8bDARRVQWGzWbQ==" saltValue="gF2w1m3E3Oi0AJpZpUAQaA==" spinCount="100000" sheet="1" objects="1" scenarios="1"/>
  <mergeCells count="41">
    <mergeCell ref="B55:H55"/>
    <mergeCell ref="B45:F45"/>
    <mergeCell ref="B56:F56"/>
    <mergeCell ref="B57:F57"/>
    <mergeCell ref="B46:F46"/>
    <mergeCell ref="B51:F51"/>
    <mergeCell ref="B52:F52"/>
    <mergeCell ref="B50:H50"/>
    <mergeCell ref="B47:F47"/>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7" t="s">
        <v>143</v>
      </c>
      <c r="C9" s="148"/>
      <c r="D9" s="148"/>
      <c r="E9" s="148"/>
      <c r="F9" s="149"/>
      <c r="G9" s="98">
        <v>0</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Whh+/uWb63e1mpKdO7fy9Savkuw9ivr3rsZ6tppYWiInjlXgYFbcPcUKmxLSyhYUkd0r1ryvNp2/EdNQMCYNRw==" saltValue="qntYEkgX628BwLzpP93m6Q=="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2022-12-01T08:29:37Z</dcterms:modified>
</cp:coreProperties>
</file>