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jørring Vandselskab AS (S04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2" i="2" l="1"/>
  <c r="E24" i="32" l="1"/>
  <c r="E32" i="32" s="1"/>
  <c r="E34" i="32" s="1"/>
  <c r="C20" i="23" l="1"/>
  <c r="C20" i="22"/>
  <c r="C20" i="15"/>
  <c r="E28" i="32"/>
  <c r="C32" i="2" s="1"/>
  <c r="C13" i="19"/>
  <c r="E34" i="27" l="1"/>
  <c r="C22" i="23"/>
  <c r="C22" i="22"/>
  <c r="C22" i="15"/>
  <c r="C36" i="2"/>
  <c r="G18" i="41" l="1"/>
  <c r="E11" i="37"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<sst xmlns="http://schemas.openxmlformats.org/spreadsheetml/2006/main" count="605" uniqueCount="288">
  <si>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</si>
  <si>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</si>
  <si>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</si>
  <si>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</si>
  <si>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</si>
  <si>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</si>
  <si>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</si>
  <si>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</si>
  <si>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</si>
  <si>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</si>
  <si>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</si>
  <si>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</si>
  <si>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</si>
  <si>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</si>
  <si>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</si>
  <si>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</si>
  <si>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</si>
  <si>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</si>
  <si>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</si>
  <si>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</si>
  <si>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</si>
  <si>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</si>
  <si>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</si>
  <si>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</si>
  <si>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</si>
  <si>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</si>
  <si>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</si>
  <si>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</si>
  <si>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</si>
  <si>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</si>
  <si>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</si>
  <si>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</si>
  <si>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</si>
  <si>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</si>
  <si>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</si>
  <si>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</si>
  <si>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</si>
  <si>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</si>
  <si>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</si>
  <si>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</si>
  <si>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</si>
  <si>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</si>
  <si>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</si>
  <si>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</si>
  <si>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</si>
  <si>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</si>
  <si>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</si>
  <si>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</si>
  <si>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</si>
  <si>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</si>
  <si>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</si>
  <si>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</si>
  <si>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</si>
  <si>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</si>
  <si>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</si>
  <si>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</si>
  <si>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</si>
  <si>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</si>
  <si>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</si>
  <si>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</si>
  <si>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</si>
  <si>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</si>
  <si>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</si>
  <si>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</si>
  <si>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</si>
  <si>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</si>
  <si>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</si>
  <si>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</si>
  <si>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</si>
  <si>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</si>
  <si>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</si>
  <si>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</si>
  <si>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</si>
  <si>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</si>
  <si>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</si>
  <si>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</si>
  <si>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</si>
  <si>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</si>
  <si>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</si>
  <si>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</si>
  <si>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</si>
  <si>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</si>
  <si>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</si>
  <si>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</si>
  <si>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</si>
  <si>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</si>
  <si>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</si>
  <si>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</si>
  <si>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</si>
  <si>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</si>
  <si>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</si>
  <si>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</si>
  <si>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</si>
  <si>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</si>
  <si>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</si>
  <si>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</si>
  <si>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</si>
  <si>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</si>
  <si>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</si>
  <si>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</si>
  <si>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</si>
  <si>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</si>
  <si>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</si>
  <si>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</si>
  <si>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</si>
  <si>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</si>
  <si>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</si>
  <si>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</si>
  <si>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</si>
  <si>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</si>
  <si>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</si>
  <si>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</si>
  <si>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</si>
  <si>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</si>
  <si>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</si>
  <si>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</si>
  <si>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</si>
  <si>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</si>
  <si>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</si>
  <si>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</si>
  <si>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</si>
  <si>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</si>
  <si>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</si>
  <si>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</si>
  <si>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</si>
  <si>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</si>
  <si>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</si>
  <si>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</si>
  <si>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</si>
  <si>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</si>
  <si>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</si>
  <si>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</si>
  <si>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</si>
  <si>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</si>
  <si>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</si>
  <si>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</si>
  <si>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</si>
  <si>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</si>
  <si>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</si>
  <si>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</si>
  <si>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</si>
  <si>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</si>
  <si>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</si>
  <si>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</si>
  <si>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</si>
  <si>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</si>
  <si>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</si>
  <si>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</si>
  <si>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</si>
  <si>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</si>
  <si>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</si>
  <si>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</si>
  <si>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</si>
  <si>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</si>
  <si>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</si>
  <si>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</si>
  <si>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</si>
  <si>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</si>
  <si>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</si>
  <si>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</si>
  <si>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</si>
  <si>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</si>
  <si>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</si>
  <si>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</si>
  <si>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</si>
  <si>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</si>
  <si>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</si>
  <si>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</si>
  <si>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</si>
  <si>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</si>
  <si>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</si>
  <si>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</si>
  <si>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</si>
  <si>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</si>
  <si>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</si>
  <si>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</si>
  <si>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</si>
  <si>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</si>
  <si>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</si>
  <si>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</si>
  <si>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</si>
  <si>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</si>
  <si>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</si>
  <si>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</si>
  <si>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</si>
  <si>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</si>
  <si>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</si>
  <si>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</si>
  <si>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</si>
  <si>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</si>
  <si>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</si>
  <si>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</si>
  <si>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</si>
  <si>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</si>
  <si>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</si>
  <si>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</si>
  <si>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</si>
  <si>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</si>
  <si>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</si>
  <si>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</si>
  <si>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</si>
  <si>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</si>
  <si>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</si>
  <si>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</si>
  <si>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</si>
  <si>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</si>
  <si>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</si>
  <si>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</si>
  <si>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</si>
  <si>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</si>
  <si>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</si>
  <si>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</si>
  <si>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</si>
  <si>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</si>
  <si>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</si>
  <si>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</si>
  <si>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</si>
  <si>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</si>
  <si>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</si>
  <si>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</si>
  <si>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</si>
  <si>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</si>
  <si>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</si>
  <si>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</si>
  <si>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</si>
  <si>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</si>
  <si>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</si>
  <si>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</si>
  <si>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</si>
  <si>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</si>
  <si>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</si>
  <si>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</si>
  <si>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</si>
  <si>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</si>
  <si>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</si>
  <si>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</si>
  <si>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</si>
  <si>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</si>
  <si>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</si>
  <si>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</si>
  <si>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</si>
  <si>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</si>
  <si>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</si>
  <si>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</si>
  <si>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</si>
  <si>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</si>
  <si>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</si>
  <si>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</si>
  <si>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</si>
  <si>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</si>
  <si>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</si>
  <si>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</si>
  <si>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</si>
  <si>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</si>
  <si>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</si>
  <si>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</si>
  <si>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</si>
  <si>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</si>
  <si>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</si>
  <si>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</si>
  <si>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</si>
  <si>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</si>
  <si>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</si>
  <si>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</si>
  <si>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</si>
  <si>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</si>
  <si>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</si>
  <si>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</si>
  <si>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</si>
  <si>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</si>
  <si>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</si>
  <si>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</si>
  <si>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</si>
  <si>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</si>
  <si>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</si>
  <si>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</si>
  <si>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Resultat af kontrol med overholdelse af den økonomiske ramme for 2021</t>
  </si>
  <si>
    <t>Ingen tilknyttet virksomhed under hovedvirksomheden</t>
  </si>
  <si>
    <t>Ingen anlægsprojekter</t>
  </si>
  <si>
    <t>Indregnet fradrag i økonomisk ramme for 2022</t>
  </si>
  <si>
    <t>Indregnet fradrag i økonomisk ramme for 2023</t>
  </si>
  <si>
    <t>Korrektion af fradrag i den økonomiske ramme for 2023</t>
  </si>
  <si>
    <t>Tillæg/fradrag i den økonnomiske ramme for 2023</t>
  </si>
  <si>
    <t>Byggemodninger og nye tilslutninger</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</si>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</sst>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1"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7" fillId="3" borderId="1"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261</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acxs2EVIiK6kBtCCfHwBtbqcoDF+UMD1l+xkbFgQbnm2qnF5jzwM3Yr5Iykxfz0RaPouhdKcubnaOwQOjUHrzQ==" saltValue="tbo04To+JApKtXyCp499v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7" t="s">
        <v>240</v>
      </c>
      <c r="D9" s="11"/>
      <c r="E9" s="1"/>
      <c r="F9" s="1"/>
    </row>
    <row r="10" spans="1:6" x14ac:dyDescent="0.25">
      <c r="A10" s="1"/>
      <c r="B10" s="93" t="s">
        <v>273</v>
      </c>
      <c r="C10" s="9">
        <v>1646244</v>
      </c>
      <c r="D10" s="14" t="s">
        <v>3</v>
      </c>
      <c r="E10" s="1"/>
      <c r="F10" s="1"/>
    </row>
    <row r="11" spans="1:6" x14ac:dyDescent="0.25">
      <c r="A11" s="1"/>
      <c r="B11" s="93" t="s">
        <v>274</v>
      </c>
      <c r="C11" s="9">
        <v>114421</v>
      </c>
      <c r="D11" s="14" t="s">
        <v>3</v>
      </c>
      <c r="E11" s="1"/>
      <c r="F11" s="1"/>
    </row>
    <row r="12" spans="1:6" x14ac:dyDescent="0.25">
      <c r="A12" s="1"/>
      <c r="B12" s="93" t="s">
        <v>275</v>
      </c>
      <c r="C12" s="9">
        <v>503543</v>
      </c>
      <c r="D12" s="14" t="s">
        <v>3</v>
      </c>
      <c r="E12" s="1"/>
      <c r="F12" s="1"/>
    </row>
    <row r="13" spans="1:6" x14ac:dyDescent="0.25">
      <c r="A13" s="1"/>
      <c r="B13" s="32" t="s">
        <v>200</v>
      </c>
      <c r="C13" s="12">
        <f>SUM(C10:C12)</f>
        <v>2264208</v>
      </c>
      <c r="D13" s="13" t="s">
        <v>3</v>
      </c>
      <c r="E13" s="1"/>
      <c r="F13" s="1"/>
    </row>
    <row r="14" spans="1:6" x14ac:dyDescent="0.25">
      <c r="A14" s="1"/>
      <c r="B14" s="32" t="s">
        <v>201</v>
      </c>
      <c r="C14" s="12">
        <f>C13*(1+'Fane 15. Nøgletal'!C15)^2</f>
        <v>2428289.1762508801</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1" t="s">
        <v>117</v>
      </c>
      <c r="C17" s="132"/>
      <c r="D17" s="133"/>
      <c r="E17" s="1"/>
      <c r="F17" s="1"/>
    </row>
    <row r="18" spans="1:6" x14ac:dyDescent="0.25">
      <c r="A18" s="1"/>
      <c r="B18" s="93" t="s">
        <v>99</v>
      </c>
      <c r="C18" s="9">
        <v>0</v>
      </c>
      <c r="D18" s="14" t="s">
        <v>3</v>
      </c>
      <c r="E18" s="1"/>
      <c r="F18" s="1"/>
    </row>
    <row r="19" spans="1:6" x14ac:dyDescent="0.25">
      <c r="A19" s="1"/>
      <c r="B19" s="93" t="s">
        <v>129</v>
      </c>
      <c r="C19" s="9">
        <v>0</v>
      </c>
      <c r="D19" s="14" t="s">
        <v>3</v>
      </c>
      <c r="E19" s="1"/>
      <c r="F19" s="1"/>
    </row>
    <row r="20" spans="1:6" x14ac:dyDescent="0.25">
      <c r="A20" s="1"/>
      <c r="B20" s="93" t="s">
        <v>155</v>
      </c>
      <c r="C20" s="9">
        <v>0</v>
      </c>
      <c r="D20" s="14" t="s">
        <v>3</v>
      </c>
      <c r="E20" s="1"/>
      <c r="F20" s="1"/>
    </row>
    <row r="21" spans="1:6" x14ac:dyDescent="0.25">
      <c r="A21" s="1"/>
      <c r="B21" s="33" t="s">
        <v>202</v>
      </c>
      <c r="C21" s="9">
        <v>0</v>
      </c>
      <c r="D21" s="40" t="s">
        <v>3</v>
      </c>
      <c r="E21" s="1"/>
      <c r="F21" s="1"/>
    </row>
    <row r="22" spans="1:6" x14ac:dyDescent="0.25">
      <c r="A22" s="1"/>
      <c r="B22" s="131"/>
      <c r="C22" s="132"/>
      <c r="D22" s="133"/>
      <c r="E22" s="1"/>
      <c r="F22" s="1"/>
    </row>
    <row r="23" spans="1:6" x14ac:dyDescent="0.25">
      <c r="A23" s="1"/>
      <c r="B23" s="1"/>
      <c r="C23" s="1"/>
      <c r="D23" s="1"/>
      <c r="E23" s="1"/>
      <c r="F23" s="1"/>
    </row>
    <row r="24" spans="1:6" x14ac:dyDescent="0.25">
      <c r="A24" s="1"/>
      <c r="B24" s="1"/>
      <c r="C24" s="1"/>
      <c r="D24" s="1"/>
      <c r="E24" s="1"/>
      <c r="F24" s="1"/>
    </row>
    <row r="25" spans="1:6" x14ac:dyDescent="0.25">
      <c r="A25" s="1"/>
      <c r="B25" s="131" t="s">
        <v>98</v>
      </c>
      <c r="C25" s="132"/>
      <c r="D25" s="133"/>
      <c r="E25" s="1"/>
      <c r="F25" s="1"/>
    </row>
    <row r="26" spans="1:6" x14ac:dyDescent="0.25">
      <c r="A26" s="1"/>
      <c r="B26" s="93" t="s">
        <v>99</v>
      </c>
      <c r="C26" s="9">
        <v>0</v>
      </c>
      <c r="D26" s="14" t="s">
        <v>3</v>
      </c>
      <c r="E26" s="1"/>
      <c r="F26" s="1"/>
    </row>
    <row r="27" spans="1:6" x14ac:dyDescent="0.25">
      <c r="A27" s="1"/>
      <c r="B27" s="93" t="s">
        <v>129</v>
      </c>
      <c r="C27" s="9">
        <v>0</v>
      </c>
      <c r="D27" s="14" t="s">
        <v>3</v>
      </c>
      <c r="E27" s="1"/>
      <c r="F27" s="1"/>
    </row>
    <row r="28" spans="1:6" x14ac:dyDescent="0.25">
      <c r="A28" s="1"/>
      <c r="B28" s="93" t="s">
        <v>155</v>
      </c>
      <c r="C28" s="9">
        <v>0</v>
      </c>
      <c r="D28" s="14" t="s">
        <v>3</v>
      </c>
      <c r="E28" s="1"/>
      <c r="F28" s="1"/>
    </row>
    <row r="29" spans="1:6" x14ac:dyDescent="0.25">
      <c r="A29" s="1"/>
      <c r="B29" s="33" t="s">
        <v>202</v>
      </c>
      <c r="C29" s="9">
        <v>0</v>
      </c>
      <c r="D29" s="40" t="s">
        <v>3</v>
      </c>
      <c r="E29" s="1"/>
      <c r="F29" s="1"/>
    </row>
    <row r="30" spans="1:6" x14ac:dyDescent="0.25">
      <c r="A30" s="1"/>
      <c r="B30" s="131"/>
      <c r="C30" s="132"/>
      <c r="D30" s="133"/>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8"/>
      <c r="B47" s="48"/>
      <c r="C47" s="48"/>
      <c r="D47" s="48"/>
      <c r="E47" s="48"/>
      <c r="F47" s="48"/>
    </row>
    <row r="48" spans="1:6" x14ac:dyDescent="0.25">
      <c r="A48" s="48"/>
      <c r="B48" s="48"/>
      <c r="C48" s="48"/>
      <c r="D48" s="48"/>
      <c r="E48" s="48"/>
      <c r="F48" s="48"/>
    </row>
    <row r="49" spans="1:6" x14ac:dyDescent="0.25">
      <c r="A49" s="48"/>
      <c r="B49" s="48"/>
      <c r="C49" s="48"/>
      <c r="D49" s="48"/>
      <c r="E49" s="48"/>
      <c r="F49" s="48"/>
    </row>
    <row r="50" spans="1:6" x14ac:dyDescent="0.25">
      <c r="A50" s="48"/>
      <c r="B50" s="48"/>
      <c r="C50" s="48"/>
      <c r="D50" s="48"/>
      <c r="E50" s="48"/>
      <c r="F50" s="48"/>
    </row>
  </sheetData>
  <sheetProtection algorithmName="SHA-512" hashValue="Zw+NtrblFPK8IcX/W4BLezifEwY177o+qbj98JBmeCfsAi1nGTTnJwnW+VfN7ZwOgnjGRFCku7jiKVQCl8aYTA==" saltValue="aBx/eSR8SgzPBmQIGv/9gg=="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2.85546875" style="2" customWidth="1"/>
    <col min="5" max="5" width="15.4257812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89"/>
      <c r="C5" s="89"/>
      <c r="D5" s="89"/>
      <c r="E5" s="89"/>
      <c r="F5" s="89"/>
      <c r="G5" s="1"/>
    </row>
    <row r="6" spans="1:7" ht="15" customHeight="1" x14ac:dyDescent="0.25">
      <c r="A6" s="1"/>
      <c r="B6" s="89"/>
      <c r="C6" s="89"/>
      <c r="D6" s="89"/>
      <c r="E6" s="89"/>
      <c r="F6" s="89"/>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161823.96674853563</v>
      </c>
      <c r="F9" s="14" t="s">
        <v>3</v>
      </c>
      <c r="G9" s="1"/>
    </row>
    <row r="10" spans="1:7" x14ac:dyDescent="0.25">
      <c r="A10" s="1"/>
      <c r="B10" s="136" t="s">
        <v>271</v>
      </c>
      <c r="C10" s="137"/>
      <c r="D10" s="138"/>
      <c r="E10" s="9">
        <v>161823.96674853563</v>
      </c>
      <c r="F10" s="14" t="s">
        <v>3</v>
      </c>
      <c r="G10" s="1"/>
    </row>
    <row r="11" spans="1:7" x14ac:dyDescent="0.25">
      <c r="A11" s="1"/>
      <c r="B11" s="32"/>
      <c r="C11" s="27"/>
      <c r="D11" s="27"/>
      <c r="E11" s="27"/>
      <c r="F11" s="19"/>
      <c r="G11" s="1"/>
    </row>
    <row r="12" spans="1:7" ht="83.25" customHeight="1" x14ac:dyDescent="0.25">
      <c r="A12" s="1"/>
      <c r="B12" s="121" t="s">
        <v>286</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279</v>
      </c>
      <c r="C15" s="137"/>
      <c r="D15" s="138"/>
      <c r="E15" s="9">
        <v>0</v>
      </c>
      <c r="F15" s="14" t="s">
        <v>3</v>
      </c>
      <c r="G15" s="1"/>
    </row>
    <row r="16" spans="1:7" x14ac:dyDescent="0.25">
      <c r="A16" s="1"/>
      <c r="B16" s="136" t="s">
        <v>280</v>
      </c>
      <c r="C16" s="137"/>
      <c r="D16" s="138"/>
      <c r="E16" s="9">
        <v>0</v>
      </c>
      <c r="F16" s="14" t="s">
        <v>3</v>
      </c>
      <c r="G16" s="1"/>
    </row>
    <row r="17" spans="1:7" x14ac:dyDescent="0.25">
      <c r="A17" s="1"/>
      <c r="B17" s="32"/>
      <c r="C17" s="27"/>
      <c r="D17" s="27"/>
      <c r="E17" s="27"/>
      <c r="F17" s="19"/>
      <c r="G17" s="1"/>
    </row>
    <row r="18" spans="1:7" ht="31.5" customHeight="1" x14ac:dyDescent="0.25">
      <c r="A18" s="1"/>
      <c r="B18" s="121" t="s">
        <v>287</v>
      </c>
      <c r="C18" s="122"/>
      <c r="D18" s="122"/>
      <c r="E18" s="122"/>
      <c r="F18" s="123"/>
      <c r="G18" s="1"/>
    </row>
    <row r="19" spans="1:7" ht="28.5" customHeight="1" x14ac:dyDescent="0.25">
      <c r="A19" s="1"/>
      <c r="B19" s="1"/>
      <c r="C19" s="1"/>
      <c r="D19" s="1"/>
      <c r="E19" s="1"/>
      <c r="F19" s="1"/>
      <c r="G19" s="1"/>
    </row>
    <row r="20" spans="1:7" ht="28.5" customHeight="1" x14ac:dyDescent="0.25">
      <c r="A20" s="1"/>
      <c r="B20" s="84" t="s">
        <v>205</v>
      </c>
      <c r="C20" s="85"/>
      <c r="D20" s="85"/>
      <c r="E20" s="85"/>
      <c r="F20" s="86"/>
      <c r="G20" s="1"/>
    </row>
    <row r="21" spans="1:7" x14ac:dyDescent="0.25">
      <c r="A21" s="1"/>
      <c r="B21" s="90" t="s">
        <v>206</v>
      </c>
      <c r="C21" s="91"/>
      <c r="D21" s="92"/>
      <c r="E21" s="9">
        <v>138047725.79358247</v>
      </c>
      <c r="F21" s="14" t="s">
        <v>3</v>
      </c>
      <c r="G21" s="1"/>
    </row>
    <row r="22" spans="1:7" x14ac:dyDescent="0.25">
      <c r="A22" s="1"/>
      <c r="B22" s="90" t="s">
        <v>207</v>
      </c>
      <c r="C22" s="91"/>
      <c r="D22" s="92"/>
      <c r="E22" s="9">
        <v>143804708</v>
      </c>
      <c r="F22" s="14" t="s">
        <v>3</v>
      </c>
      <c r="G22" s="1"/>
    </row>
    <row r="23" spans="1:7" x14ac:dyDescent="0.25">
      <c r="A23" s="1"/>
      <c r="B23" s="90" t="s">
        <v>33</v>
      </c>
      <c r="C23" s="91"/>
      <c r="D23" s="92"/>
      <c r="E23" s="9">
        <v>500000</v>
      </c>
      <c r="F23" s="14" t="s">
        <v>3</v>
      </c>
      <c r="G23" s="1"/>
    </row>
    <row r="24" spans="1:7" x14ac:dyDescent="0.25">
      <c r="A24" s="1"/>
      <c r="B24" s="87" t="s">
        <v>276</v>
      </c>
      <c r="C24" s="88"/>
      <c r="D24" s="95"/>
      <c r="E24" s="71">
        <f>E21-(E22-E23)</f>
        <v>-5256982.2064175308</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281</v>
      </c>
      <c r="C27" s="132"/>
      <c r="D27" s="132"/>
      <c r="E27" s="132"/>
      <c r="F27" s="133"/>
      <c r="G27" s="1"/>
    </row>
    <row r="28" spans="1:7" x14ac:dyDescent="0.25">
      <c r="A28" s="1"/>
      <c r="B28" s="134" t="s">
        <v>282</v>
      </c>
      <c r="C28" s="135"/>
      <c r="D28" s="151"/>
      <c r="E28" s="72">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272</v>
      </c>
      <c r="C31" s="132"/>
      <c r="D31" s="132"/>
      <c r="E31" s="132"/>
      <c r="F31" s="133"/>
      <c r="G31" s="1"/>
    </row>
    <row r="32" spans="1:7" x14ac:dyDescent="0.25">
      <c r="A32" s="1"/>
      <c r="B32" s="152" t="s">
        <v>143</v>
      </c>
      <c r="C32" s="153"/>
      <c r="D32" s="154"/>
      <c r="E32" s="73">
        <f>IF(AND(E9&gt;0,(E9+E24)&gt;0),0,IF(AND(E9&gt;0,(E9+E24)&lt;0),(E9+E24),IF(AND(E9&lt;0,E24&lt;0),E24,0)))</f>
        <v>-5095158.2396689951</v>
      </c>
      <c r="F32" s="14" t="s">
        <v>3</v>
      </c>
      <c r="G32" s="1"/>
    </row>
    <row r="33" spans="1:7" x14ac:dyDescent="0.25">
      <c r="A33" s="1"/>
      <c r="B33" s="152" t="s">
        <v>102</v>
      </c>
      <c r="C33" s="153"/>
      <c r="D33" s="154"/>
      <c r="E33" s="9">
        <v>4</v>
      </c>
      <c r="F33" s="14" t="s">
        <v>20</v>
      </c>
      <c r="G33" s="1"/>
    </row>
    <row r="34" spans="1:7" x14ac:dyDescent="0.25">
      <c r="A34" s="1"/>
      <c r="B34" s="155" t="s">
        <v>144</v>
      </c>
      <c r="C34" s="155"/>
      <c r="D34" s="155"/>
      <c r="E34" s="72">
        <f>E32/E33</f>
        <v>-1273789.5599172488</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Jv85wMF0o/RD/BfQNIZiRLrzhBvNO6UV9cxlUWzPyP5fjKnBBCtf0Jqjn8cB4Wq3sk4D+eNTFP20YAlO4se7qA==" saltValue="zrjVaeVhvS+TqDE3NesVVw==" spinCount="100000" sheet="1" objects="1" scenarios="1"/>
  <mergeCells count="17">
    <mergeCell ref="B15:D15"/>
    <mergeCell ref="B16:D16"/>
    <mergeCell ref="B32:D32"/>
    <mergeCell ref="B29:F29"/>
    <mergeCell ref="B18:F18"/>
    <mergeCell ref="B27:F27"/>
    <mergeCell ref="B3:F4"/>
    <mergeCell ref="B8:F8"/>
    <mergeCell ref="B9:D9"/>
    <mergeCell ref="B10:D10"/>
    <mergeCell ref="B14:F14"/>
    <mergeCell ref="B12:F12"/>
    <mergeCell ref="B28:D28"/>
    <mergeCell ref="B31:F31"/>
    <mergeCell ref="B33:D33"/>
    <mergeCell ref="B34:D34"/>
    <mergeCell ref="B35:F3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8" customWidth="1"/>
    <col min="2" max="2" width="22.5703125" style="68" customWidth="1"/>
    <col min="3" max="3" width="8.28515625" style="68" customWidth="1"/>
    <col min="4" max="6" width="10.7109375" style="68" customWidth="1"/>
    <col min="7" max="7" width="11.140625" style="68" customWidth="1"/>
    <col min="8" max="8" width="3.28515625" style="68" customWidth="1"/>
    <col min="9" max="9" width="4.85546875" style="68" customWidth="1"/>
    <col min="10" max="16384" width="9.140625" style="6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270</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252</v>
      </c>
      <c r="C10" s="160"/>
      <c r="D10" s="160"/>
      <c r="E10" s="160"/>
      <c r="F10" s="161"/>
      <c r="G10" s="9">
        <v>-3792537</v>
      </c>
      <c r="H10" s="9" t="s">
        <v>3</v>
      </c>
      <c r="I10" s="1"/>
    </row>
    <row r="11" spans="1:9" x14ac:dyDescent="0.25">
      <c r="A11" s="1"/>
      <c r="B11" s="159" t="s">
        <v>253</v>
      </c>
      <c r="C11" s="160"/>
      <c r="D11" s="160"/>
      <c r="E11" s="160"/>
      <c r="F11" s="161"/>
      <c r="G11" s="9">
        <v>-3792536.8333333302</v>
      </c>
      <c r="H11" s="9" t="s">
        <v>3</v>
      </c>
      <c r="I11" s="1"/>
    </row>
    <row r="12" spans="1:9" x14ac:dyDescent="0.25">
      <c r="A12" s="1"/>
      <c r="B12" s="159" t="s">
        <v>254</v>
      </c>
      <c r="C12" s="160"/>
      <c r="D12" s="160"/>
      <c r="E12" s="160"/>
      <c r="F12" s="161"/>
      <c r="G12" s="9">
        <v>-3792536.8333333302</v>
      </c>
      <c r="H12" s="9" t="s">
        <v>3</v>
      </c>
      <c r="I12" s="1"/>
    </row>
    <row r="13" spans="1:9" x14ac:dyDescent="0.25">
      <c r="A13" s="1"/>
      <c r="B13" s="159" t="s">
        <v>255</v>
      </c>
      <c r="C13" s="160"/>
      <c r="D13" s="160"/>
      <c r="E13" s="160"/>
      <c r="F13" s="161"/>
      <c r="G13" s="9">
        <v>-3792536.8333333302</v>
      </c>
      <c r="H13" s="9" t="s">
        <v>3</v>
      </c>
      <c r="I13" s="1"/>
    </row>
    <row r="14" spans="1:9" x14ac:dyDescent="0.25">
      <c r="A14" s="1"/>
      <c r="B14" s="159" t="s">
        <v>256</v>
      </c>
      <c r="C14" s="160"/>
      <c r="D14" s="160"/>
      <c r="E14" s="160"/>
      <c r="F14" s="161"/>
      <c r="G14" s="9">
        <v>-3792536.8333333302</v>
      </c>
      <c r="H14" s="9" t="s">
        <v>3</v>
      </c>
      <c r="I14" s="1"/>
    </row>
    <row r="15" spans="1:9" x14ac:dyDescent="0.25">
      <c r="A15" s="1"/>
      <c r="B15" s="159" t="s">
        <v>257</v>
      </c>
      <c r="C15" s="160"/>
      <c r="D15" s="160"/>
      <c r="E15" s="160"/>
      <c r="F15" s="161"/>
      <c r="G15" s="9">
        <v>-3792536.8333333302</v>
      </c>
      <c r="H15" s="9" t="s">
        <v>3</v>
      </c>
      <c r="I15" s="1"/>
    </row>
    <row r="16" spans="1:9" x14ac:dyDescent="0.25">
      <c r="A16" s="1"/>
      <c r="B16" s="159" t="s">
        <v>258</v>
      </c>
      <c r="C16" s="160"/>
      <c r="D16" s="160"/>
      <c r="E16" s="160"/>
      <c r="F16" s="161"/>
      <c r="G16" s="9">
        <v>0</v>
      </c>
      <c r="H16" s="9" t="s">
        <v>3</v>
      </c>
      <c r="I16" s="1"/>
    </row>
    <row r="17" spans="1:9" x14ac:dyDescent="0.25">
      <c r="A17" s="1"/>
      <c r="B17" s="159" t="s">
        <v>259</v>
      </c>
      <c r="C17" s="160"/>
      <c r="D17" s="160"/>
      <c r="E17" s="160"/>
      <c r="F17" s="161"/>
      <c r="G17" s="9">
        <v>0</v>
      </c>
      <c r="H17" s="9" t="s">
        <v>3</v>
      </c>
      <c r="I17" s="1"/>
    </row>
    <row r="18" spans="1:9" x14ac:dyDescent="0.25">
      <c r="A18" s="1"/>
      <c r="B18" s="131" t="s">
        <v>260</v>
      </c>
      <c r="C18" s="132"/>
      <c r="D18" s="132"/>
      <c r="E18" s="132"/>
      <c r="F18" s="133"/>
      <c r="G18" s="12">
        <f>SUM(G10:G17)</f>
        <v>-22755221.166666649</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XxwUTj/vtAqx0z36g3zyyWP/PaS9RHpvkoB83yHGrVu8euQEx4ItNofCoGn3vx0XfAn/e+1CCJgiApgjA5nVg==" saltValue="Ya+519uE4xGXj9aux5QHoA=="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262</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1"/>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0</v>
      </c>
      <c r="F14" s="8" t="s">
        <v>3</v>
      </c>
      <c r="G14" s="1"/>
    </row>
    <row r="15" spans="1:7" x14ac:dyDescent="0.25">
      <c r="A15" s="1"/>
      <c r="B15" s="121" t="s">
        <v>211</v>
      </c>
      <c r="C15" s="122"/>
      <c r="D15" s="123"/>
      <c r="E15" s="9">
        <v>0</v>
      </c>
      <c r="F15" s="8" t="s">
        <v>3</v>
      </c>
      <c r="G15" s="1"/>
    </row>
    <row r="16" spans="1:7" x14ac:dyDescent="0.25">
      <c r="A16" s="1"/>
      <c r="B16" s="134" t="s">
        <v>101</v>
      </c>
      <c r="C16" s="135"/>
      <c r="D16" s="151"/>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ehx0y691t3xJWxoXOlS5dN8XcFsX46TlHHBf/WgEe/i7xX43co3KyAsYQiPY4TfPygiuF3QW7Epv5AQemkVSw==" saltValue="aSDDM0j6V/DoCYP0JghGM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263</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278</v>
      </c>
      <c r="C10" s="41">
        <v>0</v>
      </c>
      <c r="D10" s="9">
        <v>0</v>
      </c>
      <c r="E10" s="14" t="s">
        <v>3</v>
      </c>
      <c r="F10" s="9">
        <f>IFERROR(D10/C10,0)</f>
        <v>0</v>
      </c>
      <c r="G10" s="14" t="s">
        <v>3</v>
      </c>
      <c r="H10" s="44">
        <v>0</v>
      </c>
      <c r="I10" s="14" t="s">
        <v>3</v>
      </c>
      <c r="J10" s="44">
        <v>0</v>
      </c>
      <c r="K10" s="14" t="s">
        <v>3</v>
      </c>
      <c r="L10" s="1"/>
    </row>
    <row r="11" spans="1:12" x14ac:dyDescent="0.25">
      <c r="A11" s="1"/>
      <c r="B11" s="84" t="s">
        <v>220</v>
      </c>
      <c r="C11" s="85"/>
      <c r="D11" s="86"/>
      <c r="E11" s="86"/>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Wg5u+CjPe8f325FWZH5BCgfrZQ4qWzER4MFxr19+vNyG/Gu5XTgIO6qArH8mQclkpiEmld9B/sXrpmXuOpYPvQ==" saltValue="wvBGG25XGgbI0B8jlT7fP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264</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2" t="s">
        <v>17</v>
      </c>
      <c r="C9" s="82" t="s">
        <v>11</v>
      </c>
      <c r="D9" s="83"/>
      <c r="E9" s="82"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283</v>
      </c>
      <c r="C11" s="21">
        <v>496800</v>
      </c>
      <c r="D11" s="14" t="s">
        <v>3</v>
      </c>
      <c r="E11" s="9">
        <f>117603+353693</f>
        <v>471296</v>
      </c>
      <c r="F11" s="14" t="s">
        <v>3</v>
      </c>
      <c r="G11" s="1"/>
    </row>
    <row r="12" spans="1:7" x14ac:dyDescent="0.25">
      <c r="A12" s="1"/>
      <c r="B12" s="32" t="s">
        <v>156</v>
      </c>
      <c r="C12" s="12">
        <f>SUM(C10:C11)</f>
        <v>496800</v>
      </c>
      <c r="D12" s="13" t="s">
        <v>3</v>
      </c>
      <c r="E12" s="12">
        <f>SUM(E10:E11)</f>
        <v>471296</v>
      </c>
      <c r="F12" s="13" t="s">
        <v>3</v>
      </c>
      <c r="G12" s="1"/>
    </row>
    <row r="13" spans="1:7" x14ac:dyDescent="0.25">
      <c r="A13" s="1"/>
      <c r="B13" s="32" t="s">
        <v>213</v>
      </c>
      <c r="C13" s="12">
        <f>C12*(1+'Fane 15. Nøgletal'!C15)</f>
        <v>514486.08</v>
      </c>
      <c r="D13" s="13" t="s">
        <v>3</v>
      </c>
      <c r="E13" s="12">
        <f>E12*(1+'Fane 15. Nøgletal'!C15)</f>
        <v>488074.13760000002</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pYl4oH0gflwjrCitnMM4oGQGOgpkArvY8W3LxvzwCb3NeMeB9IPV7ivn4G0ldvxY2RtQUvypWKcoQP4AAP16w==" saltValue="ZJDK5IFIgJoGQ/0KzRbhu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265</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2" t="s">
        <v>17</v>
      </c>
      <c r="C9" s="82" t="s">
        <v>11</v>
      </c>
      <c r="D9" s="83"/>
      <c r="E9" s="82" t="s">
        <v>31</v>
      </c>
      <c r="F9" s="31"/>
      <c r="G9" s="1"/>
    </row>
    <row r="10" spans="1:7" x14ac:dyDescent="0.25">
      <c r="A10" s="1"/>
      <c r="B10" s="23" t="s">
        <v>284</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59"/>
      <c r="C15" s="59"/>
      <c r="D15" s="59"/>
      <c r="E15" s="59"/>
      <c r="F15" s="60"/>
      <c r="G15" s="1"/>
    </row>
    <row r="16" spans="1:7" x14ac:dyDescent="0.25">
      <c r="A16" s="1"/>
      <c r="B16" s="61"/>
      <c r="C16" s="62"/>
      <c r="D16" s="63"/>
      <c r="E16" s="64"/>
      <c r="F16" s="63"/>
      <c r="G16" s="1"/>
    </row>
    <row r="17" spans="1:7" x14ac:dyDescent="0.25">
      <c r="A17" s="1"/>
      <c r="B17" s="61"/>
      <c r="C17" s="62"/>
      <c r="D17" s="63"/>
      <c r="E17" s="64"/>
      <c r="F17" s="63"/>
      <c r="G17" s="1"/>
    </row>
    <row r="18" spans="1:7" x14ac:dyDescent="0.25">
      <c r="A18" s="1"/>
      <c r="B18" s="65"/>
      <c r="C18" s="66"/>
      <c r="D18" s="67"/>
      <c r="E18" s="66"/>
      <c r="F18" s="67"/>
      <c r="G18" s="1"/>
    </row>
    <row r="19" spans="1:7" x14ac:dyDescent="0.25">
      <c r="A19" s="1"/>
      <c r="B19" s="65"/>
      <c r="C19" s="66"/>
      <c r="D19" s="67"/>
      <c r="E19" s="66"/>
      <c r="F19" s="67"/>
      <c r="G19" s="1"/>
    </row>
    <row r="20" spans="1:7" x14ac:dyDescent="0.25">
      <c r="A20" s="1"/>
      <c r="B20" s="58"/>
      <c r="C20" s="58"/>
      <c r="D20" s="58"/>
      <c r="E20" s="58"/>
      <c r="F20" s="58"/>
      <c r="G20" s="1"/>
    </row>
    <row r="21" spans="1:7" x14ac:dyDescent="0.25">
      <c r="A21" s="1"/>
      <c r="B21" s="164"/>
      <c r="C21" s="164"/>
      <c r="D21" s="164"/>
      <c r="E21" s="164"/>
      <c r="F21" s="164"/>
      <c r="G21" s="1"/>
    </row>
    <row r="22" spans="1:7" x14ac:dyDescent="0.25">
      <c r="A22" s="1"/>
      <c r="B22" s="59"/>
      <c r="C22" s="59"/>
      <c r="D22" s="59"/>
      <c r="E22" s="59"/>
      <c r="F22" s="60"/>
      <c r="G22" s="1"/>
    </row>
    <row r="23" spans="1:7" x14ac:dyDescent="0.25">
      <c r="A23" s="1"/>
      <c r="B23" s="61"/>
      <c r="C23" s="62"/>
      <c r="D23" s="63"/>
      <c r="E23" s="64"/>
      <c r="F23" s="63"/>
      <c r="G23" s="1"/>
    </row>
    <row r="24" spans="1:7" x14ac:dyDescent="0.25">
      <c r="A24" s="1"/>
      <c r="B24" s="61"/>
      <c r="C24" s="62"/>
      <c r="D24" s="63"/>
      <c r="E24" s="64"/>
      <c r="F24" s="63"/>
      <c r="G24" s="1"/>
    </row>
    <row r="25" spans="1:7" x14ac:dyDescent="0.25">
      <c r="A25" s="1"/>
      <c r="B25" s="65"/>
      <c r="C25" s="66"/>
      <c r="D25" s="67"/>
      <c r="E25" s="66"/>
      <c r="F25" s="67"/>
      <c r="G25" s="1"/>
    </row>
    <row r="26" spans="1:7" x14ac:dyDescent="0.25">
      <c r="A26" s="1"/>
      <c r="B26" s="65"/>
      <c r="C26" s="66"/>
      <c r="D26" s="67"/>
      <c r="E26" s="66"/>
      <c r="F26" s="67"/>
      <c r="G26" s="1"/>
    </row>
    <row r="27" spans="1:7" x14ac:dyDescent="0.25">
      <c r="A27" s="1"/>
      <c r="B27" s="58"/>
      <c r="C27" s="58"/>
      <c r="D27" s="58"/>
      <c r="E27" s="58"/>
      <c r="F27" s="58"/>
      <c r="G27" s="1"/>
    </row>
    <row r="28" spans="1:7" x14ac:dyDescent="0.25">
      <c r="A28" s="1"/>
      <c r="B28" s="164"/>
      <c r="C28" s="164"/>
      <c r="D28" s="164"/>
      <c r="E28" s="164"/>
      <c r="F28" s="164"/>
      <c r="G28" s="1"/>
    </row>
    <row r="29" spans="1:7" x14ac:dyDescent="0.25">
      <c r="A29" s="1"/>
      <c r="B29" s="59"/>
      <c r="C29" s="59"/>
      <c r="D29" s="59"/>
      <c r="E29" s="59"/>
      <c r="F29" s="60"/>
      <c r="G29" s="1"/>
    </row>
    <row r="30" spans="1:7" x14ac:dyDescent="0.25">
      <c r="A30" s="1"/>
      <c r="B30" s="61"/>
      <c r="C30" s="62"/>
      <c r="D30" s="63"/>
      <c r="E30" s="64"/>
      <c r="F30" s="63"/>
      <c r="G30" s="1"/>
    </row>
    <row r="31" spans="1:7" x14ac:dyDescent="0.25">
      <c r="A31" s="1"/>
      <c r="B31" s="61"/>
      <c r="C31" s="62"/>
      <c r="D31" s="63"/>
      <c r="E31" s="64"/>
      <c r="F31" s="63"/>
      <c r="G31" s="1"/>
    </row>
    <row r="32" spans="1:7" x14ac:dyDescent="0.25">
      <c r="A32" s="1"/>
      <c r="B32" s="65"/>
      <c r="C32" s="66"/>
      <c r="D32" s="67"/>
      <c r="E32" s="66"/>
      <c r="F32" s="67"/>
      <c r="G32" s="1"/>
    </row>
    <row r="33" spans="1:7" x14ac:dyDescent="0.25">
      <c r="A33" s="1"/>
      <c r="B33" s="65"/>
      <c r="C33" s="66"/>
      <c r="D33" s="67"/>
      <c r="E33" s="66"/>
      <c r="F33" s="67"/>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ST2xSH7Q9vxE8EuWWqlxTNarCSmWW6LhBC4Xm2F9LBRQFLeVW1IPPUrUWXCTtqGDuTjxmtv0e0CTt2PJA6EqGA==" saltValue="bQ3PIzDiATE2jQvFY0MOT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266</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A1ObeZXUdkcEmwnxj53GtYmd/tXS60vXWHP0tPVqo2UdZqfX/vGnDJD+vQIey3bZ1DhChElp7iWBCVXFKtWRQ==" saltValue="XXo1c7mTRQLSZWz5zmrjY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267</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277</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IDsmZRrqPXoxmPd+JjwiYfu4gHUkfdktARnH2p1FXuJP+LR9KSnMlmWmHotsiNZSLINHOYbyNkTq9M7FgoD+Kw==" saltValue="sm/eT1ILgqVANQtgrA87Y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268</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0"/>
      <c r="C16" s="60"/>
      <c r="D16" s="60"/>
      <c r="E16" s="60"/>
      <c r="F16" s="60"/>
      <c r="G16" s="1"/>
    </row>
    <row r="17" spans="1:7" x14ac:dyDescent="0.25">
      <c r="A17" s="1"/>
      <c r="B17" s="61"/>
      <c r="C17" s="64"/>
      <c r="D17" s="63"/>
      <c r="E17" s="64"/>
      <c r="F17" s="63"/>
      <c r="G17" s="1"/>
    </row>
    <row r="18" spans="1:7" x14ac:dyDescent="0.25">
      <c r="A18" s="1"/>
      <c r="B18" s="65"/>
      <c r="C18" s="66"/>
      <c r="D18" s="67"/>
      <c r="E18" s="66"/>
      <c r="F18" s="67"/>
      <c r="G18" s="1"/>
    </row>
    <row r="19" spans="1:7" x14ac:dyDescent="0.25">
      <c r="A19" s="1"/>
      <c r="B19" s="65"/>
      <c r="C19" s="66"/>
      <c r="D19" s="67"/>
      <c r="E19" s="66"/>
      <c r="F19" s="67"/>
      <c r="G19" s="1"/>
    </row>
    <row r="20" spans="1:7" x14ac:dyDescent="0.25">
      <c r="A20" s="1"/>
      <c r="B20" s="58"/>
      <c r="C20" s="58"/>
      <c r="D20" s="58"/>
      <c r="E20" s="58"/>
      <c r="F20" s="58"/>
      <c r="G20" s="1"/>
    </row>
    <row r="21" spans="1:7" x14ac:dyDescent="0.25">
      <c r="A21" s="1"/>
      <c r="B21" s="164"/>
      <c r="C21" s="164"/>
      <c r="D21" s="164"/>
      <c r="E21" s="164"/>
      <c r="F21" s="164"/>
      <c r="G21" s="1"/>
    </row>
    <row r="22" spans="1:7" x14ac:dyDescent="0.25">
      <c r="A22" s="1"/>
      <c r="B22" s="60"/>
      <c r="C22" s="60"/>
      <c r="D22" s="60"/>
      <c r="E22" s="60"/>
      <c r="F22" s="60"/>
      <c r="G22" s="1"/>
    </row>
    <row r="23" spans="1:7" x14ac:dyDescent="0.25">
      <c r="A23" s="1"/>
      <c r="B23" s="61"/>
      <c r="C23" s="64"/>
      <c r="D23" s="63"/>
      <c r="E23" s="64"/>
      <c r="F23" s="63"/>
      <c r="G23" s="1"/>
    </row>
    <row r="24" spans="1:7" x14ac:dyDescent="0.25">
      <c r="A24" s="1"/>
      <c r="B24" s="65"/>
      <c r="C24" s="66"/>
      <c r="D24" s="67"/>
      <c r="E24" s="66"/>
      <c r="F24" s="67"/>
      <c r="G24" s="1"/>
    </row>
    <row r="25" spans="1:7" x14ac:dyDescent="0.25">
      <c r="A25" s="1"/>
      <c r="B25" s="65"/>
      <c r="C25" s="66"/>
      <c r="D25" s="67"/>
      <c r="E25" s="66"/>
      <c r="F25" s="67"/>
      <c r="G25" s="1"/>
    </row>
    <row r="26" spans="1:7" x14ac:dyDescent="0.25">
      <c r="A26" s="1"/>
      <c r="B26" s="58"/>
      <c r="C26" s="58"/>
      <c r="D26" s="58"/>
      <c r="E26" s="58"/>
      <c r="F26" s="58"/>
      <c r="G26" s="1"/>
    </row>
    <row r="27" spans="1:7" x14ac:dyDescent="0.25">
      <c r="A27" s="1"/>
      <c r="B27" s="164"/>
      <c r="C27" s="164"/>
      <c r="D27" s="164"/>
      <c r="E27" s="164"/>
      <c r="F27" s="164"/>
      <c r="G27" s="1"/>
    </row>
    <row r="28" spans="1:7" x14ac:dyDescent="0.25">
      <c r="A28" s="1"/>
      <c r="B28" s="60"/>
      <c r="C28" s="60"/>
      <c r="D28" s="60"/>
      <c r="E28" s="60"/>
      <c r="F28" s="60"/>
      <c r="G28" s="1"/>
    </row>
    <row r="29" spans="1:7" x14ac:dyDescent="0.25">
      <c r="A29" s="1"/>
      <c r="B29" s="61"/>
      <c r="C29" s="64"/>
      <c r="D29" s="63"/>
      <c r="E29" s="64"/>
      <c r="F29" s="63"/>
      <c r="G29" s="1"/>
    </row>
    <row r="30" spans="1:7" x14ac:dyDescent="0.25">
      <c r="A30" s="1"/>
      <c r="B30" s="65"/>
      <c r="C30" s="66"/>
      <c r="D30" s="67"/>
      <c r="E30" s="66"/>
      <c r="F30" s="67"/>
      <c r="G30" s="1"/>
    </row>
    <row r="31" spans="1:7" x14ac:dyDescent="0.25">
      <c r="A31" s="1"/>
      <c r="B31" s="65"/>
      <c r="C31" s="66"/>
      <c r="D31" s="67"/>
      <c r="E31" s="66"/>
      <c r="F31" s="6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LuIm3r1MlIGgRilnajyRBYQStKBJ6hkNjvN9cayGcKoU/xiW0H8JY3reKs4x0+4/XyJ2xoOp0rKReed8M2tKPw==" saltValue="JMF8VQ+jGKfuUKNdxnmeC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137770807.44659069</v>
      </c>
      <c r="D9" s="8" t="s">
        <v>3</v>
      </c>
      <c r="E9" s="1"/>
    </row>
    <row r="10" spans="1:5" ht="17.25" customHeight="1" x14ac:dyDescent="0.25">
      <c r="A10" s="1"/>
      <c r="B10" s="81" t="s">
        <v>39</v>
      </c>
      <c r="C10" s="7">
        <f>'Fane 11.1. Varige tillæg'!C13</f>
        <v>514486.08</v>
      </c>
      <c r="D10" s="8" t="s">
        <v>3</v>
      </c>
      <c r="E10" s="1"/>
    </row>
    <row r="11" spans="1:5" ht="17.25" customHeight="1" x14ac:dyDescent="0.25">
      <c r="A11" s="1"/>
      <c r="B11" s="81" t="s">
        <v>40</v>
      </c>
      <c r="C11" s="9">
        <f>'Fane 11.1. Varige tillæg'!E13</f>
        <v>488074.13760000002</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4">
        <f>SUM(C9)*'Fane 15. Nøgletal'!C14+SUM(C10:C15)*'Fane 15. Nøgletal'!C15</f>
        <v>490334.80832030927</v>
      </c>
      <c r="D16" s="8" t="s">
        <v>3</v>
      </c>
      <c r="E16" s="1"/>
    </row>
    <row r="17" spans="1:5" ht="17.25" customHeight="1" x14ac:dyDescent="0.25">
      <c r="A17" s="1"/>
      <c r="B17" s="81" t="s">
        <v>10</v>
      </c>
      <c r="C17" s="44">
        <f>-SUM(C9,C10:C16)*'Fane 5. Individuelt eff. krav'!G9</f>
        <v>-2052492.6337704437</v>
      </c>
      <c r="D17" s="8" t="s">
        <v>3</v>
      </c>
      <c r="E17" s="1"/>
    </row>
    <row r="18" spans="1:5" ht="17.25" customHeight="1" x14ac:dyDescent="0.25">
      <c r="A18" s="1"/>
      <c r="B18" s="81" t="s">
        <v>24</v>
      </c>
      <c r="C18" s="44">
        <f>-'Fane 4.1. Gen. krav - drift'!G45</f>
        <v>-882682.6286477549</v>
      </c>
      <c r="D18" s="8" t="s">
        <v>3</v>
      </c>
      <c r="E18" s="1"/>
    </row>
    <row r="19" spans="1:5" ht="17.25" customHeight="1" x14ac:dyDescent="0.25">
      <c r="A19" s="1"/>
      <c r="B19" s="81" t="s">
        <v>25</v>
      </c>
      <c r="C19" s="44">
        <f>-'Fane 4.2. Gen. krav - anlæg'!G43</f>
        <v>-1569546.9253520295</v>
      </c>
      <c r="D19" s="8" t="s">
        <v>3</v>
      </c>
      <c r="E19" s="47"/>
    </row>
    <row r="20" spans="1:5" ht="17.25" customHeight="1" x14ac:dyDescent="0.25">
      <c r="A20" s="1"/>
      <c r="B20" s="87" t="s">
        <v>21</v>
      </c>
      <c r="C20" s="10">
        <f>SUM(C9:C19)</f>
        <v>134758980.28474081</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omk.'!C19+'Fane 6. Ikke-påvirkelige omk.'!C27</f>
        <v>2428289.1762508801</v>
      </c>
      <c r="D22" s="11" t="s">
        <v>3</v>
      </c>
      <c r="E22" s="1"/>
    </row>
    <row r="23" spans="1:5" ht="15" customHeight="1" x14ac:dyDescent="0.25">
      <c r="A23" s="1"/>
      <c r="B23" s="32" t="s">
        <v>86</v>
      </c>
      <c r="C23" s="27"/>
      <c r="D23" s="19"/>
      <c r="E23" s="1"/>
    </row>
    <row r="24" spans="1:5" ht="15" customHeight="1" x14ac:dyDescent="0.25">
      <c r="A24" s="1"/>
      <c r="B24" s="87" t="s">
        <v>86</v>
      </c>
      <c r="C24" s="10">
        <f>'Fane 12. Periodevise driftsomk.'!E13</f>
        <v>0</v>
      </c>
      <c r="D24" s="11" t="s">
        <v>3</v>
      </c>
      <c r="E24" s="1"/>
    </row>
    <row r="25" spans="1:5" ht="15" customHeight="1" x14ac:dyDescent="0.25">
      <c r="A25" s="1"/>
      <c r="B25" s="94" t="s">
        <v>85</v>
      </c>
      <c r="C25" s="45"/>
      <c r="D25" s="46"/>
      <c r="E25" s="1"/>
    </row>
    <row r="26" spans="1:5" ht="15" customHeight="1" x14ac:dyDescent="0.25">
      <c r="A26" s="1"/>
      <c r="B26" s="81" t="s">
        <v>231</v>
      </c>
      <c r="C26" s="74">
        <f>'Fane 11.2. Engangstillæg'!C12</f>
        <v>0</v>
      </c>
      <c r="D26" s="8" t="s">
        <v>3</v>
      </c>
      <c r="E26" s="1"/>
    </row>
    <row r="27" spans="1:5" ht="15" customHeight="1" x14ac:dyDescent="0.25">
      <c r="A27" s="1"/>
      <c r="B27" s="81" t="s">
        <v>82</v>
      </c>
      <c r="C27" s="74">
        <f>'Fane 11.2. Engangstillæg'!E12</f>
        <v>0</v>
      </c>
      <c r="D27" s="8" t="s">
        <v>3</v>
      </c>
      <c r="E27" s="1"/>
    </row>
    <row r="28" spans="1:5" ht="15" customHeight="1" x14ac:dyDescent="0.25">
      <c r="A28" s="1"/>
      <c r="B28" s="81" t="s">
        <v>238</v>
      </c>
      <c r="C28" s="74">
        <f>-C26*('Fane 15. Nøgletal'!C31+'Fane 5. Individuelt eff. krav'!G9)</f>
        <v>0</v>
      </c>
      <c r="D28" s="8" t="s">
        <v>3</v>
      </c>
      <c r="E28" s="1"/>
    </row>
    <row r="29" spans="1:5" ht="15" customHeight="1" x14ac:dyDescent="0.25">
      <c r="A29" s="1"/>
      <c r="B29" s="81" t="s">
        <v>239</v>
      </c>
      <c r="C29" s="74">
        <f>-C27*('Fane 15. Nøgletal'!C26+'Fane 5. Individuelt eff. krav'!G9)</f>
        <v>0</v>
      </c>
      <c r="D29" s="8" t="s">
        <v>3</v>
      </c>
      <c r="E29" s="1"/>
    </row>
    <row r="30" spans="1:5" ht="15" customHeight="1" x14ac:dyDescent="0.25">
      <c r="A30" s="1"/>
      <c r="B30" s="96"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6" t="s">
        <v>176</v>
      </c>
      <c r="C36" s="10">
        <f>'Fane 8. Skattesagen'!G12</f>
        <v>-3792536.8333333302</v>
      </c>
      <c r="D36" s="11" t="s">
        <v>3</v>
      </c>
      <c r="E36" s="1"/>
    </row>
    <row r="37" spans="1:5" x14ac:dyDescent="0.25">
      <c r="A37" s="1"/>
      <c r="B37" s="32" t="s">
        <v>90</v>
      </c>
      <c r="C37" s="56">
        <f>SUM(C34,C32,C24,C30,C22,C20,C36)</f>
        <v>133394732.62765835</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FvF+YkyvUik/SjO8AOhe6YdoW80By1JMlxnTnk/0xpPgV63kJzZY8A5ZppUrdUz++LSP7i7sFk1x++f2mX8ig==" saltValue="r0Psg3iA6wOXoeAMG0Iww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269</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3" t="s">
        <v>112</v>
      </c>
      <c r="C9" s="24">
        <v>1.2699999999999999E-2</v>
      </c>
      <c r="D9" s="1"/>
    </row>
    <row r="10" spans="1:4" x14ac:dyDescent="0.25">
      <c r="A10" s="1"/>
      <c r="B10" s="93" t="s">
        <v>113</v>
      </c>
      <c r="C10" s="24">
        <v>1.7500000000000002E-2</v>
      </c>
      <c r="D10" s="1"/>
    </row>
    <row r="11" spans="1:4" x14ac:dyDescent="0.25">
      <c r="A11" s="1"/>
      <c r="B11" s="93"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3" t="s">
        <v>171</v>
      </c>
      <c r="C14" s="42">
        <v>3.3E-3</v>
      </c>
      <c r="D14" s="1"/>
    </row>
    <row r="15" spans="1:4" x14ac:dyDescent="0.25">
      <c r="A15" s="1"/>
      <c r="B15" s="33" t="s">
        <v>223</v>
      </c>
      <c r="C15" s="69">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3" t="s">
        <v>114</v>
      </c>
      <c r="C20" s="22">
        <v>9.1000000000000004E-3</v>
      </c>
      <c r="D20" s="1"/>
    </row>
    <row r="21" spans="1:4" x14ac:dyDescent="0.25">
      <c r="A21" s="1"/>
      <c r="B21" s="93" t="s">
        <v>145</v>
      </c>
      <c r="C21" s="22">
        <v>1.77E-2</v>
      </c>
      <c r="D21" s="1"/>
    </row>
    <row r="22" spans="1:4" x14ac:dyDescent="0.25">
      <c r="A22" s="1"/>
      <c r="B22" s="93" t="s">
        <v>146</v>
      </c>
      <c r="C22" s="22">
        <v>8.6999999999999994E-3</v>
      </c>
      <c r="D22" s="1"/>
    </row>
    <row r="23" spans="1:4" x14ac:dyDescent="0.25">
      <c r="A23" s="1"/>
      <c r="B23" s="93" t="s">
        <v>115</v>
      </c>
      <c r="C23" s="35">
        <v>2.8400000000000002E-2</v>
      </c>
      <c r="D23" s="1"/>
    </row>
    <row r="24" spans="1:4" x14ac:dyDescent="0.25">
      <c r="A24" s="1"/>
      <c r="B24" s="93" t="s">
        <v>147</v>
      </c>
      <c r="C24" s="35">
        <v>2.75E-2</v>
      </c>
      <c r="D24" s="1"/>
    </row>
    <row r="25" spans="1:4" x14ac:dyDescent="0.25">
      <c r="A25" s="1"/>
      <c r="B25" s="93" t="s">
        <v>148</v>
      </c>
      <c r="C25" s="35">
        <v>1.4800000000000001E-2</v>
      </c>
      <c r="D25" s="1"/>
    </row>
    <row r="26" spans="1:4" x14ac:dyDescent="0.25">
      <c r="A26" s="1"/>
      <c r="B26" s="33" t="s">
        <v>216</v>
      </c>
      <c r="C26" s="70">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3"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aUCIhXqDMnWVtqqcWvszUb/7sVDXR5oLNRZPSWBDSxpfxlmm4JFmP/HyQsoGyvYS07GwCoBjTcoUNm0E/uEfFw==" saltValue="PNiY+KfpG3qxR8B5GLgIt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134758980.28474081</v>
      </c>
      <c r="D9" s="8" t="s">
        <v>3</v>
      </c>
      <c r="E9" s="1"/>
    </row>
    <row r="10" spans="1:5" ht="15" customHeight="1" x14ac:dyDescent="0.25">
      <c r="A10" s="1"/>
      <c r="B10" s="25" t="s">
        <v>19</v>
      </c>
      <c r="C10" s="7">
        <f>SUM(C9:C9)*'Fane 15. Nøgletal'!C15</f>
        <v>4797419.698136773</v>
      </c>
      <c r="D10" s="8" t="s">
        <v>3</v>
      </c>
      <c r="E10" s="1"/>
    </row>
    <row r="11" spans="1:5" ht="15" customHeight="1" x14ac:dyDescent="0.25">
      <c r="A11" s="1"/>
      <c r="B11" s="25" t="s">
        <v>10</v>
      </c>
      <c r="C11" s="9">
        <f>-SUM(C9:C10)*'Fane 5. Individuelt eff. krav'!G9</f>
        <v>-2056806.4605126912</v>
      </c>
      <c r="D11" s="8" t="s">
        <v>3</v>
      </c>
      <c r="E11" s="1"/>
    </row>
    <row r="12" spans="1:5" ht="15" customHeight="1" x14ac:dyDescent="0.25">
      <c r="A12" s="1"/>
      <c r="B12" s="25" t="s">
        <v>24</v>
      </c>
      <c r="C12" s="9">
        <f>-'Fane 4.1. Gen. krav - drift'!G53</f>
        <v>-895824.00762306293</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136603769.51474181</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omk.'!C19+'Fane 6. Ikke-påvirkelige omk.'!C27</f>
        <v>2514736.2709254115</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-1273789.5599172488</v>
      </c>
      <c r="D20" s="11" t="s">
        <v>3</v>
      </c>
      <c r="E20" s="1"/>
    </row>
    <row r="21" spans="1:5" x14ac:dyDescent="0.25">
      <c r="A21" s="1"/>
      <c r="B21" s="29" t="s">
        <v>175</v>
      </c>
      <c r="C21" s="27"/>
      <c r="D21" s="19"/>
      <c r="E21" s="1"/>
    </row>
    <row r="22" spans="1:5" x14ac:dyDescent="0.25">
      <c r="A22" s="1"/>
      <c r="B22" s="96" t="s">
        <v>176</v>
      </c>
      <c r="C22" s="10">
        <f>'Fane 8. Skattesagen'!G13</f>
        <v>-3792536.8333333302</v>
      </c>
      <c r="D22" s="11" t="s">
        <v>3</v>
      </c>
      <c r="E22" s="1"/>
    </row>
    <row r="23" spans="1:5" x14ac:dyDescent="0.25">
      <c r="A23" s="1"/>
      <c r="B23" s="32" t="s">
        <v>128</v>
      </c>
      <c r="C23" s="12">
        <f>SUM(C14,C16,C18,C20,C22)</f>
        <v>134052179.39241664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Ix6zgLUOzS8aiToRYkoy+OWvYInmEscXkGU5mJ+GLDVTiWtk+MLJsAZUGfebW6jBpO9lWJEGWncoDhu7zsdmA==" saltValue="CH4ZPOgiTWY5iAlPLBkCT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136603769.51474181</v>
      </c>
      <c r="D9" s="8" t="s">
        <v>3</v>
      </c>
      <c r="E9" s="1"/>
    </row>
    <row r="10" spans="1:5" ht="15" customHeight="1" x14ac:dyDescent="0.25">
      <c r="A10" s="1"/>
      <c r="B10" s="25" t="s">
        <v>19</v>
      </c>
      <c r="C10" s="7">
        <f>SUM(C9:C9)*'Fane 15. Nøgletal'!C15</f>
        <v>4863094.1947248084</v>
      </c>
      <c r="D10" s="8" t="s">
        <v>3</v>
      </c>
      <c r="E10" s="1"/>
    </row>
    <row r="11" spans="1:5" ht="15" customHeight="1" x14ac:dyDescent="0.25">
      <c r="A11" s="1"/>
      <c r="B11" s="25" t="s">
        <v>10</v>
      </c>
      <c r="C11" s="9">
        <f>-SUM(C9:C10)*'Fane 5. Individuelt eff. krav'!G9</f>
        <v>-2084963.2067164164</v>
      </c>
      <c r="D11" s="8" t="s">
        <v>3</v>
      </c>
      <c r="E11" s="1"/>
    </row>
    <row r="12" spans="1:5" ht="15" customHeight="1" x14ac:dyDescent="0.25">
      <c r="A12" s="1"/>
      <c r="B12" s="25" t="s">
        <v>24</v>
      </c>
      <c r="C12" s="9">
        <f>-'Fane 4.1. Gen. krav - drift'!G58</f>
        <v>-909161.03544855525</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138472739.46730164</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2604260.8821703563</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-1273789.5599172488</v>
      </c>
      <c r="D20" s="11" t="s">
        <v>3</v>
      </c>
      <c r="E20" s="1"/>
    </row>
    <row r="21" spans="1:5" x14ac:dyDescent="0.25">
      <c r="A21" s="1"/>
      <c r="B21" s="29" t="s">
        <v>175</v>
      </c>
      <c r="C21" s="27"/>
      <c r="D21" s="19"/>
      <c r="E21" s="1"/>
    </row>
    <row r="22" spans="1:5" x14ac:dyDescent="0.25">
      <c r="A22" s="1"/>
      <c r="B22" s="96" t="s">
        <v>176</v>
      </c>
      <c r="C22" s="10">
        <f>'Fane 8. Skattesagen'!G14</f>
        <v>-3792536.8333333302</v>
      </c>
      <c r="D22" s="11" t="s">
        <v>3</v>
      </c>
      <c r="E22" s="1"/>
    </row>
    <row r="23" spans="1:5" x14ac:dyDescent="0.25">
      <c r="A23" s="1"/>
      <c r="B23" s="32" t="s">
        <v>149</v>
      </c>
      <c r="C23" s="12">
        <f>SUM(C14,C16,C18,C20,C22)</f>
        <v>136010673.9562214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pfufBwtGCqivBqCFg+2PyD0UvocOhVjco0uti9lPfKRx2mLbCuWI6YShqkWGPFMl9zI1LSd23T37ogC0iPePwQ==" saltValue="zd+6wj4JhdXNS5I4CrAqe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138472739.46730164</v>
      </c>
      <c r="D9" s="8" t="s">
        <v>3</v>
      </c>
      <c r="E9" s="1"/>
    </row>
    <row r="10" spans="1:5" ht="15" customHeight="1" x14ac:dyDescent="0.25">
      <c r="A10" s="1"/>
      <c r="B10" s="25" t="s">
        <v>19</v>
      </c>
      <c r="C10" s="7">
        <f>SUM(C9:C9)*'Fane 15. Nøgletal'!C15</f>
        <v>4929629.5250359382</v>
      </c>
      <c r="D10" s="8" t="s">
        <v>3</v>
      </c>
      <c r="E10" s="1"/>
    </row>
    <row r="11" spans="1:5" ht="15" customHeight="1" x14ac:dyDescent="0.25">
      <c r="A11" s="1"/>
      <c r="B11" s="25" t="s">
        <v>10</v>
      </c>
      <c r="C11" s="9">
        <f>-SUM(C9:C10)*'Fane 5. Individuelt eff. krav'!G9</f>
        <v>-2113489.0197257367</v>
      </c>
      <c r="D11" s="8" t="s">
        <v>3</v>
      </c>
      <c r="E11" s="1"/>
    </row>
    <row r="12" spans="1:5" ht="15" customHeight="1" x14ac:dyDescent="0.25">
      <c r="A12" s="1"/>
      <c r="B12" s="25" t="s">
        <v>24</v>
      </c>
      <c r="C12" s="9">
        <f>-'Fane 4.1. Gen. krav - drift'!G63</f>
        <v>-922696.62494431331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140366183.34766755</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2696972.5695756213</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-1273789.5599172488</v>
      </c>
      <c r="D20" s="11" t="s">
        <v>3</v>
      </c>
      <c r="E20" s="1"/>
    </row>
    <row r="21" spans="1:5" x14ac:dyDescent="0.25">
      <c r="A21" s="1"/>
      <c r="B21" s="29" t="s">
        <v>175</v>
      </c>
      <c r="C21" s="27"/>
      <c r="D21" s="19"/>
      <c r="E21" s="1"/>
    </row>
    <row r="22" spans="1:5" x14ac:dyDescent="0.25">
      <c r="A22" s="1"/>
      <c r="B22" s="96" t="s">
        <v>176</v>
      </c>
      <c r="C22" s="10">
        <f>'Fane 8. Skattesagen'!G15</f>
        <v>-3792536.8333333302</v>
      </c>
      <c r="D22" s="11" t="s">
        <v>3</v>
      </c>
      <c r="E22" s="1"/>
    </row>
    <row r="23" spans="1:5" x14ac:dyDescent="0.25">
      <c r="A23" s="1"/>
      <c r="B23" s="32" t="s">
        <v>190</v>
      </c>
      <c r="C23" s="12">
        <f>SUM(C14,C16,C18,C20,C22)</f>
        <v>137996829.52399257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ZsdLV0zVKbe+4lAHFWALykwQS+DF4gMp2V9CAQzNw8HbLaPN9ss653NSV6AviOcYLIjokkwnjk0REwrPFHA5cw==" saltValue="PrHAfssrJ76iJ0EVepcea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21" t="s">
        <v>192</v>
      </c>
      <c r="C9" s="122"/>
      <c r="D9" s="123"/>
      <c r="E9" s="7">
        <v>140201054.49005747</v>
      </c>
      <c r="F9" s="8" t="s">
        <v>3</v>
      </c>
      <c r="G9" s="1"/>
    </row>
    <row r="10" spans="1:7" ht="15" customHeight="1" x14ac:dyDescent="0.25">
      <c r="A10" s="1"/>
      <c r="B10" s="125" t="s">
        <v>39</v>
      </c>
      <c r="C10" s="126"/>
      <c r="D10" s="127"/>
      <c r="E10" s="7">
        <v>618080.9584</v>
      </c>
      <c r="F10" s="8" t="s">
        <v>3</v>
      </c>
      <c r="G10" s="1"/>
    </row>
    <row r="11" spans="1:7" ht="15" customHeight="1" x14ac:dyDescent="0.25">
      <c r="A11" s="1"/>
      <c r="B11" s="125" t="s">
        <v>40</v>
      </c>
      <c r="C11" s="126"/>
      <c r="D11" s="127"/>
      <c r="E11" s="9">
        <v>1056147.8242000001</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468188.43479976972</v>
      </c>
      <c r="F16" s="8" t="s">
        <v>3</v>
      </c>
      <c r="G16" s="1"/>
    </row>
    <row r="17" spans="1:7" ht="15" customHeight="1" x14ac:dyDescent="0.25">
      <c r="A17" s="1"/>
      <c r="B17" s="121" t="s">
        <v>10</v>
      </c>
      <c r="C17" s="122"/>
      <c r="D17" s="123"/>
      <c r="E17" s="9">
        <v>-2097882.8076363704</v>
      </c>
      <c r="F17" s="8" t="s">
        <v>3</v>
      </c>
      <c r="G17" s="1"/>
    </row>
    <row r="18" spans="1:7" ht="15" customHeight="1" x14ac:dyDescent="0.25">
      <c r="A18" s="1"/>
      <c r="B18" s="121" t="s">
        <v>24</v>
      </c>
      <c r="C18" s="122"/>
      <c r="D18" s="123"/>
      <c r="E18" s="9">
        <f>-'Fane 4.1. Gen. krav - drift'!G39</f>
        <v>-886896.29626192234</v>
      </c>
      <c r="F18" s="8" t="s">
        <v>3</v>
      </c>
      <c r="G18" s="1"/>
    </row>
    <row r="19" spans="1:7" ht="15" customHeight="1" x14ac:dyDescent="0.25">
      <c r="A19" s="1"/>
      <c r="B19" s="121" t="s">
        <v>25</v>
      </c>
      <c r="C19" s="122"/>
      <c r="D19" s="123"/>
      <c r="E19" s="9">
        <f>-'Fane 4.2. Gen. krav - anlæg'!G37</f>
        <v>-1587885.1569682304</v>
      </c>
      <c r="F19" s="8" t="s">
        <v>3</v>
      </c>
      <c r="G19" s="1"/>
    </row>
    <row r="20" spans="1:7" ht="15" customHeight="1" x14ac:dyDescent="0.25">
      <c r="A20" s="1"/>
      <c r="B20" s="53" t="s">
        <v>21</v>
      </c>
      <c r="C20" s="88"/>
      <c r="D20" s="95"/>
      <c r="E20" s="50">
        <f>SUM(E9:E19)</f>
        <v>137770807.44659069</v>
      </c>
      <c r="F20" s="52"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2413057.6916169003</v>
      </c>
      <c r="F22" s="11" t="s">
        <v>3</v>
      </c>
      <c r="G22" s="1"/>
    </row>
    <row r="23" spans="1:7" ht="15" customHeight="1" x14ac:dyDescent="0.25">
      <c r="A23" s="1"/>
      <c r="B23" s="131" t="s">
        <v>86</v>
      </c>
      <c r="C23" s="132"/>
      <c r="D23" s="133"/>
      <c r="E23" s="27"/>
      <c r="F23" s="27"/>
      <c r="G23" s="1"/>
    </row>
    <row r="24" spans="1:7" ht="15" customHeight="1" x14ac:dyDescent="0.25">
      <c r="A24" s="1"/>
      <c r="B24" s="87"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1033829.6484656002</v>
      </c>
      <c r="F28" s="11" t="s">
        <v>3</v>
      </c>
      <c r="G28" s="1"/>
    </row>
    <row r="29" spans="1:7" ht="15" customHeight="1" x14ac:dyDescent="0.25">
      <c r="A29" s="1"/>
      <c r="B29" s="32" t="s">
        <v>143</v>
      </c>
      <c r="C29" s="32"/>
      <c r="D29" s="32"/>
      <c r="E29" s="27"/>
      <c r="F29" s="27"/>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27"/>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6" t="s">
        <v>176</v>
      </c>
      <c r="C34" s="10"/>
      <c r="D34" s="11"/>
      <c r="E34" s="10">
        <f>'Fane 8. Skattesagen'!G11</f>
        <v>-3792536.8333333302</v>
      </c>
      <c r="F34" s="11" t="s">
        <v>3</v>
      </c>
      <c r="G34" s="1"/>
    </row>
    <row r="35" spans="1:7" x14ac:dyDescent="0.25">
      <c r="A35" s="1"/>
      <c r="B35" s="54" t="s">
        <v>218</v>
      </c>
      <c r="C35" s="55"/>
      <c r="D35" s="19"/>
      <c r="E35" s="45">
        <f>SUM(E32,E30,E28,E24,E22,E20,E34)</f>
        <v>137425157.95333984</v>
      </c>
      <c r="F35" s="51"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TKBjZaCoEyqoMAveQNq0OL6nQCRBtU7aQYvuEsudDbXZ3/Sl5vjg62CGfk+nmre6nxSAZqTQm59+zhAlYjGWPA==" saltValue="vDNeCBA4c+XrAdN6r5Cwww=="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5">
        <v>44276674</v>
      </c>
      <c r="H5" s="14" t="s">
        <v>3</v>
      </c>
      <c r="I5" s="1"/>
    </row>
    <row r="6" spans="1:9" x14ac:dyDescent="0.25">
      <c r="A6" s="1"/>
      <c r="B6" s="121" t="s">
        <v>120</v>
      </c>
      <c r="C6" s="122"/>
      <c r="D6" s="122"/>
      <c r="E6" s="122"/>
      <c r="F6" s="123"/>
      <c r="G6" s="76">
        <v>0</v>
      </c>
      <c r="H6" s="14" t="s">
        <v>3</v>
      </c>
      <c r="I6" s="1"/>
    </row>
    <row r="7" spans="1:9" x14ac:dyDescent="0.25">
      <c r="A7" s="1"/>
      <c r="B7" s="136" t="s">
        <v>42</v>
      </c>
      <c r="C7" s="137"/>
      <c r="D7" s="137"/>
      <c r="E7" s="137"/>
      <c r="F7" s="138"/>
      <c r="G7" s="75">
        <f>SUM(G5:G6)*'Fane 15. Nøgletal'!C31</f>
        <v>885533.48</v>
      </c>
      <c r="H7" s="14" t="s">
        <v>3</v>
      </c>
      <c r="I7" s="1"/>
    </row>
    <row r="8" spans="1:9" x14ac:dyDescent="0.25">
      <c r="A8" s="1"/>
      <c r="B8" s="32"/>
      <c r="C8" s="27"/>
      <c r="D8" s="27"/>
      <c r="E8" s="27"/>
      <c r="F8" s="27"/>
      <c r="G8" s="77"/>
      <c r="H8" s="19"/>
      <c r="I8" s="1"/>
    </row>
    <row r="9" spans="1:9" x14ac:dyDescent="0.25">
      <c r="A9" s="1"/>
      <c r="B9" s="1"/>
      <c r="C9" s="1"/>
      <c r="D9" s="1"/>
      <c r="E9" s="1"/>
      <c r="F9" s="1"/>
      <c r="G9" s="78"/>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5">
        <f>(G5-G7)*(1+'Fane 15. Nøgletal'!C10)</f>
        <v>44150485.479100004</v>
      </c>
      <c r="H11" s="14" t="s">
        <v>3</v>
      </c>
      <c r="I11" s="1"/>
    </row>
    <row r="12" spans="1:9" ht="15" customHeight="1" x14ac:dyDescent="0.25">
      <c r="A12" s="1"/>
      <c r="B12" s="136" t="s">
        <v>121</v>
      </c>
      <c r="C12" s="137"/>
      <c r="D12" s="137"/>
      <c r="E12" s="137"/>
      <c r="F12" s="138"/>
      <c r="G12" s="76">
        <v>-0.4778095163777471</v>
      </c>
      <c r="H12" s="14" t="s">
        <v>3</v>
      </c>
      <c r="I12" s="1"/>
    </row>
    <row r="13" spans="1:9" x14ac:dyDescent="0.25">
      <c r="A13" s="1"/>
      <c r="B13" s="121" t="s">
        <v>118</v>
      </c>
      <c r="C13" s="122"/>
      <c r="D13" s="122"/>
      <c r="E13" s="122"/>
      <c r="F13" s="123"/>
      <c r="G13" s="76">
        <v>0</v>
      </c>
      <c r="H13" s="14" t="s">
        <v>3</v>
      </c>
      <c r="I13" s="1"/>
    </row>
    <row r="14" spans="1:9" x14ac:dyDescent="0.25">
      <c r="A14" s="1"/>
      <c r="B14" s="143" t="s">
        <v>44</v>
      </c>
      <c r="C14" s="144"/>
      <c r="D14" s="144"/>
      <c r="E14" s="144"/>
      <c r="F14" s="145"/>
      <c r="G14" s="76">
        <v>0</v>
      </c>
      <c r="H14" s="14" t="s">
        <v>3</v>
      </c>
      <c r="I14" s="1"/>
    </row>
    <row r="15" spans="1:9" x14ac:dyDescent="0.25">
      <c r="A15" s="1"/>
      <c r="B15" s="136" t="s">
        <v>45</v>
      </c>
      <c r="C15" s="137"/>
      <c r="D15" s="137"/>
      <c r="E15" s="137"/>
      <c r="F15" s="138"/>
      <c r="G15" s="75">
        <f>SUM(G11:G14)*'Fane 15. Nøgletal'!C31</f>
        <v>883009.7000258097</v>
      </c>
      <c r="H15" s="14" t="s">
        <v>3</v>
      </c>
      <c r="I15" s="1"/>
    </row>
    <row r="16" spans="1:9" x14ac:dyDescent="0.25">
      <c r="A16" s="1"/>
      <c r="B16" s="32"/>
      <c r="C16" s="27"/>
      <c r="D16" s="27"/>
      <c r="E16" s="27"/>
      <c r="F16" s="27"/>
      <c r="G16" s="77"/>
      <c r="H16" s="19"/>
      <c r="I16" s="1"/>
    </row>
    <row r="17" spans="1:9" x14ac:dyDescent="0.25">
      <c r="A17" s="1"/>
      <c r="B17" s="1"/>
      <c r="C17" s="1"/>
      <c r="D17" s="1"/>
      <c r="E17" s="1"/>
      <c r="F17" s="1"/>
      <c r="G17" s="78"/>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5">
        <f>(SUM(G11:G12,G14)-(G15))*(1+'Fane 15. Nøgletal'!C10)</f>
        <v>44024656.119036809</v>
      </c>
      <c r="H19" s="14" t="s">
        <v>3</v>
      </c>
      <c r="I19" s="1"/>
    </row>
    <row r="20" spans="1:9" x14ac:dyDescent="0.25">
      <c r="A20" s="1"/>
      <c r="B20" s="143" t="s">
        <v>47</v>
      </c>
      <c r="C20" s="144"/>
      <c r="D20" s="144"/>
      <c r="E20" s="144"/>
      <c r="F20" s="145"/>
      <c r="G20" s="76">
        <v>0</v>
      </c>
      <c r="H20" s="14" t="s">
        <v>3</v>
      </c>
      <c r="I20" s="1"/>
    </row>
    <row r="21" spans="1:9" x14ac:dyDescent="0.25">
      <c r="A21" s="1"/>
      <c r="B21" s="136" t="s">
        <v>48</v>
      </c>
      <c r="C21" s="137"/>
      <c r="D21" s="137"/>
      <c r="E21" s="137"/>
      <c r="F21" s="138"/>
      <c r="G21" s="75">
        <f>SUM(G19:G20)*'Fane 15. Nøgletal'!C31</f>
        <v>880493.12238073617</v>
      </c>
      <c r="H21" s="14" t="s">
        <v>3</v>
      </c>
      <c r="I21" s="1"/>
    </row>
    <row r="22" spans="1:9" x14ac:dyDescent="0.25">
      <c r="A22" s="1"/>
      <c r="B22" s="32"/>
      <c r="C22" s="27"/>
      <c r="D22" s="27"/>
      <c r="E22" s="27"/>
      <c r="F22" s="27"/>
      <c r="G22" s="77"/>
      <c r="H22" s="19"/>
      <c r="I22" s="1"/>
    </row>
    <row r="23" spans="1:9" x14ac:dyDescent="0.25">
      <c r="A23" s="1"/>
      <c r="B23" s="1"/>
      <c r="C23" s="1"/>
      <c r="D23" s="1"/>
      <c r="E23" s="1"/>
      <c r="F23" s="1"/>
      <c r="G23" s="78"/>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5">
        <f>(G19+G20-G21)*(1+'Fane 15. Nøgletal'!C12)</f>
        <v>43994103.007690199</v>
      </c>
      <c r="H25" s="14" t="s">
        <v>3</v>
      </c>
      <c r="I25" s="1"/>
    </row>
    <row r="26" spans="1:9" x14ac:dyDescent="0.25">
      <c r="A26" s="1"/>
      <c r="B26" s="143" t="s">
        <v>50</v>
      </c>
      <c r="C26" s="144"/>
      <c r="D26" s="144"/>
      <c r="E26" s="144"/>
      <c r="F26" s="145"/>
      <c r="G26" s="76">
        <v>109683.08646174001</v>
      </c>
      <c r="H26" s="14" t="s">
        <v>3</v>
      </c>
      <c r="I26" s="1"/>
    </row>
    <row r="27" spans="1:9" x14ac:dyDescent="0.25">
      <c r="A27" s="1"/>
      <c r="B27" s="136" t="s">
        <v>51</v>
      </c>
      <c r="C27" s="137"/>
      <c r="D27" s="137"/>
      <c r="E27" s="137"/>
      <c r="F27" s="138"/>
      <c r="G27" s="75">
        <f>(G25+G26)*'Fane 15. Nøgletal'!C31</f>
        <v>882075.72188303876</v>
      </c>
      <c r="H27" s="14" t="s">
        <v>3</v>
      </c>
      <c r="I27" s="1"/>
    </row>
    <row r="28" spans="1:9" x14ac:dyDescent="0.25">
      <c r="A28" s="1"/>
      <c r="B28" s="32"/>
      <c r="C28" s="27"/>
      <c r="D28" s="27"/>
      <c r="E28" s="27"/>
      <c r="F28" s="27"/>
      <c r="G28" s="77"/>
      <c r="H28" s="19"/>
      <c r="I28" s="1"/>
    </row>
    <row r="29" spans="1:9" x14ac:dyDescent="0.25">
      <c r="A29" s="1"/>
      <c r="B29" s="1"/>
      <c r="C29" s="1"/>
      <c r="D29" s="1"/>
      <c r="E29" s="1"/>
      <c r="F29" s="1"/>
      <c r="G29" s="78"/>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5">
        <f>(G25+G26-G27)*(1+'Fane 15. Nøgletal'!C12)</f>
        <v>44073178.066602603</v>
      </c>
      <c r="H31" s="14" t="s">
        <v>3</v>
      </c>
      <c r="I31" s="1"/>
    </row>
    <row r="32" spans="1:9" x14ac:dyDescent="0.25">
      <c r="A32" s="1"/>
      <c r="B32" s="136" t="s">
        <v>137</v>
      </c>
      <c r="C32" s="137"/>
      <c r="D32" s="137"/>
      <c r="E32" s="137"/>
      <c r="F32" s="138"/>
      <c r="G32" s="75">
        <v>397104.88489559997</v>
      </c>
      <c r="H32" s="14" t="s">
        <v>3</v>
      </c>
      <c r="I32" s="1"/>
    </row>
    <row r="33" spans="1:9" x14ac:dyDescent="0.25">
      <c r="A33" s="1"/>
      <c r="B33" s="136" t="s">
        <v>60</v>
      </c>
      <c r="C33" s="137"/>
      <c r="D33" s="137"/>
      <c r="E33" s="137"/>
      <c r="F33" s="138"/>
      <c r="G33" s="75">
        <f>(G31+G32)*'Fane 15. Nøgletal'!C31</f>
        <v>889405.65902996412</v>
      </c>
      <c r="H33" s="14" t="s">
        <v>3</v>
      </c>
      <c r="I33" s="1"/>
    </row>
    <row r="34" spans="1:9" x14ac:dyDescent="0.25">
      <c r="A34" s="1"/>
      <c r="B34" s="32"/>
      <c r="C34" s="27"/>
      <c r="D34" s="27"/>
      <c r="E34" s="27"/>
      <c r="F34" s="27"/>
      <c r="G34" s="77"/>
      <c r="H34" s="19"/>
      <c r="I34" s="1"/>
    </row>
    <row r="35" spans="1:9" x14ac:dyDescent="0.25">
      <c r="A35" s="1"/>
      <c r="B35" s="1"/>
      <c r="C35" s="1"/>
      <c r="D35" s="1"/>
      <c r="E35" s="1"/>
      <c r="F35" s="1"/>
      <c r="G35" s="78"/>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5">
        <f>(G31+G32-G33)*(1+'Fane 15. Nøgletal'!C14)</f>
        <v>43724694.187533394</v>
      </c>
      <c r="H37" s="14" t="s">
        <v>3</v>
      </c>
      <c r="I37" s="1"/>
    </row>
    <row r="38" spans="1:9" x14ac:dyDescent="0.25">
      <c r="A38" s="1"/>
      <c r="B38" s="136" t="s">
        <v>164</v>
      </c>
      <c r="C38" s="137"/>
      <c r="D38" s="137"/>
      <c r="E38" s="137"/>
      <c r="F38" s="138"/>
      <c r="G38" s="75">
        <v>620120.62556272</v>
      </c>
      <c r="H38" s="14" t="s">
        <v>3</v>
      </c>
      <c r="I38" s="1"/>
    </row>
    <row r="39" spans="1:9" x14ac:dyDescent="0.25">
      <c r="A39" s="1"/>
      <c r="B39" s="136" t="s">
        <v>162</v>
      </c>
      <c r="C39" s="137"/>
      <c r="D39" s="137"/>
      <c r="E39" s="137"/>
      <c r="F39" s="138"/>
      <c r="G39" s="75">
        <f>(G37+G38)*'Fane 15. Nøgletal'!C31</f>
        <v>886896.29626192234</v>
      </c>
      <c r="H39" s="14" t="s">
        <v>3</v>
      </c>
      <c r="I39" s="1"/>
    </row>
    <row r="40" spans="1:9" x14ac:dyDescent="0.25">
      <c r="A40" s="1"/>
      <c r="B40" s="32"/>
      <c r="C40" s="27"/>
      <c r="D40" s="27"/>
      <c r="E40" s="27"/>
      <c r="F40" s="27"/>
      <c r="G40" s="77"/>
      <c r="H40" s="19"/>
      <c r="I40" s="1"/>
    </row>
    <row r="41" spans="1:9" x14ac:dyDescent="0.25">
      <c r="A41" s="1"/>
      <c r="B41" s="1"/>
      <c r="C41" s="1"/>
      <c r="D41" s="1"/>
      <c r="E41" s="1"/>
      <c r="F41" s="1"/>
      <c r="G41" s="78"/>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5">
        <f>(G37+G38-G39)*(1+'Fane 15. Nøgletal'!C14)</f>
        <v>43601329.647939749</v>
      </c>
      <c r="H43" s="14" t="s">
        <v>3</v>
      </c>
      <c r="I43" s="1"/>
    </row>
    <row r="44" spans="1:9" x14ac:dyDescent="0.25">
      <c r="A44" s="1"/>
      <c r="B44" s="140" t="s">
        <v>230</v>
      </c>
      <c r="C44" s="141"/>
      <c r="D44" s="141"/>
      <c r="E44" s="141"/>
      <c r="F44" s="142"/>
      <c r="G44" s="79">
        <f>('Fane 2.1. Økonomisk ramme 2023'!C10+'Fane 2.1. Økonomisk ramme 2023'!C12+'Fane 2.1. Økonomisk ramme 2023'!C14)*(1+'Fane 15. Nøgletal'!C15)</f>
        <v>532801.78444800002</v>
      </c>
      <c r="H44" s="14" t="s">
        <v>3</v>
      </c>
      <c r="I44" s="1"/>
    </row>
    <row r="45" spans="1:9" x14ac:dyDescent="0.25">
      <c r="A45" s="1"/>
      <c r="B45" s="136" t="s">
        <v>163</v>
      </c>
      <c r="C45" s="137"/>
      <c r="D45" s="137"/>
      <c r="E45" s="137"/>
      <c r="F45" s="138"/>
      <c r="G45" s="75">
        <f>SUM(G43:G44)*'Fane 15. Nøgletal'!C31</f>
        <v>882682.6286477549</v>
      </c>
      <c r="H45" s="14" t="s">
        <v>3</v>
      </c>
      <c r="I45" s="1"/>
    </row>
    <row r="46" spans="1:9" x14ac:dyDescent="0.25">
      <c r="A46" s="1"/>
      <c r="B46" s="32"/>
      <c r="C46" s="27"/>
      <c r="D46" s="27"/>
      <c r="E46" s="27"/>
      <c r="F46" s="27"/>
      <c r="G46" s="77"/>
      <c r="H46" s="19"/>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5">
        <f>(G43+G44-G45)*(1+'Fane 15. Nøgletal'!C15)</f>
        <v>44791200.381153144</v>
      </c>
      <c r="H52" s="14" t="s">
        <v>3</v>
      </c>
      <c r="I52" s="1"/>
    </row>
    <row r="53" spans="1:9" x14ac:dyDescent="0.25">
      <c r="A53" s="1"/>
      <c r="B53" s="136" t="s">
        <v>138</v>
      </c>
      <c r="C53" s="137"/>
      <c r="D53" s="137"/>
      <c r="E53" s="137"/>
      <c r="F53" s="138"/>
      <c r="G53" s="75">
        <f>(G52)*'Fane 15. Nøgletal'!C31</f>
        <v>895824.00762306293</v>
      </c>
      <c r="H53" s="14" t="s">
        <v>3</v>
      </c>
      <c r="I53" s="1"/>
    </row>
    <row r="54" spans="1:9" x14ac:dyDescent="0.25">
      <c r="A54" s="1"/>
      <c r="B54" s="32"/>
      <c r="C54" s="27"/>
      <c r="D54" s="27"/>
      <c r="E54" s="27"/>
      <c r="F54" s="27"/>
      <c r="G54" s="77"/>
      <c r="H54" s="19"/>
      <c r="I54" s="1"/>
    </row>
    <row r="55" spans="1:9" x14ac:dyDescent="0.25">
      <c r="A55" s="1"/>
      <c r="B55" s="1"/>
      <c r="C55" s="1"/>
      <c r="D55" s="1"/>
      <c r="E55" s="1"/>
      <c r="F55" s="1"/>
      <c r="G55" s="78"/>
      <c r="H55" s="1"/>
      <c r="I55" s="1"/>
    </row>
    <row r="56" spans="1:9" x14ac:dyDescent="0.25">
      <c r="A56" s="1"/>
      <c r="B56" s="131" t="s">
        <v>150</v>
      </c>
      <c r="C56" s="132"/>
      <c r="D56" s="132"/>
      <c r="E56" s="132"/>
      <c r="F56" s="132"/>
      <c r="G56" s="139"/>
      <c r="H56" s="133"/>
      <c r="I56" s="1"/>
    </row>
    <row r="57" spans="1:9" x14ac:dyDescent="0.25">
      <c r="A57" s="1"/>
      <c r="B57" s="90" t="s">
        <v>151</v>
      </c>
      <c r="C57" s="91"/>
      <c r="D57" s="91"/>
      <c r="E57" s="91"/>
      <c r="F57" s="92"/>
      <c r="G57" s="75">
        <f>(G52-G53)*(1+'Fane 15. Nøgletal'!C15)</f>
        <v>45458051.77242776</v>
      </c>
      <c r="H57" s="14" t="s">
        <v>3</v>
      </c>
      <c r="I57" s="1"/>
    </row>
    <row r="58" spans="1:9" x14ac:dyDescent="0.25">
      <c r="A58" s="1"/>
      <c r="B58" s="90" t="s">
        <v>152</v>
      </c>
      <c r="C58" s="91"/>
      <c r="D58" s="91"/>
      <c r="E58" s="91"/>
      <c r="F58" s="92"/>
      <c r="G58" s="75">
        <f>(G57)*'Fane 15. Nøgletal'!C31</f>
        <v>909161.03544855525</v>
      </c>
      <c r="H58" s="14" t="s">
        <v>3</v>
      </c>
      <c r="I58" s="1"/>
    </row>
    <row r="59" spans="1:9" x14ac:dyDescent="0.25">
      <c r="A59" s="1"/>
      <c r="B59" s="32"/>
      <c r="C59" s="27"/>
      <c r="D59" s="27"/>
      <c r="E59" s="27"/>
      <c r="F59" s="27"/>
      <c r="G59" s="77"/>
      <c r="H59" s="19"/>
      <c r="I59" s="1"/>
    </row>
    <row r="60" spans="1:9" x14ac:dyDescent="0.25">
      <c r="A60" s="1"/>
      <c r="B60" s="1"/>
      <c r="C60" s="1"/>
      <c r="D60" s="1"/>
      <c r="E60" s="1"/>
      <c r="F60" s="1"/>
      <c r="G60" s="78"/>
      <c r="H60" s="1"/>
      <c r="I60" s="1"/>
    </row>
    <row r="61" spans="1:9" x14ac:dyDescent="0.25">
      <c r="A61" s="1"/>
      <c r="B61" s="131" t="s">
        <v>193</v>
      </c>
      <c r="C61" s="132"/>
      <c r="D61" s="132"/>
      <c r="E61" s="132"/>
      <c r="F61" s="132"/>
      <c r="G61" s="139"/>
      <c r="H61" s="133"/>
      <c r="I61" s="1"/>
    </row>
    <row r="62" spans="1:9" x14ac:dyDescent="0.25">
      <c r="A62" s="1"/>
      <c r="B62" s="90" t="s">
        <v>194</v>
      </c>
      <c r="C62" s="91"/>
      <c r="D62" s="91"/>
      <c r="E62" s="91"/>
      <c r="F62" s="92"/>
      <c r="G62" s="75">
        <f>(G57-G58)*(1+'Fane 15. Nøgletal'!C15)</f>
        <v>46134831.247215666</v>
      </c>
      <c r="H62" s="14" t="s">
        <v>3</v>
      </c>
      <c r="I62" s="1"/>
    </row>
    <row r="63" spans="1:9" x14ac:dyDescent="0.25">
      <c r="A63" s="1"/>
      <c r="B63" s="90" t="s">
        <v>195</v>
      </c>
      <c r="C63" s="91"/>
      <c r="D63" s="91"/>
      <c r="E63" s="91"/>
      <c r="F63" s="92"/>
      <c r="G63" s="75">
        <f>(G62)*'Fane 15. Nøgletal'!C31</f>
        <v>922696.62494431331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7Ht7V784Wy3/Uf1vLXz8zOY4FbpFr22+z/405q+u45WMrt3KQ3TtboryFvIHTJHH+W2vp1s34jvo1/+k6soboA==" saltValue="PFfHK88KeVjGRLZGnEAdx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5">
        <v>104948670</v>
      </c>
      <c r="H5" s="14" t="s">
        <v>3</v>
      </c>
      <c r="I5" s="1"/>
    </row>
    <row r="6" spans="1:9" x14ac:dyDescent="0.25">
      <c r="A6" s="1"/>
      <c r="B6" s="136" t="s">
        <v>57</v>
      </c>
      <c r="C6" s="137"/>
      <c r="D6" s="137"/>
      <c r="E6" s="137"/>
      <c r="F6" s="138"/>
      <c r="G6" s="75">
        <f>G5*'Fane 15. Nøgletal'!C20</f>
        <v>955032.897</v>
      </c>
      <c r="H6" s="14" t="s">
        <v>3</v>
      </c>
      <c r="I6" s="1"/>
    </row>
    <row r="7" spans="1:9" x14ac:dyDescent="0.25">
      <c r="A7" s="1"/>
      <c r="B7" s="32"/>
      <c r="C7" s="27"/>
      <c r="D7" s="27"/>
      <c r="E7" s="27"/>
      <c r="F7" s="27"/>
      <c r="G7" s="77"/>
      <c r="H7" s="19"/>
      <c r="I7" s="1"/>
    </row>
    <row r="8" spans="1:9" x14ac:dyDescent="0.25">
      <c r="A8" s="1"/>
      <c r="B8" s="1"/>
      <c r="C8" s="1"/>
      <c r="D8" s="1"/>
      <c r="E8" s="1"/>
      <c r="F8" s="1"/>
      <c r="G8" s="78"/>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5">
        <f>(G5-G6)*(1+'Fane 15. Nøgletal'!C10)</f>
        <v>105813525.75230251</v>
      </c>
      <c r="H10" s="14" t="s">
        <v>3</v>
      </c>
      <c r="I10" s="1"/>
    </row>
    <row r="11" spans="1:9" x14ac:dyDescent="0.25">
      <c r="A11" s="1"/>
      <c r="B11" s="136" t="s">
        <v>122</v>
      </c>
      <c r="C11" s="137"/>
      <c r="D11" s="137"/>
      <c r="E11" s="137"/>
      <c r="F11" s="138"/>
      <c r="G11" s="75">
        <v>406478.69199705572</v>
      </c>
      <c r="H11" s="14" t="s">
        <v>3</v>
      </c>
      <c r="I11" s="1"/>
    </row>
    <row r="12" spans="1:9" x14ac:dyDescent="0.25">
      <c r="A12" s="1"/>
      <c r="B12" s="143" t="s">
        <v>64</v>
      </c>
      <c r="C12" s="144"/>
      <c r="D12" s="144"/>
      <c r="E12" s="144"/>
      <c r="F12" s="145"/>
      <c r="G12" s="76">
        <v>0</v>
      </c>
      <c r="H12" s="14" t="s">
        <v>3</v>
      </c>
      <c r="I12" s="1"/>
    </row>
    <row r="13" spans="1:9" x14ac:dyDescent="0.25">
      <c r="A13" s="1"/>
      <c r="B13" s="136" t="s">
        <v>65</v>
      </c>
      <c r="C13" s="137"/>
      <c r="D13" s="137"/>
      <c r="E13" s="137"/>
      <c r="F13" s="138"/>
      <c r="G13" s="75">
        <f>SUM(G10:G12)*'Fane 15. Nøgletal'!C21</f>
        <v>1880094.0786641024</v>
      </c>
      <c r="H13" s="14" t="s">
        <v>3</v>
      </c>
      <c r="I13" s="1"/>
    </row>
    <row r="14" spans="1:9" x14ac:dyDescent="0.25">
      <c r="A14" s="1"/>
      <c r="B14" s="32"/>
      <c r="C14" s="27"/>
      <c r="D14" s="27"/>
      <c r="E14" s="27"/>
      <c r="F14" s="27"/>
      <c r="G14" s="77"/>
      <c r="H14" s="19"/>
      <c r="I14" s="1"/>
    </row>
    <row r="15" spans="1:9" x14ac:dyDescent="0.25">
      <c r="A15" s="1"/>
      <c r="B15" s="1"/>
      <c r="C15" s="1"/>
      <c r="D15" s="1"/>
      <c r="E15" s="1"/>
      <c r="F15" s="1"/>
      <c r="G15" s="78"/>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5">
        <f>(SUM(G10:G12)-G13)*(1+'Fane 15. Nøgletal'!C10)</f>
        <v>106165858.79703408</v>
      </c>
      <c r="H17" s="14" t="s">
        <v>3</v>
      </c>
      <c r="I17" s="1"/>
    </row>
    <row r="18" spans="1:9" x14ac:dyDescent="0.25">
      <c r="A18" s="1"/>
      <c r="B18" s="143" t="s">
        <v>68</v>
      </c>
      <c r="C18" s="144"/>
      <c r="D18" s="144"/>
      <c r="E18" s="144"/>
      <c r="F18" s="145"/>
      <c r="G18" s="75">
        <v>797146.60826630984</v>
      </c>
      <c r="H18" s="14" t="s">
        <v>3</v>
      </c>
      <c r="I18" s="1"/>
    </row>
    <row r="19" spans="1:9" x14ac:dyDescent="0.25">
      <c r="A19" s="1"/>
      <c r="B19" s="136" t="s">
        <v>69</v>
      </c>
      <c r="C19" s="137"/>
      <c r="D19" s="137"/>
      <c r="E19" s="137"/>
      <c r="F19" s="138"/>
      <c r="G19" s="75">
        <f>G17*'Fane 15. Nøgletal'!C21+G18*'Fane 15. Nøgletal'!C22</f>
        <v>1886070.8761994203</v>
      </c>
      <c r="H19" s="14" t="s">
        <v>3</v>
      </c>
      <c r="I19" s="1"/>
    </row>
    <row r="20" spans="1:9" x14ac:dyDescent="0.25">
      <c r="A20" s="1"/>
      <c r="B20" s="32"/>
      <c r="C20" s="27"/>
      <c r="D20" s="27"/>
      <c r="E20" s="27"/>
      <c r="F20" s="27"/>
      <c r="G20" s="77"/>
      <c r="H20" s="19"/>
      <c r="I20" s="1"/>
    </row>
    <row r="21" spans="1:9" x14ac:dyDescent="0.25">
      <c r="A21" s="1"/>
      <c r="B21" s="1"/>
      <c r="C21" s="1"/>
      <c r="D21" s="1"/>
      <c r="E21" s="1"/>
      <c r="F21" s="1"/>
      <c r="G21" s="78"/>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5">
        <f>(G17+G18-G19)*(1+'Fane 15. Nøgletal'!C12)</f>
        <v>107146950.13932426</v>
      </c>
      <c r="H23" s="14" t="s">
        <v>3</v>
      </c>
      <c r="I23" s="1"/>
    </row>
    <row r="24" spans="1:9" x14ac:dyDescent="0.25">
      <c r="A24" s="1"/>
      <c r="B24" s="143" t="s">
        <v>72</v>
      </c>
      <c r="C24" s="144"/>
      <c r="D24" s="144"/>
      <c r="E24" s="144"/>
      <c r="F24" s="145"/>
      <c r="G24" s="75">
        <v>1943251.5599132332</v>
      </c>
      <c r="H24" s="14" t="s">
        <v>3</v>
      </c>
      <c r="I24" s="1"/>
    </row>
    <row r="25" spans="1:9" x14ac:dyDescent="0.25">
      <c r="A25" s="1"/>
      <c r="B25" s="136" t="s">
        <v>73</v>
      </c>
      <c r="C25" s="137"/>
      <c r="D25" s="137"/>
      <c r="E25" s="137"/>
      <c r="F25" s="138"/>
      <c r="G25" s="75">
        <f>(G23+G24)*'Fane 15. Nøgletal'!C23</f>
        <v>3098161.7282583453</v>
      </c>
      <c r="H25" s="14" t="s">
        <v>3</v>
      </c>
      <c r="I25" s="1"/>
    </row>
    <row r="26" spans="1:9" x14ac:dyDescent="0.25">
      <c r="A26" s="1"/>
      <c r="B26" s="32"/>
      <c r="C26" s="27"/>
      <c r="D26" s="27"/>
      <c r="E26" s="27"/>
      <c r="F26" s="27"/>
      <c r="G26" s="77"/>
      <c r="H26" s="19"/>
      <c r="I26" s="1"/>
    </row>
    <row r="27" spans="1:9" x14ac:dyDescent="0.25">
      <c r="A27" s="1"/>
      <c r="B27" s="1"/>
      <c r="C27" s="1"/>
      <c r="D27" s="1"/>
      <c r="E27" s="1"/>
      <c r="F27" s="1"/>
      <c r="G27" s="78"/>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5">
        <f>(G23+G24-G25)*(1+'Fane 15. Nøgletal'!C12)</f>
        <v>108080083.15840745</v>
      </c>
      <c r="H29" s="14" t="s">
        <v>3</v>
      </c>
      <c r="I29" s="1"/>
    </row>
    <row r="30" spans="1:9" x14ac:dyDescent="0.25">
      <c r="A30" s="1"/>
      <c r="B30" s="136" t="s">
        <v>139</v>
      </c>
      <c r="C30" s="137"/>
      <c r="D30" s="137"/>
      <c r="E30" s="137"/>
      <c r="F30" s="138"/>
      <c r="G30" s="75">
        <v>894488.51205503999</v>
      </c>
      <c r="H30" s="14" t="s">
        <v>3</v>
      </c>
      <c r="I30" s="1"/>
    </row>
    <row r="31" spans="1:9" x14ac:dyDescent="0.25">
      <c r="A31" s="1"/>
      <c r="B31" s="136" t="s">
        <v>76</v>
      </c>
      <c r="C31" s="137"/>
      <c r="D31" s="137"/>
      <c r="E31" s="137"/>
      <c r="F31" s="138"/>
      <c r="G31" s="75">
        <f>G29*'Fane 15. Nøgletal'!C23+G30*'Fane 15. Nøgletal'!C24</f>
        <v>3094072.7957802853</v>
      </c>
      <c r="H31" s="14" t="s">
        <v>3</v>
      </c>
      <c r="I31" s="1"/>
    </row>
    <row r="32" spans="1:9" x14ac:dyDescent="0.25">
      <c r="A32" s="1"/>
      <c r="B32" s="32"/>
      <c r="C32" s="27"/>
      <c r="D32" s="27"/>
      <c r="E32" s="27"/>
      <c r="F32" s="27"/>
      <c r="G32" s="77"/>
      <c r="H32" s="19"/>
      <c r="I32" s="1"/>
    </row>
    <row r="33" spans="1:9" x14ac:dyDescent="0.25">
      <c r="A33" s="1"/>
      <c r="B33" s="1"/>
      <c r="C33" s="1"/>
      <c r="D33" s="1"/>
      <c r="E33" s="1"/>
      <c r="F33" s="1"/>
      <c r="G33" s="78"/>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5">
        <f>(G29+G30-G31)*(1+'Fane 15. Nøgletal'!C14)</f>
        <v>106229904.52096866</v>
      </c>
      <c r="H35" s="14" t="s">
        <v>3</v>
      </c>
      <c r="I35" s="1"/>
    </row>
    <row r="36" spans="1:9" x14ac:dyDescent="0.25">
      <c r="A36" s="1"/>
      <c r="B36" s="136" t="s">
        <v>167</v>
      </c>
      <c r="C36" s="137"/>
      <c r="D36" s="137"/>
      <c r="E36" s="137"/>
      <c r="F36" s="138"/>
      <c r="G36" s="75">
        <v>1059633.1120198602</v>
      </c>
      <c r="H36" s="14" t="s">
        <v>3</v>
      </c>
      <c r="I36" s="1"/>
    </row>
    <row r="37" spans="1:9" x14ac:dyDescent="0.25">
      <c r="A37" s="1"/>
      <c r="B37" s="136" t="s">
        <v>166</v>
      </c>
      <c r="C37" s="137"/>
      <c r="D37" s="137"/>
      <c r="E37" s="137"/>
      <c r="F37" s="138"/>
      <c r="G37" s="75">
        <f>(G35+G36)*'Fane 15. Nøgletal'!C25</f>
        <v>1587885.1569682304</v>
      </c>
      <c r="H37" s="14" t="s">
        <v>3</v>
      </c>
      <c r="I37" s="1"/>
    </row>
    <row r="38" spans="1:9" x14ac:dyDescent="0.25">
      <c r="A38" s="1"/>
      <c r="B38" s="32"/>
      <c r="C38" s="27"/>
      <c r="D38" s="27"/>
      <c r="E38" s="27"/>
      <c r="F38" s="27"/>
      <c r="G38" s="77"/>
      <c r="H38" s="19"/>
      <c r="I38" s="1"/>
    </row>
    <row r="39" spans="1:9" x14ac:dyDescent="0.25">
      <c r="A39" s="1"/>
      <c r="B39" s="1"/>
      <c r="C39" s="1"/>
      <c r="D39" s="1"/>
      <c r="E39" s="1"/>
      <c r="F39" s="1"/>
      <c r="G39" s="78"/>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5">
        <f>(G35+G36-G37)*(1+'Fane 15. Nøgletal'!C14)</f>
        <v>106050467.92919117</v>
      </c>
      <c r="H41" s="14" t="s">
        <v>3</v>
      </c>
      <c r="I41" s="1"/>
    </row>
    <row r="42" spans="1:9" x14ac:dyDescent="0.25">
      <c r="A42" s="1"/>
      <c r="B42" s="43" t="s">
        <v>229</v>
      </c>
      <c r="C42" s="91"/>
      <c r="D42" s="91"/>
      <c r="E42" s="91"/>
      <c r="F42" s="92"/>
      <c r="G42" s="79">
        <f>('Fane 2.1. Økonomisk ramme 2023'!C11+'Fane 2.1. Økonomisk ramme 2023'!C13+'Fane 2.1. Økonomisk ramme 2023'!C15)*(1+'Fane 15. Nøgletal'!C15)</f>
        <v>505449.57689856004</v>
      </c>
      <c r="H42" s="14" t="s">
        <v>3</v>
      </c>
      <c r="I42" s="1"/>
    </row>
    <row r="43" spans="1:9" x14ac:dyDescent="0.25">
      <c r="A43" s="1"/>
      <c r="B43" s="136" t="s">
        <v>168</v>
      </c>
      <c r="C43" s="137"/>
      <c r="D43" s="137"/>
      <c r="E43" s="137"/>
      <c r="F43" s="138"/>
      <c r="G43" s="75">
        <f>(G41)*'Fane 15. Nøgletal'!C25+G42*'Fane 15. Nøgletal'!C26</f>
        <v>1569546.9253520295</v>
      </c>
      <c r="H43" s="14" t="s">
        <v>3</v>
      </c>
      <c r="I43" s="1"/>
    </row>
    <row r="44" spans="1:9" x14ac:dyDescent="0.25">
      <c r="A44" s="1"/>
      <c r="B44" s="32"/>
      <c r="C44" s="27"/>
      <c r="D44" s="27"/>
      <c r="E44" s="27"/>
      <c r="F44" s="27"/>
      <c r="G44" s="77"/>
      <c r="H44" s="19"/>
      <c r="I44" s="1"/>
    </row>
    <row r="45" spans="1:9" x14ac:dyDescent="0.25">
      <c r="A45" s="1"/>
      <c r="B45" s="1"/>
      <c r="C45" s="1"/>
      <c r="D45" s="1"/>
      <c r="E45" s="1"/>
      <c r="F45" s="1"/>
      <c r="G45" s="78"/>
      <c r="H45" s="1"/>
      <c r="I45" s="1"/>
    </row>
    <row r="46" spans="1:9" x14ac:dyDescent="0.25">
      <c r="A46" s="1"/>
      <c r="B46" s="1"/>
      <c r="C46" s="1"/>
      <c r="D46" s="1"/>
      <c r="E46" s="1"/>
      <c r="F46" s="1"/>
      <c r="G46" s="78"/>
      <c r="H46" s="1"/>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
      <c r="C51" s="1"/>
      <c r="D51" s="1"/>
      <c r="E51" s="1"/>
      <c r="F51" s="1"/>
      <c r="G51" s="78"/>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5">
        <f>(G41+G42-G43)*(1+'Fane 15. Nøgletal'!C15)</f>
        <v>108723885.37341198</v>
      </c>
      <c r="H53" s="14" t="s">
        <v>3</v>
      </c>
      <c r="I53" s="1"/>
    </row>
    <row r="54" spans="1:9" x14ac:dyDescent="0.25">
      <c r="A54" s="1"/>
      <c r="B54" s="136" t="s">
        <v>141</v>
      </c>
      <c r="C54" s="137"/>
      <c r="D54" s="137"/>
      <c r="E54" s="137"/>
      <c r="F54" s="138"/>
      <c r="G54" s="75">
        <f>(G53)*'Fane 15. Nøgletal'!C26</f>
        <v>0</v>
      </c>
      <c r="H54" s="14" t="s">
        <v>3</v>
      </c>
      <c r="I54" s="1"/>
    </row>
    <row r="55" spans="1:9" x14ac:dyDescent="0.25">
      <c r="A55" s="1"/>
      <c r="B55" s="32"/>
      <c r="C55" s="27"/>
      <c r="D55" s="27"/>
      <c r="E55" s="27"/>
      <c r="F55" s="27"/>
      <c r="G55" s="77"/>
      <c r="H55" s="19"/>
      <c r="I55" s="1"/>
    </row>
    <row r="56" spans="1:9" x14ac:dyDescent="0.25">
      <c r="A56" s="1"/>
      <c r="B56" s="1"/>
      <c r="C56" s="1"/>
      <c r="D56" s="1"/>
      <c r="E56" s="1"/>
      <c r="F56" s="1"/>
      <c r="G56" s="78"/>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5">
        <f>(G53-G54)*(1+'Fane 15. Nøgletal'!C15)</f>
        <v>112594455.69270545</v>
      </c>
      <c r="H58" s="14" t="s">
        <v>3</v>
      </c>
      <c r="I58" s="1"/>
    </row>
    <row r="59" spans="1:9" x14ac:dyDescent="0.25">
      <c r="A59" s="1"/>
      <c r="B59" s="136" t="s">
        <v>174</v>
      </c>
      <c r="C59" s="137"/>
      <c r="D59" s="137"/>
      <c r="E59" s="137"/>
      <c r="F59" s="138"/>
      <c r="G59" s="75">
        <f>(G58)*'Fane 15. Nøgletal'!C26</f>
        <v>0</v>
      </c>
      <c r="H59" s="14" t="s">
        <v>3</v>
      </c>
      <c r="I59" s="1"/>
    </row>
    <row r="60" spans="1:9" x14ac:dyDescent="0.25">
      <c r="A60" s="1"/>
      <c r="B60" s="32"/>
      <c r="C60" s="27"/>
      <c r="D60" s="27"/>
      <c r="E60" s="27"/>
      <c r="F60" s="27"/>
      <c r="G60" s="77"/>
      <c r="H60" s="19"/>
      <c r="I60" s="1"/>
    </row>
    <row r="61" spans="1:9" x14ac:dyDescent="0.25">
      <c r="A61" s="1"/>
      <c r="B61" s="1"/>
      <c r="C61" s="1"/>
      <c r="D61" s="1"/>
      <c r="E61" s="1"/>
      <c r="F61" s="1"/>
      <c r="G61" s="78"/>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5">
        <f>(G58-G59)*(1+'Fane 15. Nøgletal'!C15)</f>
        <v>116602818.31536578</v>
      </c>
      <c r="H63" s="14" t="s">
        <v>3</v>
      </c>
      <c r="I63" s="1"/>
    </row>
    <row r="64" spans="1:9" x14ac:dyDescent="0.25">
      <c r="A64" s="1"/>
      <c r="B64" s="136" t="s">
        <v>198</v>
      </c>
      <c r="C64" s="137"/>
      <c r="D64" s="137"/>
      <c r="E64" s="137"/>
      <c r="F64" s="138"/>
      <c r="G64" s="75">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MtUl7sfcTzxio/xgElmDm8OuWl+qm6kuEnN92GFZmc+RMhbT8j6bWi/jJSQkYMd+TDlXIaz318/JizDKvSPDTg==" saltValue="PI07/nomRu5vTgQobri19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9" t="s">
        <v>10</v>
      </c>
      <c r="C8" s="149"/>
      <c r="D8" s="149"/>
      <c r="E8" s="149"/>
      <c r="F8" s="149"/>
      <c r="G8" s="149"/>
      <c r="H8" s="1"/>
    </row>
    <row r="9" spans="1:8" x14ac:dyDescent="0.25">
      <c r="A9" s="1"/>
      <c r="B9" s="136" t="s">
        <v>154</v>
      </c>
      <c r="C9" s="137"/>
      <c r="D9" s="137"/>
      <c r="E9" s="137"/>
      <c r="F9" s="138"/>
      <c r="G9" s="35">
        <v>1.4738173675768681E-2</v>
      </c>
      <c r="H9" s="1"/>
    </row>
    <row r="10" spans="1:8" x14ac:dyDescent="0.25">
      <c r="A10" s="1"/>
      <c r="B10" s="150"/>
      <c r="C10" s="150"/>
      <c r="D10" s="150"/>
      <c r="E10" s="150"/>
      <c r="F10" s="150"/>
      <c r="G10" s="150"/>
      <c r="H10" s="1"/>
    </row>
    <row r="11" spans="1:8" ht="29.25" customHeight="1" x14ac:dyDescent="0.25">
      <c r="A11" s="1"/>
      <c r="B11" s="148" t="s">
        <v>236</v>
      </c>
      <c r="C11" s="148"/>
      <c r="D11" s="148"/>
      <c r="E11" s="148"/>
      <c r="F11" s="148"/>
      <c r="G11" s="148"/>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ippLWPbSRuKymLJxwyZoEQVWMqNT/Ealbt86tIAdca0M2wuLsp7eAhvH98x8J6Gz50RJ95oZqdxuzJ+hglOzSQ==" saltValue="xptcjNxaFvHgbFM5pKre1Q=="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2022-12-01T08:33:32Z</dcterms:modified>
</cp:coreProperties>
</file>