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Måløv Rens AS (S07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9" i="40" l="1"/>
  <c r="E20" i="40" s="1"/>
  <c r="E11" i="11" l="1"/>
  <c r="E12" i="11"/>
  <c r="E13" i="11"/>
  <c r="E14" i="11"/>
  <c r="E10" i="20" l="1"/>
  <c r="E16" i="40"/>
  <c r="E12" i="40"/>
  <c r="E21" i="40" s="1"/>
  <c r="C14" i="19" l="1"/>
  <c r="E18" i="27" l="1"/>
  <c r="G26" i="30" l="1"/>
  <c r="E29" i="32" l="1"/>
  <c r="G33" i="36" l="1"/>
  <c r="G25" i="36" l="1"/>
  <c r="G32" i="36" s="1"/>
  <c r="G34" i="30" l="1"/>
  <c r="G33" i="30"/>
  <c r="E19" i="27" l="1"/>
  <c r="C13" i="2"/>
  <c r="C12" i="2"/>
  <c r="C11" i="2"/>
  <c r="C10" i="2"/>
  <c r="E15" i="11" l="1"/>
  <c r="E16" i="11"/>
  <c r="E10" i="11"/>
  <c r="G7" i="30" l="1"/>
  <c r="E29" i="20" l="1"/>
  <c r="E23" i="20"/>
  <c r="E17" i="20"/>
  <c r="E11" i="20"/>
  <c r="E12" i="20" s="1"/>
  <c r="E21" i="32" l="1"/>
  <c r="E12" i="32"/>
  <c r="E33" i="32" s="1"/>
  <c r="C34" i="2" l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2" i="15" s="1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E22" i="39"/>
  <c r="C23" i="15" s="1"/>
  <c r="E30" i="39"/>
  <c r="C22" i="22" s="1"/>
  <c r="C23" i="22" s="1"/>
  <c r="E38" i="39"/>
  <c r="C22" i="23" s="1"/>
  <c r="E14" i="39"/>
  <c r="C31" i="2" s="1"/>
  <c r="C14" i="39"/>
  <c r="C30" i="2" s="1"/>
  <c r="C23" i="23" l="1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7" i="11"/>
  <c r="C10" i="37" s="1"/>
  <c r="C11" i="37" s="1"/>
  <c r="C12" i="37" s="1"/>
  <c r="C14" i="2" s="1"/>
  <c r="G17" i="1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9" i="27" s="1"/>
  <c r="C9" i="2" l="1"/>
  <c r="C22" i="2"/>
  <c r="E17" i="11"/>
  <c r="E10" i="37" s="1"/>
  <c r="E11" i="37" s="1"/>
  <c r="E12" i="37" s="1"/>
  <c r="C15" i="2" s="1"/>
  <c r="G34" i="36" l="1"/>
  <c r="G35" i="36" s="1"/>
  <c r="C20" i="2"/>
  <c r="C21" i="2" l="1"/>
  <c r="G39" i="36"/>
  <c r="G41" i="36" s="1"/>
  <c r="C23" i="2"/>
  <c r="G42" i="30"/>
  <c r="C24" i="2" l="1"/>
  <c r="C37" i="2" s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<sst xmlns="http://schemas.openxmlformats.org/spreadsheetml/2006/main" count="731" uniqueCount="295">
  <si>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</si>
  <si>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</si>
  <si>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</si>
  <si>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</si>
  <si>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</si>
  <si>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</si>
  <si>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</si>
  <si>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</si>
  <si>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</si>
  <si>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</si>
  <si>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</si>
  <si>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</si>
  <si>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</si>
  <si>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</si>
  <si>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</si>
  <si>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</si>
  <si>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</si>
  <si>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</si>
  <si>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</si>
  <si>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</si>
  <si>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</si>
  <si>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</si>
  <si>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</si>
  <si>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</si>
  <si>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</si>
  <si>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</si>
  <si>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</si>
  <si>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</si>
  <si>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</si>
  <si>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</si>
  <si>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</si>
  <si>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</si>
  <si>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</si>
  <si>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</si>
  <si>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</si>
  <si>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</si>
  <si>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</si>
  <si>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</si>
  <si>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</si>
  <si>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</si>
  <si>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</si>
  <si>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</si>
  <si>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</si>
  <si>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</si>
  <si>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</si>
  <si>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</si>
  <si>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</si>
  <si>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</si>
  <si>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</si>
  <si>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</si>
  <si>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</si>
  <si>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</si>
  <si>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</si>
  <si>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</si>
  <si>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</si>
  <si>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</si>
  <si>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</si>
  <si>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</si>
  <si>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</si>
  <si>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</si>
  <si>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</si>
  <si>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</si>
  <si>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</si>
  <si>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</si>
  <si>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</si>
  <si>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</si>
  <si>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</si>
  <si>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</si>
  <si>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</si>
  <si>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</si>
  <si>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</si>
  <si>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</si>
  <si>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</si>
  <si>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</si>
  <si>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</si>
  <si>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</si>
  <si>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</si>
  <si>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</si>
  <si>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</si>
  <si>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</si>
  <si>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</si>
  <si>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</si>
  <si>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</si>
  <si>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</si>
  <si>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</si>
  <si>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</si>
  <si>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</si>
  <si>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</si>
  <si>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</si>
  <si>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</si>
  <si>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</si>
  <si>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</si>
  <si>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</si>
  <si>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</si>
  <si>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</si>
  <si>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</si>
  <si>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</si>
  <si>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</si>
  <si>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</si>
  <si>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</si>
  <si>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</si>
  <si>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</si>
  <si>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</si>
  <si>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</si>
  <si>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</si>
  <si>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</si>
  <si>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</si>
  <si>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</si>
  <si>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</si>
  <si>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</si>
  <si>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</si>
  <si>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</si>
  <si>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</si>
  <si>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</si>
  <si>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</si>
  <si>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</si>
  <si>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</si>
  <si>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</si>
  <si>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</si>
  <si>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</si>
  <si>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</si>
  <si>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</si>
  <si>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</si>
  <si>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</si>
  <si>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</si>
  <si>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</si>
  <si>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</si>
  <si>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</si>
  <si>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</si>
  <si>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</si>
  <si>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</si>
  <si>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</si>
  <si>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</si>
  <si>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</si>
  <si>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</si>
  <si>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</si>
  <si>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</si>
  <si>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</si>
  <si>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</si>
  <si>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</si>
  <si>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</si>
  <si>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</si>
  <si>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</si>
  <si>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</si>
  <si>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</si>
  <si>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</si>
  <si>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</si>
  <si>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</si>
  <si>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</si>
  <si>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</si>
  <si>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</si>
  <si>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</si>
  <si>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</si>
  <si>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</si>
  <si>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</si>
  <si>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</si>
  <si>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</si>
  <si>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</si>
  <si>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</si>
  <si>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</si>
  <si>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</si>
  <si>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</si>
  <si>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</si>
  <si>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</si>
  <si>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</si>
  <si>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</si>
  <si>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</si>
  <si>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</si>
  <si>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</si>
  <si>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</si>
  <si>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</si>
  <si>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</si>
  <si>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</si>
  <si>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</si>
  <si>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</si>
  <si>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</si>
  <si>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</si>
  <si>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</si>
  <si>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</si>
  <si>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</si>
  <si>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</si>
  <si>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</si>
  <si>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</si>
  <si>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</si>
  <si>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</si>
  <si>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</si>
  <si>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</si>
  <si>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</si>
  <si>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</si>
  <si>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</si>
  <si>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</si>
  <si>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</si>
  <si>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</si>
  <si>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</si>
  <si>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</si>
  <si>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</si>
  <si>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</si>
  <si>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</si>
  <si>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</si>
  <si>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</si>
  <si>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</si>
  <si>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</si>
  <si>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</si>
  <si>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</si>
  <si>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</si>
  <si>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</si>
  <si>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</si>
  <si>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</si>
  <si>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</si>
  <si>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</si>
  <si>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</si>
  <si>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</si>
  <si>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</si>
  <si>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</si>
  <si>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</si>
  <si>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</si>
  <si>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</si>
  <si>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</si>
  <si>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</si>
  <si>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</si>
  <si>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</si>
  <si>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</si>
  <si>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</si>
  <si>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</si>
  <si>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</si>
  <si>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</si>
  <si>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</si>
  <si>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</si>
  <si>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</si>
  <si>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</si>
  <si>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</si>
  <si>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</si>
  <si>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</si>
  <si>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</si>
  <si>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</si>
  <si>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</si>
  <si>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</si>
  <si>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</si>
  <si>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</si>
  <si>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</si>
  <si>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</si>
  <si>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</si>
  <si>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</si>
  <si>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</si>
  <si>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</si>
  <si>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</si>
  <si>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</si>
  <si>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</si>
  <si>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</si>
  <si>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</si>
  <si>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</si>
  <si>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</si>
  <si>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</si>
  <si>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</si>
  <si>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</si>
  <si>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</si>
  <si>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</si>
  <si>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</si>
  <si>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</si>
  <si>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</si>
  <si>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</si>
  <si>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</si>
  <si>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</si>
  <si>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</si>
  <si>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</si>
  <si>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</si>
  <si>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</si>
  <si>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</si>
  <si>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</si>
  <si>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</si>
  <si>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</si>
  <si>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</si>
  <si>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</si>
  <si>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</si>
  <si>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</si>
  <si>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engangstillæg</t>
  </si>
  <si>
    <t>Slutafvanding, slam - højteknologisk (centrifuger), Mek/El</t>
  </si>
  <si>
    <t>20</t>
  </si>
  <si>
    <t>Slutafvanding, slam - højteknologisk (centrifuger), SRO</t>
  </si>
  <si>
    <t>10</t>
  </si>
  <si>
    <t>Efterbehandlingsanlæg (sandfilter), Konstruktioner</t>
  </si>
  <si>
    <t>60</t>
  </si>
  <si>
    <t>Efterbehandlingsanlæg (sandfilter), Mek/EL</t>
  </si>
  <si>
    <t>Efterbehandlingsanlæg (sandfilter), SRO</t>
  </si>
  <si>
    <t>Indløb med riste, Mek/EL</t>
  </si>
  <si>
    <t>Indløb med riste, SRO</t>
  </si>
  <si>
    <t>Ingen bortfald</t>
  </si>
  <si>
    <t xml:space="preserve">Supplerende investeringstillæg </t>
  </si>
  <si>
    <t>Korrektion af supplerende investeringstillæg</t>
  </si>
  <si>
    <t xml:space="preserve">Supplerende investeringstillæg i den økonomiske ramme for 2019 </t>
  </si>
  <si>
    <t xml:space="preserve">Faktiske omkostninger i 2019 </t>
  </si>
  <si>
    <t>Driftsunderskud</t>
  </si>
  <si>
    <t>Fradrag for tidligere tillæg til driftsunderskud</t>
  </si>
  <si>
    <t>Supplerende inveteringstillæg</t>
  </si>
  <si>
    <t>Supplerende investeringstillæg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</si>
</sst>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9" fontId="8" fillId="8" borderId="1" xfId="4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263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41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17</v>
      </c>
      <c r="D14" s="62" t="s">
        <v>264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39</v>
      </c>
      <c r="D15" s="62" t="s">
        <v>104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40</v>
      </c>
      <c r="D16" s="62" t="s">
        <v>188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184</v>
      </c>
      <c r="D17" s="62" t="s">
        <v>189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156</v>
      </c>
      <c r="D18" s="65" t="s">
        <v>134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157</v>
      </c>
      <c r="D19" s="65" t="s">
        <v>135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158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108</v>
      </c>
      <c r="D22" s="57" t="s">
        <v>190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191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42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159</v>
      </c>
      <c r="D25" s="57" t="s">
        <v>109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160</v>
      </c>
      <c r="D26" s="57" t="s">
        <v>110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161</v>
      </c>
      <c r="D27" s="57" t="s">
        <v>111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187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44</v>
      </c>
      <c r="D29" s="57" t="s">
        <v>43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45</v>
      </c>
      <c r="D30" s="68" t="s">
        <v>151</v>
      </c>
      <c r="E30" s="69"/>
      <c r="F30" s="69"/>
      <c r="G30" s="7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wKu3EFfVwK0B201cYWYTr4p3lTVT6gBwWbm7iW2EAMsMiQNWc6xdh6Xad5mLVcXLwCIHSg+Mq2Oo+c0TyE5pg==" saltValue="t4qrLf75ebMOKVJ96r4JPw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165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203</v>
      </c>
      <c r="C8" s="99"/>
      <c r="D8" s="100"/>
      <c r="E8" s="1"/>
      <c r="F8" s="1"/>
    </row>
    <row r="9" spans="1:6" ht="15" customHeight="1" x14ac:dyDescent="0.25">
      <c r="A9" s="1"/>
      <c r="B9" s="44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51" t="s">
        <v>270</v>
      </c>
      <c r="C10" s="9">
        <v>1042761</v>
      </c>
      <c r="D10" s="14" t="s">
        <v>3</v>
      </c>
      <c r="E10" s="1"/>
      <c r="F10" s="1"/>
    </row>
    <row r="11" spans="1:6" x14ac:dyDescent="0.25">
      <c r="A11" s="1"/>
      <c r="B11" s="51" t="s">
        <v>271</v>
      </c>
      <c r="C11" s="9">
        <v>76060</v>
      </c>
      <c r="D11" s="14" t="s">
        <v>3</v>
      </c>
      <c r="E11" s="1"/>
      <c r="F11" s="1"/>
    </row>
    <row r="12" spans="1:6" x14ac:dyDescent="0.25">
      <c r="A12" s="1"/>
      <c r="B12" s="51" t="s">
        <v>272</v>
      </c>
      <c r="C12" s="9">
        <v>1718030</v>
      </c>
      <c r="D12" s="14" t="s">
        <v>3</v>
      </c>
      <c r="E12" s="1"/>
      <c r="F12" s="1"/>
    </row>
    <row r="13" spans="1:6" x14ac:dyDescent="0.25">
      <c r="A13" s="1"/>
      <c r="B13" s="51" t="s">
        <v>273</v>
      </c>
      <c r="C13" s="9">
        <v>133678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2970529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3043452.0411363603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8" t="s">
        <v>176</v>
      </c>
      <c r="C18" s="99"/>
      <c r="D18" s="100"/>
      <c r="E18" s="1"/>
      <c r="F18" s="1"/>
    </row>
    <row r="19" spans="1:6" x14ac:dyDescent="0.25">
      <c r="A19" s="1"/>
      <c r="B19" s="51" t="s">
        <v>142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1" t="s">
        <v>143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1" t="s">
        <v>144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1" t="s">
        <v>207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8"/>
      <c r="C23" s="99"/>
      <c r="D23" s="10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8" t="s">
        <v>141</v>
      </c>
      <c r="C26" s="99"/>
      <c r="D26" s="100"/>
      <c r="E26" s="1"/>
      <c r="F26" s="1"/>
    </row>
    <row r="27" spans="1:6" x14ac:dyDescent="0.25">
      <c r="A27" s="1"/>
      <c r="B27" s="51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1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1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1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8"/>
      <c r="C31" s="99"/>
      <c r="D31" s="10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Ydp/m+Dt55Tvly5hmE3IBJKFYBhY8f21vAzE1Ui1Iyu4Pqy6mPIziuoSHUp2pNvwxe/elmHAmqhc9L9WWWvNKw==" saltValue="jLN1fPTRZpnsrTIUYgyRq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208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250</v>
      </c>
      <c r="C8" s="99"/>
      <c r="D8" s="99"/>
      <c r="E8" s="99"/>
      <c r="F8" s="100"/>
      <c r="G8" s="1"/>
    </row>
    <row r="9" spans="1:7" x14ac:dyDescent="0.25">
      <c r="A9" s="1"/>
      <c r="B9" s="101" t="s">
        <v>251</v>
      </c>
      <c r="C9" s="102"/>
      <c r="D9" s="103"/>
      <c r="E9" s="9">
        <v>18148140.61227344</v>
      </c>
      <c r="F9" s="14" t="s">
        <v>3</v>
      </c>
      <c r="G9" s="1"/>
    </row>
    <row r="10" spans="1:7" x14ac:dyDescent="0.25">
      <c r="A10" s="1"/>
      <c r="B10" s="101" t="s">
        <v>252</v>
      </c>
      <c r="C10" s="102"/>
      <c r="D10" s="103"/>
      <c r="E10" s="9">
        <v>16542525</v>
      </c>
      <c r="F10" s="14" t="s">
        <v>3</v>
      </c>
      <c r="G10" s="1"/>
    </row>
    <row r="11" spans="1:7" x14ac:dyDescent="0.25">
      <c r="A11" s="1"/>
      <c r="B11" s="101" t="s">
        <v>38</v>
      </c>
      <c r="C11" s="102"/>
      <c r="D11" s="103"/>
      <c r="E11" s="9">
        <v>0</v>
      </c>
      <c r="F11" s="14" t="s">
        <v>3</v>
      </c>
      <c r="G11" s="1"/>
    </row>
    <row r="12" spans="1:7" x14ac:dyDescent="0.25">
      <c r="A12" s="1"/>
      <c r="B12" s="95" t="s">
        <v>257</v>
      </c>
      <c r="C12" s="96"/>
      <c r="D12" s="97"/>
      <c r="E12" s="10">
        <f>E9-(E10-E11)</f>
        <v>1605615.6122734398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9" t="s">
        <v>253</v>
      </c>
      <c r="C14" s="90"/>
      <c r="D14" s="90"/>
      <c r="E14" s="90"/>
      <c r="F14" s="9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8" t="s">
        <v>51</v>
      </c>
      <c r="C17" s="99"/>
      <c r="D17" s="99"/>
      <c r="E17" s="99"/>
      <c r="F17" s="100"/>
      <c r="G17" s="1"/>
    </row>
    <row r="18" spans="1:7" x14ac:dyDescent="0.25">
      <c r="A18" s="1"/>
      <c r="B18" s="101" t="s">
        <v>52</v>
      </c>
      <c r="C18" s="102"/>
      <c r="D18" s="103"/>
      <c r="E18" s="9">
        <v>18056706.813723855</v>
      </c>
      <c r="F18" s="14" t="s">
        <v>3</v>
      </c>
      <c r="G18" s="1"/>
    </row>
    <row r="19" spans="1:7" x14ac:dyDescent="0.25">
      <c r="A19" s="1"/>
      <c r="B19" s="101" t="s">
        <v>53</v>
      </c>
      <c r="C19" s="102"/>
      <c r="D19" s="103"/>
      <c r="E19" s="9">
        <v>19555802</v>
      </c>
      <c r="F19" s="14" t="s">
        <v>3</v>
      </c>
      <c r="G19" s="1"/>
    </row>
    <row r="20" spans="1:7" x14ac:dyDescent="0.25">
      <c r="A20" s="1"/>
      <c r="B20" s="101" t="s">
        <v>38</v>
      </c>
      <c r="C20" s="102"/>
      <c r="D20" s="103"/>
      <c r="E20" s="9">
        <v>0</v>
      </c>
      <c r="F20" s="14" t="s">
        <v>3</v>
      </c>
      <c r="G20" s="1"/>
    </row>
    <row r="21" spans="1:7" x14ac:dyDescent="0.25">
      <c r="A21" s="1"/>
      <c r="B21" s="95" t="s">
        <v>54</v>
      </c>
      <c r="C21" s="96"/>
      <c r="D21" s="97"/>
      <c r="E21" s="10">
        <f>E18-(E19-E20)</f>
        <v>-1499095.1862761453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9" t="s">
        <v>253</v>
      </c>
      <c r="C23" s="90"/>
      <c r="D23" s="90"/>
      <c r="E23" s="90"/>
      <c r="F23" s="91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8" t="s">
        <v>254</v>
      </c>
      <c r="C25" s="99"/>
      <c r="D25" s="99"/>
      <c r="E25" s="99"/>
      <c r="F25" s="100"/>
      <c r="G25" s="1"/>
    </row>
    <row r="26" spans="1:7" x14ac:dyDescent="0.25">
      <c r="A26" s="1"/>
      <c r="B26" s="101" t="s">
        <v>255</v>
      </c>
      <c r="C26" s="102"/>
      <c r="D26" s="103"/>
      <c r="E26" s="9">
        <v>17266236.380103696</v>
      </c>
      <c r="F26" s="14" t="s">
        <v>3</v>
      </c>
      <c r="G26" s="1"/>
    </row>
    <row r="27" spans="1:7" x14ac:dyDescent="0.25">
      <c r="A27" s="1"/>
      <c r="B27" s="101" t="s">
        <v>256</v>
      </c>
      <c r="C27" s="102"/>
      <c r="D27" s="103"/>
      <c r="E27" s="9">
        <v>17416790</v>
      </c>
      <c r="F27" s="14" t="s">
        <v>3</v>
      </c>
      <c r="G27" s="1"/>
    </row>
    <row r="28" spans="1:7" x14ac:dyDescent="0.25">
      <c r="A28" s="1"/>
      <c r="B28" s="101" t="s">
        <v>38</v>
      </c>
      <c r="C28" s="102"/>
      <c r="D28" s="103"/>
      <c r="E28" s="9">
        <v>0</v>
      </c>
      <c r="F28" s="14" t="s">
        <v>3</v>
      </c>
      <c r="G28" s="1"/>
    </row>
    <row r="29" spans="1:7" x14ac:dyDescent="0.25">
      <c r="A29" s="1"/>
      <c r="B29" s="95" t="s">
        <v>258</v>
      </c>
      <c r="C29" s="96"/>
      <c r="D29" s="97"/>
      <c r="E29" s="10">
        <f>E26-(E27-E28)</f>
        <v>-150553.61989630386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259</v>
      </c>
      <c r="C32" s="99"/>
      <c r="D32" s="99"/>
      <c r="E32" s="99"/>
      <c r="F32" s="100"/>
      <c r="G32" s="1"/>
    </row>
    <row r="33" spans="1:7" x14ac:dyDescent="0.25">
      <c r="A33" s="1"/>
      <c r="B33" s="112" t="s">
        <v>260</v>
      </c>
      <c r="C33" s="113"/>
      <c r="D33" s="114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-44033.193899009377</v>
      </c>
      <c r="F33" s="14" t="s">
        <v>3</v>
      </c>
      <c r="G33" s="1"/>
    </row>
    <row r="34" spans="1:7" x14ac:dyDescent="0.25">
      <c r="A34" s="1"/>
      <c r="B34" s="112" t="s">
        <v>147</v>
      </c>
      <c r="C34" s="113"/>
      <c r="D34" s="114"/>
      <c r="E34" s="9">
        <v>2</v>
      </c>
      <c r="F34" s="14" t="s">
        <v>21</v>
      </c>
      <c r="G34" s="1"/>
    </row>
    <row r="35" spans="1:7" x14ac:dyDescent="0.25">
      <c r="A35" s="1"/>
      <c r="B35" s="115" t="s">
        <v>262</v>
      </c>
      <c r="C35" s="115"/>
      <c r="D35" s="115"/>
      <c r="E35" s="10">
        <f>E33/E34</f>
        <v>-22016.596949504688</v>
      </c>
      <c r="F35" s="17" t="s">
        <v>3</v>
      </c>
      <c r="G35" s="1"/>
    </row>
    <row r="36" spans="1:7" x14ac:dyDescent="0.25">
      <c r="A36" s="1"/>
      <c r="B36" s="116"/>
      <c r="C36" s="117"/>
      <c r="D36" s="117"/>
      <c r="E36" s="117"/>
      <c r="F36" s="11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lz3wqHV+CWK6snYNB6RN7QCxmMDq1fytG2OWn0u76n2LUZrJT6ms8kzyBg3uEL+rxTc4X16yDleAVX8sWg0xRw==" saltValue="fYwMAYym3uLmiEUS3MzCOw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209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210</v>
      </c>
      <c r="C9" s="99"/>
      <c r="D9" s="99"/>
      <c r="E9" s="99"/>
      <c r="F9" s="99"/>
      <c r="G9" s="1"/>
    </row>
    <row r="10" spans="1:7" x14ac:dyDescent="0.25">
      <c r="A10" s="1"/>
      <c r="B10" s="89" t="s">
        <v>145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1" t="s">
        <v>211</v>
      </c>
      <c r="C11" s="102"/>
      <c r="D11" s="103"/>
      <c r="E11" s="7">
        <v>239336</v>
      </c>
      <c r="F11" s="8" t="s">
        <v>3</v>
      </c>
      <c r="G11" s="1"/>
    </row>
    <row r="12" spans="1:7" x14ac:dyDescent="0.25">
      <c r="A12" s="1"/>
      <c r="B12" s="95" t="s">
        <v>146</v>
      </c>
      <c r="C12" s="96"/>
      <c r="D12" s="97"/>
      <c r="E12" s="10">
        <f>E11</f>
        <v>239336</v>
      </c>
      <c r="F12" s="11" t="s">
        <v>3</v>
      </c>
      <c r="G12" s="1"/>
    </row>
    <row r="13" spans="1:7" x14ac:dyDescent="0.25">
      <c r="A13" s="1"/>
      <c r="B13" s="98" t="s">
        <v>133</v>
      </c>
      <c r="C13" s="99"/>
      <c r="D13" s="99"/>
      <c r="E13" s="99"/>
      <c r="F13" s="99"/>
      <c r="G13" s="1"/>
    </row>
    <row r="14" spans="1:7" x14ac:dyDescent="0.25">
      <c r="A14" s="1"/>
      <c r="B14" s="101" t="s">
        <v>212</v>
      </c>
      <c r="C14" s="102"/>
      <c r="D14" s="103"/>
      <c r="E14" s="9">
        <v>0</v>
      </c>
      <c r="F14" s="8" t="s">
        <v>3</v>
      </c>
      <c r="G14" s="1"/>
    </row>
    <row r="15" spans="1:7" x14ac:dyDescent="0.25">
      <c r="A15" s="1"/>
      <c r="B15" s="89" t="s">
        <v>213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95" t="s">
        <v>146</v>
      </c>
      <c r="C16" s="96"/>
      <c r="D16" s="97"/>
      <c r="E16" s="10">
        <f>E15-E14</f>
        <v>0</v>
      </c>
      <c r="F16" s="11" t="s">
        <v>3</v>
      </c>
      <c r="G16" s="1"/>
    </row>
    <row r="17" spans="1:7" x14ac:dyDescent="0.25">
      <c r="A17" s="1"/>
      <c r="B17" s="98" t="s">
        <v>288</v>
      </c>
      <c r="C17" s="99"/>
      <c r="D17" s="99"/>
      <c r="E17" s="99"/>
      <c r="F17" s="99"/>
      <c r="G17" s="1"/>
    </row>
    <row r="18" spans="1:7" x14ac:dyDescent="0.25">
      <c r="A18" s="1"/>
      <c r="B18" s="101" t="s">
        <v>289</v>
      </c>
      <c r="C18" s="102"/>
      <c r="D18" s="103"/>
      <c r="E18" s="9">
        <v>587000</v>
      </c>
      <c r="F18" s="8" t="s">
        <v>3</v>
      </c>
      <c r="G18" s="1"/>
    </row>
    <row r="19" spans="1:7" ht="15" customHeight="1" x14ac:dyDescent="0.25">
      <c r="A19" s="1"/>
      <c r="B19" s="89" t="s">
        <v>290</v>
      </c>
      <c r="C19" s="90"/>
      <c r="D19" s="91"/>
      <c r="E19" s="9">
        <f>448492*(1+'Fane 14. Nøgletal'!C13)^2*(1-'Fane 14. Nøgletal'!C22-'Fane 5. Individuelt eff. krav'!G10)</f>
        <v>446865.65449467482</v>
      </c>
      <c r="F19" s="8" t="s">
        <v>3</v>
      </c>
      <c r="G19" s="1"/>
    </row>
    <row r="20" spans="1:7" x14ac:dyDescent="0.25">
      <c r="A20" s="1"/>
      <c r="B20" s="95" t="s">
        <v>146</v>
      </c>
      <c r="C20" s="96"/>
      <c r="D20" s="97"/>
      <c r="E20" s="10">
        <f>-(E18-E19)</f>
        <v>-140134.34550532518</v>
      </c>
      <c r="F20" s="11" t="s">
        <v>3</v>
      </c>
      <c r="G20" s="1"/>
    </row>
    <row r="21" spans="1:7" ht="15" customHeight="1" x14ac:dyDescent="0.25">
      <c r="A21" s="1"/>
      <c r="B21" s="37" t="s">
        <v>214</v>
      </c>
      <c r="C21" s="38"/>
      <c r="D21" s="38"/>
      <c r="E21" s="12">
        <f>E12+E16+E20</f>
        <v>99201.654494674818</v>
      </c>
      <c r="F21" s="13" t="s">
        <v>3</v>
      </c>
      <c r="G21" s="1"/>
    </row>
    <row r="22" spans="1:7" ht="1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tX+vgbAa3EIFMjbp2ElsGaWOZtpzeHoQ/+XDWFXAOF9+5phSsLW0I2y97phHn3MWLd6NnSEtux0m5+zmpZO0Gg==" saltValue="IpQzlY66/+37XJna+2KlJA==" spinCount="100000" sheet="1" objects="1" scenarios="1"/>
  <mergeCells count="13">
    <mergeCell ref="B3:F4"/>
    <mergeCell ref="B10:D10"/>
    <mergeCell ref="B11:D11"/>
    <mergeCell ref="B14:D14"/>
    <mergeCell ref="B15:D15"/>
    <mergeCell ref="B9:F9"/>
    <mergeCell ref="B12:D12"/>
    <mergeCell ref="B17:F17"/>
    <mergeCell ref="B18:D18"/>
    <mergeCell ref="B19:D19"/>
    <mergeCell ref="B20:D20"/>
    <mergeCell ref="B13:F13"/>
    <mergeCell ref="B16:D16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235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236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5"/>
      <c r="I9" s="1"/>
    </row>
    <row r="10" spans="1:9" ht="39" x14ac:dyDescent="0.25">
      <c r="A10" s="1"/>
      <c r="B10" s="53" t="s">
        <v>276</v>
      </c>
      <c r="C10" s="40" t="s">
        <v>277</v>
      </c>
      <c r="D10" s="9">
        <v>5019662.66</v>
      </c>
      <c r="E10" s="9">
        <f>IFERROR(D10/C10,0)</f>
        <v>250983.133</v>
      </c>
      <c r="F10" s="9">
        <v>0</v>
      </c>
      <c r="G10" s="9">
        <v>81820.5</v>
      </c>
      <c r="H10" s="14" t="s">
        <v>3</v>
      </c>
      <c r="I10" s="1"/>
    </row>
    <row r="11" spans="1:9" ht="39" x14ac:dyDescent="0.25">
      <c r="A11" s="1"/>
      <c r="B11" s="53" t="s">
        <v>278</v>
      </c>
      <c r="C11" s="40" t="s">
        <v>279</v>
      </c>
      <c r="D11" s="9">
        <v>264192.77</v>
      </c>
      <c r="E11" s="9">
        <f t="shared" ref="E11:E14" si="0">IFERROR(D11/C11,0)</f>
        <v>26419.277000000002</v>
      </c>
      <c r="F11" s="9">
        <v>0</v>
      </c>
      <c r="G11" s="9">
        <v>4306.34</v>
      </c>
      <c r="H11" s="14" t="s">
        <v>3</v>
      </c>
      <c r="I11" s="1"/>
    </row>
    <row r="12" spans="1:9" ht="26.25" x14ac:dyDescent="0.25">
      <c r="A12" s="1"/>
      <c r="B12" s="53" t="s">
        <v>280</v>
      </c>
      <c r="C12" s="40" t="s">
        <v>281</v>
      </c>
      <c r="D12" s="9">
        <v>1574290.05</v>
      </c>
      <c r="E12" s="9">
        <f t="shared" si="0"/>
        <v>26238.1675</v>
      </c>
      <c r="F12" s="9">
        <v>0</v>
      </c>
      <c r="G12" s="9">
        <v>25660.93</v>
      </c>
      <c r="H12" s="14" t="s">
        <v>3</v>
      </c>
      <c r="I12" s="1"/>
    </row>
    <row r="13" spans="1:9" ht="26.25" x14ac:dyDescent="0.25">
      <c r="A13" s="1"/>
      <c r="B13" s="53" t="s">
        <v>282</v>
      </c>
      <c r="C13" s="40" t="s">
        <v>277</v>
      </c>
      <c r="D13" s="9">
        <v>8396213.5899999999</v>
      </c>
      <c r="E13" s="9">
        <f t="shared" si="0"/>
        <v>419810.67949999997</v>
      </c>
      <c r="F13" s="9">
        <v>0</v>
      </c>
      <c r="G13" s="9">
        <v>136858.28</v>
      </c>
      <c r="H13" s="14" t="s">
        <v>3</v>
      </c>
      <c r="I13" s="1"/>
    </row>
    <row r="14" spans="1:9" ht="26.25" x14ac:dyDescent="0.25">
      <c r="A14" s="1"/>
      <c r="B14" s="53" t="s">
        <v>283</v>
      </c>
      <c r="C14" s="40" t="s">
        <v>279</v>
      </c>
      <c r="D14" s="9">
        <v>524763.35</v>
      </c>
      <c r="E14" s="9">
        <f t="shared" si="0"/>
        <v>52476.334999999999</v>
      </c>
      <c r="F14" s="9">
        <v>0</v>
      </c>
      <c r="G14" s="9">
        <v>8553.64</v>
      </c>
      <c r="H14" s="14" t="s">
        <v>3</v>
      </c>
      <c r="I14" s="1"/>
    </row>
    <row r="15" spans="1:9" x14ac:dyDescent="0.25">
      <c r="A15" s="1"/>
      <c r="B15" s="53" t="s">
        <v>284</v>
      </c>
      <c r="C15" s="40" t="s">
        <v>277</v>
      </c>
      <c r="D15" s="9">
        <v>1692622.6</v>
      </c>
      <c r="E15" s="9">
        <f t="shared" ref="E15:E16" si="1">IFERROR(D15/C15,0)</f>
        <v>84631.13</v>
      </c>
      <c r="F15" s="9">
        <v>0</v>
      </c>
      <c r="G15" s="9">
        <v>27589.75</v>
      </c>
      <c r="H15" s="14" t="s">
        <v>3</v>
      </c>
      <c r="I15" s="1"/>
    </row>
    <row r="16" spans="1:9" x14ac:dyDescent="0.25">
      <c r="A16" s="1"/>
      <c r="B16" s="53" t="s">
        <v>285</v>
      </c>
      <c r="C16" s="40" t="s">
        <v>279</v>
      </c>
      <c r="D16" s="9">
        <v>89085.4</v>
      </c>
      <c r="E16" s="9">
        <f t="shared" si="1"/>
        <v>8908.5399999999991</v>
      </c>
      <c r="F16" s="9">
        <v>0</v>
      </c>
      <c r="G16" s="9">
        <v>1452.09</v>
      </c>
      <c r="H16" s="14" t="s">
        <v>3</v>
      </c>
      <c r="I16" s="1"/>
    </row>
    <row r="17" spans="1:9" x14ac:dyDescent="0.25">
      <c r="A17" s="1"/>
      <c r="B17" s="98" t="s">
        <v>237</v>
      </c>
      <c r="C17" s="99"/>
      <c r="D17" s="100"/>
      <c r="E17" s="12">
        <f>SUM(E10:E16)</f>
        <v>869467.26199999999</v>
      </c>
      <c r="F17" s="12">
        <f t="shared" ref="F17:G17" si="2">SUM(F10:F16)</f>
        <v>0</v>
      </c>
      <c r="G17" s="12">
        <f t="shared" si="2"/>
        <v>286241.53000000003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V4ZlXHN1Zso75k7Wf1wD2jy0+oBSrEfK/b4K7E9uEur9REgUA3fHFdJKPMhInzuIhFPGkh0G90Lfnkv3RfNI1A==" saltValue="lj2V/MTfYwNI9Ljyc9796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1" t="s">
        <v>18</v>
      </c>
      <c r="C9" s="41" t="s">
        <v>12</v>
      </c>
      <c r="D9" s="42"/>
      <c r="E9" s="41" t="s">
        <v>36</v>
      </c>
      <c r="F9" s="55"/>
      <c r="G9" s="1"/>
    </row>
    <row r="10" spans="1:7" x14ac:dyDescent="0.25">
      <c r="A10" s="1"/>
      <c r="B10" s="25" t="s">
        <v>238</v>
      </c>
      <c r="C10" s="22">
        <f>'Fane 9. Anlægsprojekter'!F17</f>
        <v>0</v>
      </c>
      <c r="D10" s="14" t="s">
        <v>3</v>
      </c>
      <c r="E10" s="9">
        <f>SUM('Fane 9. Anlægsprojekter'!E17,'Fane 9. Anlægsprojekter'!G17)</f>
        <v>1155708.7919999999</v>
      </c>
      <c r="F10" s="14" t="s">
        <v>3</v>
      </c>
      <c r="G10" s="1"/>
    </row>
    <row r="11" spans="1:7" x14ac:dyDescent="0.25">
      <c r="A11" s="1"/>
      <c r="B11" s="37" t="s">
        <v>49</v>
      </c>
      <c r="C11" s="12">
        <f>SUM(C10:C10)</f>
        <v>0</v>
      </c>
      <c r="D11" s="13" t="s">
        <v>3</v>
      </c>
      <c r="E11" s="12">
        <f>SUM(E10:E10)</f>
        <v>1155708.7919999999</v>
      </c>
      <c r="F11" s="13" t="s">
        <v>3</v>
      </c>
      <c r="G11" s="1"/>
    </row>
    <row r="12" spans="1:7" x14ac:dyDescent="0.25">
      <c r="A12" s="1"/>
      <c r="B12" s="37" t="s">
        <v>215</v>
      </c>
      <c r="C12" s="12">
        <f>C11*(1+'Fane 14. Nøgletal'!C13)</f>
        <v>0</v>
      </c>
      <c r="D12" s="13" t="s">
        <v>3</v>
      </c>
      <c r="E12" s="12">
        <f>E11*(1+'Fane 14. Nøgletal'!C13)</f>
        <v>1169808.4392623999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pUxWuma/wzU0DZApkv1H6vNZ3wMpFqmYFAARPiNPpz+xITPso3KK+rj/whJ/5lc4/i1/efjfCqqNTMqe1ZR1w==" saltValue="8XgRufrP7uXIKnDAWu7O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163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136</v>
      </c>
      <c r="C8" s="99"/>
      <c r="D8" s="99"/>
      <c r="E8" s="99"/>
      <c r="F8" s="100"/>
      <c r="G8" s="1"/>
    </row>
    <row r="9" spans="1:7" x14ac:dyDescent="0.25">
      <c r="A9" s="1"/>
      <c r="B9" s="41" t="s">
        <v>18</v>
      </c>
      <c r="C9" s="41" t="s">
        <v>12</v>
      </c>
      <c r="D9" s="42"/>
      <c r="E9" s="41" t="s">
        <v>36</v>
      </c>
      <c r="F9" s="55"/>
      <c r="G9" s="1"/>
    </row>
    <row r="10" spans="1:7" x14ac:dyDescent="0.25">
      <c r="A10" s="1"/>
      <c r="B10" s="25" t="s">
        <v>275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137</v>
      </c>
      <c r="C16" s="99"/>
      <c r="D16" s="99"/>
      <c r="E16" s="99"/>
      <c r="F16" s="100"/>
      <c r="G16" s="1"/>
    </row>
    <row r="17" spans="1:7" x14ac:dyDescent="0.25">
      <c r="A17" s="1"/>
      <c r="B17" s="41" t="s">
        <v>18</v>
      </c>
      <c r="C17" s="41" t="s">
        <v>12</v>
      </c>
      <c r="D17" s="42"/>
      <c r="E17" s="41" t="s">
        <v>36</v>
      </c>
      <c r="F17" s="55"/>
      <c r="G17" s="1"/>
    </row>
    <row r="18" spans="1:7" x14ac:dyDescent="0.25">
      <c r="A18" s="1"/>
      <c r="B18" s="25" t="s">
        <v>275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138</v>
      </c>
      <c r="C24" s="99"/>
      <c r="D24" s="99"/>
      <c r="E24" s="99"/>
      <c r="F24" s="100"/>
      <c r="G24" s="1"/>
    </row>
    <row r="25" spans="1:7" x14ac:dyDescent="0.25">
      <c r="A25" s="1"/>
      <c r="B25" s="41" t="s">
        <v>18</v>
      </c>
      <c r="C25" s="41" t="s">
        <v>12</v>
      </c>
      <c r="D25" s="42"/>
      <c r="E25" s="41" t="s">
        <v>36</v>
      </c>
      <c r="F25" s="55"/>
      <c r="G25" s="1"/>
    </row>
    <row r="26" spans="1:7" x14ac:dyDescent="0.25">
      <c r="A26" s="1"/>
      <c r="B26" s="25" t="s">
        <v>275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218</v>
      </c>
      <c r="C32" s="99"/>
      <c r="D32" s="99"/>
      <c r="E32" s="99"/>
      <c r="F32" s="100"/>
      <c r="G32" s="1"/>
    </row>
    <row r="33" spans="1:7" x14ac:dyDescent="0.25">
      <c r="A33" s="1"/>
      <c r="B33" s="41" t="s">
        <v>18</v>
      </c>
      <c r="C33" s="41" t="s">
        <v>12</v>
      </c>
      <c r="D33" s="42"/>
      <c r="E33" s="41" t="s">
        <v>36</v>
      </c>
      <c r="F33" s="55"/>
      <c r="G33" s="1"/>
    </row>
    <row r="34" spans="1:7" x14ac:dyDescent="0.25">
      <c r="A34" s="1"/>
      <c r="B34" s="25" t="s">
        <v>275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IuZLz+C0NdB4w3Q3oULdPMDtnTC7lcPKeYqDj705SRUyDZxh/4VF51mZoP2g33Oy2c3GJJNYaRqZ5zmspuj9A==" saltValue="A60L40IZxOMiyIQIlriO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175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79"/>
      <c r="C5" s="79"/>
      <c r="D5" s="79"/>
      <c r="E5" s="79"/>
      <c r="F5" s="7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123</v>
      </c>
      <c r="C8" s="99"/>
      <c r="D8" s="99"/>
      <c r="E8" s="99"/>
      <c r="F8" s="100"/>
      <c r="G8" s="1"/>
    </row>
    <row r="9" spans="1:7" x14ac:dyDescent="0.25">
      <c r="A9" s="1"/>
      <c r="B9" s="119" t="s">
        <v>219</v>
      </c>
      <c r="C9" s="120"/>
      <c r="D9" s="121"/>
      <c r="E9" s="9">
        <v>0</v>
      </c>
      <c r="F9" s="14" t="s">
        <v>3</v>
      </c>
      <c r="G9" s="1"/>
    </row>
    <row r="10" spans="1:7" x14ac:dyDescent="0.25">
      <c r="A10" s="1"/>
      <c r="B10" s="86" t="s">
        <v>10</v>
      </c>
      <c r="C10" s="87"/>
      <c r="D10" s="88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6" t="s">
        <v>29</v>
      </c>
      <c r="C11" s="87"/>
      <c r="D11" s="88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8" t="s">
        <v>126</v>
      </c>
      <c r="C12" s="99"/>
      <c r="D12" s="100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124</v>
      </c>
      <c r="C14" s="99"/>
      <c r="D14" s="99"/>
      <c r="E14" s="99"/>
      <c r="F14" s="100"/>
      <c r="G14" s="1"/>
    </row>
    <row r="15" spans="1:7" x14ac:dyDescent="0.25">
      <c r="A15" s="1"/>
      <c r="B15" s="119" t="s">
        <v>219</v>
      </c>
      <c r="C15" s="120"/>
      <c r="D15" s="121"/>
      <c r="E15" s="9">
        <v>0</v>
      </c>
      <c r="F15" s="14" t="s">
        <v>3</v>
      </c>
      <c r="G15" s="1"/>
    </row>
    <row r="16" spans="1:7" x14ac:dyDescent="0.25">
      <c r="A16" s="1"/>
      <c r="B16" s="86" t="s">
        <v>10</v>
      </c>
      <c r="C16" s="87"/>
      <c r="D16" s="88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6" t="s">
        <v>29</v>
      </c>
      <c r="C17" s="87"/>
      <c r="D17" s="88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8" t="s">
        <v>127</v>
      </c>
      <c r="C18" s="99"/>
      <c r="D18" s="100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125</v>
      </c>
      <c r="C20" s="99"/>
      <c r="D20" s="99"/>
      <c r="E20" s="99"/>
      <c r="F20" s="100"/>
      <c r="G20" s="1"/>
    </row>
    <row r="21" spans="1:7" x14ac:dyDescent="0.25">
      <c r="A21" s="1"/>
      <c r="B21" s="119" t="s">
        <v>219</v>
      </c>
      <c r="C21" s="120"/>
      <c r="D21" s="121"/>
      <c r="E21" s="9">
        <v>0</v>
      </c>
      <c r="F21" s="14" t="s">
        <v>3</v>
      </c>
      <c r="G21" s="1"/>
    </row>
    <row r="22" spans="1:7" x14ac:dyDescent="0.25">
      <c r="A22" s="1"/>
      <c r="B22" s="86" t="s">
        <v>10</v>
      </c>
      <c r="C22" s="87"/>
      <c r="D22" s="88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6" t="s">
        <v>29</v>
      </c>
      <c r="C23" s="87"/>
      <c r="D23" s="88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8" t="s">
        <v>128</v>
      </c>
      <c r="C24" s="99"/>
      <c r="D24" s="100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220</v>
      </c>
      <c r="C26" s="99"/>
      <c r="D26" s="99"/>
      <c r="E26" s="99"/>
      <c r="F26" s="100"/>
      <c r="G26" s="1"/>
    </row>
    <row r="27" spans="1:7" x14ac:dyDescent="0.25">
      <c r="A27" s="1"/>
      <c r="B27" s="119" t="s">
        <v>122</v>
      </c>
      <c r="C27" s="120"/>
      <c r="D27" s="121"/>
      <c r="E27" s="9">
        <v>0</v>
      </c>
      <c r="F27" s="14" t="s">
        <v>3</v>
      </c>
      <c r="G27" s="1"/>
    </row>
    <row r="28" spans="1:7" x14ac:dyDescent="0.25">
      <c r="A28" s="1"/>
      <c r="B28" s="86" t="s">
        <v>10</v>
      </c>
      <c r="C28" s="87"/>
      <c r="D28" s="88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6" t="s">
        <v>29</v>
      </c>
      <c r="C29" s="87"/>
      <c r="D29" s="88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8" t="s">
        <v>221</v>
      </c>
      <c r="C30" s="99"/>
      <c r="D30" s="100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CMNdFMY808aZLobDe0Mor23S1F+F7tZNbbBUARJuPjM1HsJ1kVMXU65oP/fke/NcJngp4vjkYphyqI9HqbUJA==" saltValue="/XBSNBirI9nvbgFl9al9GQ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223</v>
      </c>
      <c r="C8" s="99"/>
      <c r="D8" s="99"/>
      <c r="E8" s="99"/>
      <c r="F8" s="100"/>
      <c r="G8" s="1"/>
    </row>
    <row r="9" spans="1:7" ht="15" customHeight="1" x14ac:dyDescent="0.25">
      <c r="A9" s="1"/>
      <c r="B9" s="54" t="s">
        <v>224</v>
      </c>
      <c r="C9" s="76" t="s">
        <v>12</v>
      </c>
      <c r="D9" s="78"/>
      <c r="E9" s="122" t="s">
        <v>36</v>
      </c>
      <c r="F9" s="123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zV0R2JM7fJJ9EmsVRB/mr1Eqo/bwVOFFvqctHYc0txxouN1AM18NEhLNmMKLZwIvxpI8r84YwzHh9Y9Hb0dog==" saltValue="SU6IvvRweRFXxnOwTYlQ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162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130</v>
      </c>
      <c r="C8" s="99"/>
      <c r="D8" s="99"/>
      <c r="E8" s="99"/>
      <c r="F8" s="100"/>
      <c r="G8" s="1"/>
    </row>
    <row r="9" spans="1:7" ht="15" customHeight="1" x14ac:dyDescent="0.25">
      <c r="A9" s="1"/>
      <c r="B9" s="54" t="s">
        <v>19</v>
      </c>
      <c r="C9" s="54" t="s">
        <v>12</v>
      </c>
      <c r="D9" s="55"/>
      <c r="E9" s="54" t="s">
        <v>36</v>
      </c>
      <c r="F9" s="55"/>
      <c r="G9" s="1"/>
    </row>
    <row r="10" spans="1:7" x14ac:dyDescent="0.25">
      <c r="A10" s="1"/>
      <c r="B10" s="25" t="s">
        <v>286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129</v>
      </c>
      <c r="C14" s="99"/>
      <c r="D14" s="99"/>
      <c r="E14" s="99"/>
      <c r="F14" s="100"/>
      <c r="G14" s="1"/>
    </row>
    <row r="15" spans="1:7" ht="26.25" x14ac:dyDescent="0.25">
      <c r="A15" s="1"/>
      <c r="B15" s="54" t="s">
        <v>19</v>
      </c>
      <c r="C15" s="54" t="s">
        <v>12</v>
      </c>
      <c r="D15" s="55"/>
      <c r="E15" s="54" t="s">
        <v>36</v>
      </c>
      <c r="F15" s="55"/>
      <c r="G15" s="1"/>
    </row>
    <row r="16" spans="1:7" x14ac:dyDescent="0.25">
      <c r="A16" s="1"/>
      <c r="B16" s="25" t="s">
        <v>286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131</v>
      </c>
      <c r="C20" s="99"/>
      <c r="D20" s="99"/>
      <c r="E20" s="99"/>
      <c r="F20" s="100"/>
      <c r="G20" s="1"/>
    </row>
    <row r="21" spans="1:7" ht="26.25" x14ac:dyDescent="0.25">
      <c r="A21" s="1"/>
      <c r="B21" s="54" t="s">
        <v>19</v>
      </c>
      <c r="C21" s="54" t="s">
        <v>12</v>
      </c>
      <c r="D21" s="55"/>
      <c r="E21" s="54" t="s">
        <v>36</v>
      </c>
      <c r="F21" s="55"/>
      <c r="G21" s="1"/>
    </row>
    <row r="22" spans="1:7" x14ac:dyDescent="0.25">
      <c r="A22" s="1"/>
      <c r="B22" s="25" t="s">
        <v>286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26.25" x14ac:dyDescent="0.25">
      <c r="A27" s="1"/>
      <c r="B27" s="54" t="s">
        <v>19</v>
      </c>
      <c r="C27" s="54" t="s">
        <v>12</v>
      </c>
      <c r="D27" s="55"/>
      <c r="E27" s="54" t="s">
        <v>36</v>
      </c>
      <c r="F27" s="55"/>
      <c r="G27" s="1"/>
    </row>
    <row r="28" spans="1:7" x14ac:dyDescent="0.25">
      <c r="A28" s="1"/>
      <c r="B28" s="25" t="s">
        <v>286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qrq5c3L5p/hyEIAX67YB/RPybsrEjtybyJtej6JSWUH6IpwIDPlLgG08C+UDlivoHaKXxDe6iIiNWW01ONaTA==" saltValue="22Uif8GIP1FuYJW5CwnTv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265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51" t="s">
        <v>168</v>
      </c>
      <c r="C9" s="26">
        <v>1.2699999999999999E-2</v>
      </c>
      <c r="D9" s="1"/>
    </row>
    <row r="10" spans="1:4" x14ac:dyDescent="0.25">
      <c r="A10" s="1"/>
      <c r="B10" s="51" t="s">
        <v>169</v>
      </c>
      <c r="C10" s="26">
        <v>1.7500000000000002E-2</v>
      </c>
      <c r="D10" s="1"/>
    </row>
    <row r="11" spans="1:4" x14ac:dyDescent="0.25">
      <c r="A11" s="1"/>
      <c r="B11" s="51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51" t="s">
        <v>170</v>
      </c>
      <c r="C18" s="23">
        <v>9.1000000000000004E-3</v>
      </c>
      <c r="D18" s="1"/>
    </row>
    <row r="19" spans="1:4" x14ac:dyDescent="0.25">
      <c r="A19" s="1"/>
      <c r="B19" s="51" t="s">
        <v>172</v>
      </c>
      <c r="C19" s="23">
        <v>1.77E-2</v>
      </c>
      <c r="D19" s="1"/>
    </row>
    <row r="20" spans="1:4" x14ac:dyDescent="0.25">
      <c r="A20" s="1"/>
      <c r="B20" s="51" t="s">
        <v>171</v>
      </c>
      <c r="C20" s="23">
        <v>8.6999999999999994E-3</v>
      </c>
      <c r="D20" s="1"/>
    </row>
    <row r="21" spans="1:4" x14ac:dyDescent="0.25">
      <c r="A21" s="1"/>
      <c r="B21" s="51" t="s">
        <v>173</v>
      </c>
      <c r="C21" s="33">
        <v>2.8400000000000002E-2</v>
      </c>
      <c r="D21" s="1"/>
    </row>
    <row r="22" spans="1:4" x14ac:dyDescent="0.25">
      <c r="A22" s="1"/>
      <c r="B22" s="51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51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vzOSGbjOtp/vWYGP6Bbwo52yl+4C5AbYiTExRxcC6E47hJIJJ3ZqRzk3L+/OxJtI410wSw4Rhx/6ZWbt9+HbqA==" saltValue="X5PEAmeGTTIq01pu1g3+I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50" t="s">
        <v>27</v>
      </c>
      <c r="C9" s="7">
        <f>'Fane 3. Omkostninger i ØR2020'!E22</f>
        <v>14543177.804833017</v>
      </c>
      <c r="D9" s="8" t="s">
        <v>3</v>
      </c>
      <c r="E9" s="1"/>
    </row>
    <row r="10" spans="1:5" x14ac:dyDescent="0.25">
      <c r="A10" s="1"/>
      <c r="B10" s="52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2" t="s">
        <v>232</v>
      </c>
      <c r="C11" s="7">
        <f>'Fane 3. Omkostninger i ØR2020'!E11*(1+'Fane 14. Nøgletal'!C11)*(1-'Fane 14. Nøgletal'!C20-'Fane 5. Individuelt eff. krav'!G10)</f>
        <v>66547.358538341854</v>
      </c>
      <c r="D11" s="8" t="s">
        <v>3</v>
      </c>
      <c r="E11" s="1"/>
    </row>
    <row r="12" spans="1:5" ht="17.100000000000001" customHeight="1" x14ac:dyDescent="0.25">
      <c r="A12" s="1"/>
      <c r="B12" s="52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598394.99210145837</v>
      </c>
      <c r="D13" s="8" t="s">
        <v>3</v>
      </c>
      <c r="E13" s="1"/>
    </row>
    <row r="14" spans="1:5" ht="17.100000000000001" customHeight="1" x14ac:dyDescent="0.25">
      <c r="A14" s="1"/>
      <c r="B14" s="48" t="s">
        <v>46</v>
      </c>
      <c r="C14" s="7">
        <f>'Fane 10.1.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47</v>
      </c>
      <c r="C15" s="9">
        <f>'Fane 10.1. Varige tillæg'!E12</f>
        <v>1169808.4392623999</v>
      </c>
      <c r="D15" s="8" t="s">
        <v>3</v>
      </c>
      <c r="E15" s="1"/>
    </row>
    <row r="16" spans="1:5" ht="17.100000000000001" customHeight="1" x14ac:dyDescent="0.25">
      <c r="A16" s="1"/>
      <c r="B16" s="48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8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8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8" t="s">
        <v>20</v>
      </c>
      <c r="C20" s="9">
        <f>(C9-SUM(C10:C13))*'Fane 14. Nøgletal'!C10+SUM(C10:C11)*'Fane 14. Nøgletal'!C11+SUM(C12:C13)*'Fane 14. Nøgletal'!C12+SUM(C14:C19)*'Fane 14. Nøgletal'!C13</f>
        <v>270053.81511107931</v>
      </c>
      <c r="D20" s="8" t="s">
        <v>3</v>
      </c>
      <c r="E20" s="1"/>
    </row>
    <row r="21" spans="1:5" ht="17.100000000000001" customHeight="1" x14ac:dyDescent="0.25">
      <c r="A21" s="1"/>
      <c r="B21" s="48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8" t="s">
        <v>29</v>
      </c>
      <c r="C22" s="9">
        <f>-'Fane 4.1. Gen. krav - drift'!G36</f>
        <v>-186955.70659921371</v>
      </c>
      <c r="D22" s="8" t="s">
        <v>3</v>
      </c>
      <c r="E22" s="1"/>
    </row>
    <row r="23" spans="1:5" ht="15" customHeight="1" x14ac:dyDescent="0.25">
      <c r="A23" s="1"/>
      <c r="B23" s="48" t="s">
        <v>30</v>
      </c>
      <c r="C23" s="9">
        <f>-'Fane 4.2. Gen. krav - anlæg'!G35</f>
        <v>-134872.42023089281</v>
      </c>
      <c r="D23" s="8" t="s">
        <v>3</v>
      </c>
      <c r="E23" s="1"/>
    </row>
    <row r="24" spans="1:5" ht="15" customHeight="1" x14ac:dyDescent="0.25">
      <c r="A24" s="1"/>
      <c r="B24" s="47" t="s">
        <v>22</v>
      </c>
      <c r="C24" s="10">
        <f>SUM(C9,C14:C23)</f>
        <v>15661211.93237639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4" t="s">
        <v>13</v>
      </c>
      <c r="C26" s="10">
        <f>'Fane 6. Ikke-påvirkelige omk.'!C15+'Fane 6. Ikke-påvirkelige omk.'!C19+'Fane 6. Ikke-påvirkelige omk.'!C27</f>
        <v>3043452.0411363603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7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8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8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7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4" t="s">
        <v>191</v>
      </c>
      <c r="C34" s="10">
        <f>'Fane 8. Korrektion af ØR2019'!E21</f>
        <v>99201.654494674818</v>
      </c>
      <c r="D34" s="11" t="s">
        <v>3</v>
      </c>
      <c r="E34" s="1"/>
    </row>
    <row r="35" spans="1:5" x14ac:dyDescent="0.25">
      <c r="A35" s="1"/>
      <c r="B35" s="37" t="s">
        <v>287</v>
      </c>
      <c r="C35" s="38"/>
      <c r="D35" s="20"/>
      <c r="E35" s="1"/>
    </row>
    <row r="36" spans="1:5" x14ac:dyDescent="0.25">
      <c r="A36" s="1"/>
      <c r="B36" s="54" t="s">
        <v>287</v>
      </c>
      <c r="C36" s="10">
        <v>1924000</v>
      </c>
      <c r="D36" s="11" t="s">
        <v>3</v>
      </c>
      <c r="E36" s="1"/>
    </row>
    <row r="37" spans="1:5" x14ac:dyDescent="0.25">
      <c r="A37" s="1"/>
      <c r="B37" s="37" t="s">
        <v>33</v>
      </c>
      <c r="C37" s="12">
        <f>SUM(C24,C26,C28,C32,C34,C36)</f>
        <v>20727865.628007423</v>
      </c>
      <c r="D37" s="13" t="s">
        <v>3</v>
      </c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MqAa7Wg31O+P32EsTb12gyiCwDLDDjThmGTB3sSV4aiIompnCDjxWqfkAKsvYdCRrtZ7ZNh67HLWjIeMYPRUA==" saltValue="SSVIl4VX7f8zPscvQ8d1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195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50" t="s">
        <v>28</v>
      </c>
      <c r="C9" s="7">
        <f>'Fane 2.1. Økonomisk ramme 2021'!C24</f>
        <v>15661211.93237639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3" t="s">
        <v>20</v>
      </c>
      <c r="C12" s="9">
        <f>SUM(C9:C11)*'Fane 14. Nøgletal'!C13</f>
        <v>191066.78557499198</v>
      </c>
      <c r="D12" s="8" t="s">
        <v>3</v>
      </c>
      <c r="E12" s="1"/>
    </row>
    <row r="13" spans="1:5" ht="15" customHeight="1" x14ac:dyDescent="0.25">
      <c r="A13" s="1"/>
      <c r="B13" s="43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3" t="s">
        <v>29</v>
      </c>
      <c r="C14" s="9">
        <f>-'Fane 4.1. Gen. krav - drift'!G42</f>
        <v>-185451.83489532964</v>
      </c>
      <c r="D14" s="8" t="s">
        <v>3</v>
      </c>
      <c r="E14" s="1"/>
    </row>
    <row r="15" spans="1:5" ht="15" customHeight="1" x14ac:dyDescent="0.25">
      <c r="A15" s="1"/>
      <c r="B15" s="43" t="s">
        <v>30</v>
      </c>
      <c r="C15" s="9">
        <f>-'Fane 4.2. Gen. krav - anlæg'!G41</f>
        <v>-180791.22553952626</v>
      </c>
      <c r="D15" s="8" t="s">
        <v>3</v>
      </c>
      <c r="E15" s="1"/>
    </row>
    <row r="16" spans="1:5" ht="15" customHeight="1" x14ac:dyDescent="0.25">
      <c r="A16" s="1"/>
      <c r="B16" s="44" t="s">
        <v>22</v>
      </c>
      <c r="C16" s="10">
        <f>SUM(C9:C15)</f>
        <v>15486035.657516526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4" t="s">
        <v>13</v>
      </c>
      <c r="C18" s="10">
        <f>'Fane 6. Ikke-påvirkelige omk.'!C15*(1+'Fane 14. Nøgletal'!C13)+'Fane 6. Ikke-påvirkelige omk.'!C20+'Fane 6. Ikke-påvirkelige omk.'!C28</f>
        <v>3080582.1560382238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7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8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7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4" t="s">
        <v>249</v>
      </c>
      <c r="C26" s="10">
        <f>'Fane 7. Kontrol af ØR2019'!E35</f>
        <v>-22016.596949504688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18544601.216605246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vnYK6iTz5ATJXANbdBVULt4y2sHH8WGbm0gK9C++p1aVCHNLbGLP4htCk471Y5Rrg82JN7Grt4rH0RVhYv0vQ==" saltValue="3ZRatmR/KHXmikLKMfKw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196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50" t="s">
        <v>155</v>
      </c>
      <c r="C8" s="7">
        <f>'Fane 2.2. Økonomisk ramme 2022'!C16</f>
        <v>15486035.657516526</v>
      </c>
      <c r="D8" s="8" t="s">
        <v>3</v>
      </c>
      <c r="E8" s="1"/>
    </row>
    <row r="9" spans="1:5" ht="15" customHeight="1" x14ac:dyDescent="0.25">
      <c r="A9" s="1"/>
      <c r="B9" s="5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Nøgletal'!C13</f>
        <v>188929.63502170163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3" t="s">
        <v>29</v>
      </c>
      <c r="C13" s="9">
        <f>-'Fane 4.1. Gen. krav - drift'!G48</f>
        <v>-183960.0603354316</v>
      </c>
      <c r="D13" s="8" t="s">
        <v>3</v>
      </c>
      <c r="E13" s="1"/>
    </row>
    <row r="14" spans="1:5" ht="15" customHeight="1" x14ac:dyDescent="0.25">
      <c r="A14" s="1"/>
      <c r="B14" s="43" t="s">
        <v>30</v>
      </c>
      <c r="C14" s="9">
        <f>-'Fane 4.2. Gen. krav - anlæg'!G47</f>
        <v>-177964.46433260301</v>
      </c>
      <c r="D14" s="8" t="s">
        <v>3</v>
      </c>
      <c r="E14" s="1"/>
    </row>
    <row r="15" spans="1:5" x14ac:dyDescent="0.25">
      <c r="A15" s="1"/>
      <c r="B15" s="44" t="s">
        <v>22</v>
      </c>
      <c r="C15" s="10">
        <f>SUM(C8:C14)</f>
        <v>15313040.767870193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4" t="s">
        <v>13</v>
      </c>
      <c r="C17" s="10">
        <f>'Fane 6. Ikke-påvirkelige omk.'!C15*(1+'Fane 14. Nøgletal'!C13)^2+'Fane 6. Ikke-påvirkelige omk.'!C21+'Fane 6. Ikke-påvirkelige omk.'!C29</f>
        <v>3118165.2583418903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7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8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8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7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4" t="s">
        <v>249</v>
      </c>
      <c r="C25" s="10">
        <f>'Fane 7. Kontrol af ØR2019'!E35</f>
        <v>-22016.596949504688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18409189.429262578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+IAEA18VuEfXpgYLJsBqKQ+cb01vlL3wdMJsyXUSSWJSYrM6L+udhkbubxXREMtzrlyskkU/bsLCAFhnw1ZDQ==" saltValue="zW9EizgYhlqkziy8JAky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197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50" t="s">
        <v>198</v>
      </c>
      <c r="C8" s="7">
        <f>'Fane 2.3. Økonomisk ramme 2023'!C15</f>
        <v>15313040.767870193</v>
      </c>
      <c r="D8" s="8" t="s">
        <v>3</v>
      </c>
      <c r="E8" s="1"/>
    </row>
    <row r="9" spans="1:5" ht="15" customHeight="1" x14ac:dyDescent="0.25">
      <c r="A9" s="1"/>
      <c r="B9" s="5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3" t="s">
        <v>20</v>
      </c>
      <c r="C11" s="9">
        <f>SUM(C8:C10)*'Fane 14. Nøgletal'!C13</f>
        <v>186819.09736801637</v>
      </c>
      <c r="D11" s="8" t="s">
        <v>3</v>
      </c>
      <c r="E11" s="1"/>
    </row>
    <row r="12" spans="1:5" ht="15" customHeight="1" x14ac:dyDescent="0.25">
      <c r="A12" s="1"/>
      <c r="B12" s="43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3" t="s">
        <v>29</v>
      </c>
      <c r="C13" s="9">
        <f>-'Fane 4.1. Gen. krav - drift'!G55</f>
        <v>-182480.28561009336</v>
      </c>
      <c r="D13" s="8" t="s">
        <v>3</v>
      </c>
      <c r="E13" s="1"/>
    </row>
    <row r="14" spans="1:5" ht="15" customHeight="1" x14ac:dyDescent="0.25">
      <c r="A14" s="1"/>
      <c r="B14" s="43" t="s">
        <v>30</v>
      </c>
      <c r="C14" s="9">
        <f>-'Fane 4.2. Gen. krav - anlæg'!G54</f>
        <v>-175181.90095053057</v>
      </c>
      <c r="D14" s="8" t="s">
        <v>3</v>
      </c>
      <c r="E14" s="1"/>
    </row>
    <row r="15" spans="1:5" x14ac:dyDescent="0.25">
      <c r="A15" s="1"/>
      <c r="B15" s="44" t="s">
        <v>22</v>
      </c>
      <c r="C15" s="10">
        <f>SUM(C8:C14)</f>
        <v>15142197.678677587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4" t="s">
        <v>13</v>
      </c>
      <c r="C17" s="10">
        <f>'Fane 6. Ikke-påvirkelige omk.'!C15*(1+'Fane 14. Nøgletal'!C13)^3+'Fane 6. Ikke-påvirkelige omk.'!C22+'Fane 6. Ikke-påvirkelige omk.'!C30</f>
        <v>3156206.8744936613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7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8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8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7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18298404.553171247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qjGOBWCJ071ltwckmxVXtWJjBQIaqGzioW0xdhvHYkNAYpEAXi701NC3V9eTpmIkSK3aeE010BqCQpfzTDYsw==" saltValue="yb0N5CcPXslee647lfDp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200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80" t="s">
        <v>25</v>
      </c>
      <c r="C9" s="81"/>
      <c r="D9" s="82"/>
      <c r="E9" s="7">
        <v>13972807.688109938</v>
      </c>
      <c r="F9" s="8" t="s">
        <v>3</v>
      </c>
      <c r="G9" s="1"/>
    </row>
    <row r="10" spans="1:7" x14ac:dyDescent="0.25">
      <c r="A10" s="1"/>
      <c r="B10" s="86" t="s">
        <v>233</v>
      </c>
      <c r="C10" s="87"/>
      <c r="D10" s="88"/>
      <c r="E10" s="7">
        <v>0</v>
      </c>
      <c r="F10" s="8" t="s">
        <v>3</v>
      </c>
      <c r="G10" s="1"/>
    </row>
    <row r="11" spans="1:7" x14ac:dyDescent="0.25">
      <c r="A11" s="1"/>
      <c r="B11" s="86" t="s">
        <v>234</v>
      </c>
      <c r="C11" s="87"/>
      <c r="D11" s="88"/>
      <c r="E11" s="7">
        <v>66015.735798429188</v>
      </c>
      <c r="F11" s="8" t="s">
        <v>3</v>
      </c>
      <c r="G11" s="1"/>
    </row>
    <row r="12" spans="1:7" x14ac:dyDescent="0.25">
      <c r="A12" s="1"/>
      <c r="B12" s="83" t="s">
        <v>46</v>
      </c>
      <c r="C12" s="84"/>
      <c r="D12" s="85"/>
      <c r="E12" s="7">
        <v>0</v>
      </c>
      <c r="F12" s="8" t="s">
        <v>3</v>
      </c>
      <c r="G12" s="1"/>
    </row>
    <row r="13" spans="1:7" x14ac:dyDescent="0.25">
      <c r="A13" s="1"/>
      <c r="B13" s="83" t="s">
        <v>47</v>
      </c>
      <c r="C13" s="84"/>
      <c r="D13" s="85"/>
      <c r="E13" s="9">
        <v>603987.6032338501</v>
      </c>
      <c r="F13" s="8" t="s">
        <v>3</v>
      </c>
      <c r="G13" s="1"/>
    </row>
    <row r="14" spans="1:7" x14ac:dyDescent="0.25">
      <c r="A14" s="1"/>
      <c r="B14" s="83" t="s">
        <v>32</v>
      </c>
      <c r="C14" s="84"/>
      <c r="D14" s="85"/>
      <c r="E14" s="9">
        <v>0</v>
      </c>
      <c r="F14" s="8" t="s">
        <v>3</v>
      </c>
      <c r="G14" s="1"/>
    </row>
    <row r="15" spans="1:7" x14ac:dyDescent="0.25">
      <c r="A15" s="1"/>
      <c r="B15" s="83" t="s">
        <v>31</v>
      </c>
      <c r="C15" s="84"/>
      <c r="D15" s="85"/>
      <c r="E15" s="9">
        <v>0</v>
      </c>
      <c r="F15" s="8" t="s">
        <v>3</v>
      </c>
      <c r="G15" s="1"/>
    </row>
    <row r="16" spans="1:7" x14ac:dyDescent="0.25">
      <c r="A16" s="1"/>
      <c r="B16" s="83" t="s">
        <v>193</v>
      </c>
      <c r="C16" s="84"/>
      <c r="D16" s="85"/>
      <c r="E16" s="9">
        <v>0</v>
      </c>
      <c r="F16" s="8" t="s">
        <v>3</v>
      </c>
      <c r="G16" s="1"/>
    </row>
    <row r="17" spans="1:7" x14ac:dyDescent="0.25">
      <c r="A17" s="1"/>
      <c r="B17" s="83" t="s">
        <v>194</v>
      </c>
      <c r="C17" s="84"/>
      <c r="D17" s="85"/>
      <c r="E17" s="9">
        <v>0</v>
      </c>
      <c r="F17" s="8" t="s">
        <v>3</v>
      </c>
      <c r="G17" s="1"/>
    </row>
    <row r="18" spans="1:7" x14ac:dyDescent="0.25">
      <c r="A18" s="1"/>
      <c r="B18" s="83" t="s">
        <v>20</v>
      </c>
      <c r="C18" s="84"/>
      <c r="D18" s="85"/>
      <c r="E18" s="9">
        <f>(E9-SUM(E10:E11))*'Fane 14. Nøgletal'!C10+SUM(E10:E11)*'Fane 14. Nøgletal'!C11+SUM(E12:E17)*'Fane 14. Nøgletal'!C12</f>
        <v>256383.08088415171</v>
      </c>
      <c r="F18" s="8" t="s">
        <v>3</v>
      </c>
      <c r="G18" s="1"/>
    </row>
    <row r="19" spans="1:7" x14ac:dyDescent="0.25">
      <c r="A19" s="1"/>
      <c r="B19" s="83" t="s">
        <v>10</v>
      </c>
      <c r="C19" s="84"/>
      <c r="D19" s="85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3" t="s">
        <v>29</v>
      </c>
      <c r="C20" s="84"/>
      <c r="D20" s="85"/>
      <c r="E20" s="9">
        <f>-'Fane 4.1. Gen. krav - drift'!G28</f>
        <v>-187490.05325097899</v>
      </c>
      <c r="F20" s="8" t="s">
        <v>3</v>
      </c>
      <c r="G20" s="1"/>
    </row>
    <row r="21" spans="1:7" x14ac:dyDescent="0.25">
      <c r="A21" s="1"/>
      <c r="B21" s="83" t="s">
        <v>30</v>
      </c>
      <c r="C21" s="84"/>
      <c r="D21" s="85"/>
      <c r="E21" s="9">
        <f>-'Fane 4.2. Gen. krav - anlæg'!G27</f>
        <v>-102510.51414394256</v>
      </c>
      <c r="F21" s="8" t="s">
        <v>3</v>
      </c>
      <c r="G21" s="1"/>
    </row>
    <row r="22" spans="1:7" x14ac:dyDescent="0.25">
      <c r="A22" s="1"/>
      <c r="B22" s="92" t="s">
        <v>22</v>
      </c>
      <c r="C22" s="93"/>
      <c r="D22" s="94"/>
      <c r="E22" s="10">
        <f>SUM(E9,E12:E21)</f>
        <v>14543177.804833017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6" t="s">
        <v>13</v>
      </c>
      <c r="C24" s="77"/>
      <c r="D24" s="78"/>
      <c r="E24" s="10">
        <v>3246697.7592894901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5" t="s">
        <v>111</v>
      </c>
      <c r="C26" s="96"/>
      <c r="D26" s="97"/>
      <c r="E26" s="10">
        <v>80643.461735375007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6" t="s">
        <v>106</v>
      </c>
      <c r="C28" s="87"/>
      <c r="D28" s="88"/>
      <c r="E28" s="34">
        <v>0</v>
      </c>
      <c r="F28" s="8" t="s">
        <v>3</v>
      </c>
      <c r="G28" s="1"/>
    </row>
    <row r="29" spans="1:7" ht="15.75" customHeight="1" x14ac:dyDescent="0.25">
      <c r="A29" s="1"/>
      <c r="B29" s="86" t="s">
        <v>107</v>
      </c>
      <c r="C29" s="87"/>
      <c r="D29" s="88"/>
      <c r="E29" s="34">
        <v>25283.729675022587</v>
      </c>
      <c r="F29" s="8" t="s">
        <v>3</v>
      </c>
      <c r="G29" s="1"/>
    </row>
    <row r="30" spans="1:7" x14ac:dyDescent="0.25">
      <c r="A30" s="1"/>
      <c r="B30" s="47" t="s">
        <v>112</v>
      </c>
      <c r="C30" s="45"/>
      <c r="D30" s="46"/>
      <c r="E30" s="10">
        <v>25283.729675022587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6" t="s">
        <v>267</v>
      </c>
      <c r="C32" s="77"/>
      <c r="D32" s="78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6" t="s">
        <v>269</v>
      </c>
      <c r="C34" s="77"/>
      <c r="D34" s="78"/>
      <c r="E34" s="10">
        <v>-145873</v>
      </c>
      <c r="F34" s="11" t="s">
        <v>3</v>
      </c>
      <c r="G34" s="1"/>
    </row>
    <row r="35" spans="1:7" ht="15" customHeight="1" x14ac:dyDescent="0.25">
      <c r="A35" s="1"/>
      <c r="B35" s="37" t="s">
        <v>291</v>
      </c>
      <c r="C35" s="38"/>
      <c r="D35" s="38"/>
      <c r="E35" s="38"/>
      <c r="F35" s="20"/>
      <c r="G35" s="1"/>
    </row>
    <row r="36" spans="1:7" ht="15" customHeight="1" x14ac:dyDescent="0.25">
      <c r="A36" s="1"/>
      <c r="B36" s="76" t="s">
        <v>292</v>
      </c>
      <c r="C36" s="77"/>
      <c r="D36" s="78"/>
      <c r="E36" s="10">
        <v>-1000000</v>
      </c>
      <c r="F36" s="11" t="s">
        <v>3</v>
      </c>
      <c r="G36" s="1"/>
    </row>
    <row r="37" spans="1:7" ht="15" customHeight="1" x14ac:dyDescent="0.25">
      <c r="A37" s="1"/>
      <c r="B37" s="37" t="s">
        <v>293</v>
      </c>
      <c r="C37" s="38"/>
      <c r="D37" s="38"/>
      <c r="E37" s="38"/>
      <c r="F37" s="20"/>
      <c r="G37" s="1"/>
    </row>
    <row r="38" spans="1:7" ht="15" customHeight="1" x14ac:dyDescent="0.25">
      <c r="A38" s="1"/>
      <c r="B38" s="76" t="s">
        <v>294</v>
      </c>
      <c r="C38" s="77"/>
      <c r="D38" s="78"/>
      <c r="E38" s="10">
        <v>1486000</v>
      </c>
      <c r="F38" s="11" t="s">
        <v>3</v>
      </c>
      <c r="G38" s="1"/>
    </row>
    <row r="39" spans="1:7" x14ac:dyDescent="0.25">
      <c r="A39" s="1"/>
      <c r="B39" s="37" t="s">
        <v>26</v>
      </c>
      <c r="C39" s="38"/>
      <c r="D39" s="38"/>
      <c r="E39" s="12">
        <f>E22+E24+E26+E30+E32+E34+E36+E38</f>
        <v>18235929.755532902</v>
      </c>
      <c r="F39" s="13" t="s">
        <v>3</v>
      </c>
      <c r="G39" s="1"/>
    </row>
    <row r="40" spans="1:7" ht="26.85" customHeight="1" x14ac:dyDescent="0.25">
      <c r="A40" s="1"/>
      <c r="B40" s="89" t="s">
        <v>202</v>
      </c>
      <c r="C40" s="90"/>
      <c r="D40" s="90"/>
      <c r="E40" s="90"/>
      <c r="F40" s="9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iNINXREaZTarR47u3TxvFq0qFbJGflSK800OvjWBL63vKQ1pU+92QRu5dufVH/ogE4IJJdR8J+ObSRUDLpTiaA==" saltValue="FKJ0zFR38jWNEbWTUSIaDQ==" spinCount="100000" sheet="1" objects="1" scenarios="1"/>
  <mergeCells count="24">
    <mergeCell ref="B38:D38"/>
    <mergeCell ref="B40:F40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6:D36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9" t="s">
        <v>167</v>
      </c>
      <c r="C1" s="79"/>
      <c r="D1" s="79"/>
      <c r="E1" s="79"/>
      <c r="F1" s="79"/>
      <c r="G1" s="79"/>
      <c r="H1" s="79"/>
      <c r="I1" s="1"/>
    </row>
    <row r="2" spans="1:9" ht="15" customHeight="1" x14ac:dyDescent="0.25">
      <c r="A2" s="1"/>
      <c r="B2" s="79"/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x14ac:dyDescent="0.25">
      <c r="A4" s="1"/>
      <c r="B4" s="98" t="s">
        <v>66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55</v>
      </c>
      <c r="C5" s="102"/>
      <c r="D5" s="102"/>
      <c r="E5" s="102"/>
      <c r="F5" s="103"/>
      <c r="G5" s="24">
        <v>9465490.1500789989</v>
      </c>
      <c r="H5" s="14" t="s">
        <v>3</v>
      </c>
      <c r="I5" s="1"/>
    </row>
    <row r="6" spans="1:9" x14ac:dyDescent="0.25">
      <c r="A6" s="1"/>
      <c r="B6" s="89" t="s">
        <v>183</v>
      </c>
      <c r="C6" s="90"/>
      <c r="D6" s="90"/>
      <c r="E6" s="90"/>
      <c r="F6" s="91"/>
      <c r="G6" s="24">
        <v>251654.93729999999</v>
      </c>
      <c r="H6" s="14" t="s">
        <v>3</v>
      </c>
      <c r="I6" s="1"/>
    </row>
    <row r="7" spans="1:9" x14ac:dyDescent="0.25">
      <c r="A7" s="1"/>
      <c r="B7" s="101" t="s">
        <v>56</v>
      </c>
      <c r="C7" s="102"/>
      <c r="D7" s="102"/>
      <c r="E7" s="102"/>
      <c r="F7" s="103"/>
      <c r="G7" s="24">
        <f>SUM(G5:G6)*'Fane 14. Nøgletal'!C27</f>
        <v>194342.90174757998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67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57</v>
      </c>
      <c r="C11" s="102"/>
      <c r="D11" s="102"/>
      <c r="E11" s="102"/>
      <c r="F11" s="103"/>
      <c r="G11" s="24">
        <f>(G5-G7)*(1+'Fane 14. Nøgletal'!C10)</f>
        <v>9433392.3251772188</v>
      </c>
      <c r="H11" s="14" t="s">
        <v>3</v>
      </c>
      <c r="I11" s="1"/>
    </row>
    <row r="12" spans="1:9" x14ac:dyDescent="0.25">
      <c r="A12" s="1"/>
      <c r="B12" s="101" t="s">
        <v>185</v>
      </c>
      <c r="C12" s="102"/>
      <c r="D12" s="102"/>
      <c r="E12" s="102"/>
      <c r="F12" s="103"/>
      <c r="G12" s="24">
        <v>3.2954695052467287E-6</v>
      </c>
      <c r="H12" s="14" t="s">
        <v>3</v>
      </c>
      <c r="I12" s="1"/>
    </row>
    <row r="13" spans="1:9" x14ac:dyDescent="0.25">
      <c r="A13" s="1"/>
      <c r="B13" s="89" t="s">
        <v>182</v>
      </c>
      <c r="C13" s="90"/>
      <c r="D13" s="90"/>
      <c r="E13" s="90"/>
      <c r="F13" s="91"/>
      <c r="G13" s="24">
        <v>256058.96250000002</v>
      </c>
      <c r="H13" s="14" t="s">
        <v>3</v>
      </c>
      <c r="I13" s="1"/>
    </row>
    <row r="14" spans="1:9" x14ac:dyDescent="0.25">
      <c r="A14" s="1"/>
      <c r="B14" s="109" t="s">
        <v>58</v>
      </c>
      <c r="C14" s="107"/>
      <c r="D14" s="107"/>
      <c r="E14" s="107"/>
      <c r="F14" s="108"/>
      <c r="G14" s="24">
        <v>0</v>
      </c>
      <c r="H14" s="14" t="s">
        <v>3</v>
      </c>
      <c r="I14" s="1"/>
    </row>
    <row r="15" spans="1:9" x14ac:dyDescent="0.25">
      <c r="A15" s="1"/>
      <c r="B15" s="101" t="s">
        <v>59</v>
      </c>
      <c r="C15" s="102"/>
      <c r="D15" s="102"/>
      <c r="E15" s="102"/>
      <c r="F15" s="103"/>
      <c r="G15" s="24">
        <f>SUM(G11:G14)*'Fane 14. Nøgletal'!C27</f>
        <v>193789.02575361027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8" t="s">
        <v>68</v>
      </c>
      <c r="C18" s="99"/>
      <c r="D18" s="99"/>
      <c r="E18" s="99"/>
      <c r="F18" s="99"/>
      <c r="G18" s="99"/>
      <c r="H18" s="100"/>
      <c r="I18" s="1"/>
    </row>
    <row r="19" spans="1:9" x14ac:dyDescent="0.25">
      <c r="A19" s="1"/>
      <c r="B19" s="101" t="s">
        <v>60</v>
      </c>
      <c r="C19" s="102"/>
      <c r="D19" s="102"/>
      <c r="E19" s="102"/>
      <c r="F19" s="103"/>
      <c r="G19" s="24">
        <f>(G11+G12+G14-G15)*(1+'Fane 14. Nøgletal'!C10)</f>
        <v>9401296.3571668752</v>
      </c>
      <c r="H19" s="14" t="s">
        <v>3</v>
      </c>
      <c r="I19" s="1"/>
    </row>
    <row r="20" spans="1:9" x14ac:dyDescent="0.25">
      <c r="A20" s="1"/>
      <c r="B20" s="109" t="s">
        <v>61</v>
      </c>
      <c r="C20" s="107"/>
      <c r="D20" s="107"/>
      <c r="E20" s="107"/>
      <c r="F20" s="108"/>
      <c r="G20" s="24">
        <v>0</v>
      </c>
      <c r="H20" s="14" t="s">
        <v>3</v>
      </c>
      <c r="I20" s="1"/>
    </row>
    <row r="21" spans="1:9" x14ac:dyDescent="0.25">
      <c r="A21" s="1"/>
      <c r="B21" s="101" t="s">
        <v>62</v>
      </c>
      <c r="C21" s="102"/>
      <c r="D21" s="102"/>
      <c r="E21" s="102"/>
      <c r="F21" s="103"/>
      <c r="G21" s="24">
        <f>(G19+G20)*'Fane 14. Nøgletal'!C27</f>
        <v>188025.9271433375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8" t="s">
        <v>69</v>
      </c>
      <c r="C24" s="99"/>
      <c r="D24" s="99"/>
      <c r="E24" s="99"/>
      <c r="F24" s="99"/>
      <c r="G24" s="99"/>
      <c r="H24" s="100"/>
      <c r="I24" s="1"/>
    </row>
    <row r="25" spans="1:9" x14ac:dyDescent="0.25">
      <c r="A25" s="1"/>
      <c r="B25" s="101" t="s">
        <v>63</v>
      </c>
      <c r="C25" s="102"/>
      <c r="D25" s="102"/>
      <c r="E25" s="102"/>
      <c r="F25" s="103"/>
      <c r="G25" s="24">
        <f>G19*(1-'Fane 14. Nøgletal'!C27)*(1+'Fane 14. Nøgletal'!C10)+G20*(1-'Fane 14. Nøgletal'!C27)*(1+'Fane 14. Nøgletal'!C11)</f>
        <v>9374502.6625489499</v>
      </c>
      <c r="H25" s="14" t="s">
        <v>3</v>
      </c>
      <c r="I25" s="1"/>
    </row>
    <row r="26" spans="1:9" x14ac:dyDescent="0.25">
      <c r="A26" s="1"/>
      <c r="B26" s="104" t="s">
        <v>180</v>
      </c>
      <c r="C26" s="105"/>
      <c r="D26" s="105"/>
      <c r="E26" s="105"/>
      <c r="F26" s="106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09" t="s">
        <v>64</v>
      </c>
      <c r="C27" s="107"/>
      <c r="D27" s="107"/>
      <c r="E27" s="107"/>
      <c r="F27" s="108"/>
      <c r="G27" s="24">
        <v>0</v>
      </c>
      <c r="H27" s="14" t="s">
        <v>3</v>
      </c>
      <c r="I27" s="1"/>
    </row>
    <row r="28" spans="1:9" x14ac:dyDescent="0.25">
      <c r="A28" s="1"/>
      <c r="B28" s="101" t="s">
        <v>65</v>
      </c>
      <c r="C28" s="102"/>
      <c r="D28" s="102"/>
      <c r="E28" s="102"/>
      <c r="F28" s="103"/>
      <c r="G28" s="24">
        <f>SUM(G25,G27)*'Fane 14. Nøgletal'!C27</f>
        <v>187490.05325097899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72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1" t="s">
        <v>73</v>
      </c>
      <c r="C32" s="102"/>
      <c r="D32" s="102"/>
      <c r="E32" s="102"/>
      <c r="F32" s="103"/>
      <c r="G32" s="24">
        <f>(G25-G26)*(1-'Fane 14. Nøgletal'!C27)*(1+'Fane 14. Nøgletal'!C10)+G26*(1-'Fane 14. Nøgletal'!C27)*(1+'Fane 14. Nøgletal'!C11)+G27*(1-'Fane 14. Nøgletal'!C27)*(1+'Fane 14. Nøgletal'!C12)</f>
        <v>9347785.3299606852</v>
      </c>
      <c r="H32" s="14" t="s">
        <v>3</v>
      </c>
      <c r="I32" s="1"/>
    </row>
    <row r="33" spans="1:9" x14ac:dyDescent="0.25">
      <c r="A33" s="1"/>
      <c r="B33" s="104" t="s">
        <v>180</v>
      </c>
      <c r="C33" s="107"/>
      <c r="D33" s="107"/>
      <c r="E33" s="107"/>
      <c r="F33" s="108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4" t="s">
        <v>181</v>
      </c>
      <c r="C34" s="107"/>
      <c r="D34" s="107"/>
      <c r="E34" s="107"/>
      <c r="F34" s="108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101" t="s">
        <v>239</v>
      </c>
      <c r="C35" s="102"/>
      <c r="D35" s="102"/>
      <c r="E35" s="102"/>
      <c r="F35" s="103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25">
      <c r="A36" s="1"/>
      <c r="B36" s="101" t="s">
        <v>74</v>
      </c>
      <c r="C36" s="102"/>
      <c r="D36" s="102"/>
      <c r="E36" s="102"/>
      <c r="F36" s="103"/>
      <c r="G36" s="24">
        <f>SUM(G32,G35)*'Fane 14. Nøgletal'!C27</f>
        <v>186955.70659921371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8" t="s">
        <v>99</v>
      </c>
      <c r="C39" s="99"/>
      <c r="D39" s="99"/>
      <c r="E39" s="99"/>
      <c r="F39" s="99"/>
      <c r="G39" s="99"/>
      <c r="H39" s="100"/>
      <c r="I39" s="1"/>
    </row>
    <row r="40" spans="1:9" x14ac:dyDescent="0.25">
      <c r="A40" s="1"/>
      <c r="B40" s="101" t="s">
        <v>98</v>
      </c>
      <c r="C40" s="102"/>
      <c r="D40" s="102"/>
      <c r="E40" s="102"/>
      <c r="F40" s="103"/>
      <c r="G40" s="24">
        <f>(SUM(G32,G35)-G36)*(1+'Fane 14. Nøgletal'!C13)</f>
        <v>9272591.7447664812</v>
      </c>
      <c r="H40" s="14" t="s">
        <v>3</v>
      </c>
      <c r="I40" s="1"/>
    </row>
    <row r="41" spans="1:9" x14ac:dyDescent="0.25">
      <c r="A41" s="1"/>
      <c r="B41" s="101" t="s">
        <v>114</v>
      </c>
      <c r="C41" s="102"/>
      <c r="D41" s="102"/>
      <c r="E41" s="102"/>
      <c r="F41" s="103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101" t="s">
        <v>75</v>
      </c>
      <c r="C42" s="102"/>
      <c r="D42" s="102"/>
      <c r="E42" s="102"/>
      <c r="F42" s="103"/>
      <c r="G42" s="24">
        <f>(G40+G41)*'Fane 14. Nøgletal'!C27</f>
        <v>185451.83489532964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8" t="s">
        <v>100</v>
      </c>
      <c r="C45" s="99"/>
      <c r="D45" s="99"/>
      <c r="E45" s="99"/>
      <c r="F45" s="99"/>
      <c r="G45" s="99"/>
      <c r="H45" s="100"/>
      <c r="I45" s="1"/>
    </row>
    <row r="46" spans="1:9" x14ac:dyDescent="0.25">
      <c r="A46" s="1"/>
      <c r="B46" s="101" t="s">
        <v>97</v>
      </c>
      <c r="C46" s="102"/>
      <c r="D46" s="102"/>
      <c r="E46" s="102"/>
      <c r="F46" s="103"/>
      <c r="G46" s="24">
        <f>(G40+G41-G42)*(1+'Fane 14. Nøgletal'!C13)</f>
        <v>9198003.0167715792</v>
      </c>
      <c r="H46" s="14" t="s">
        <v>3</v>
      </c>
      <c r="I46" s="1"/>
    </row>
    <row r="47" spans="1:9" x14ac:dyDescent="0.25">
      <c r="A47" s="1"/>
      <c r="B47" s="101" t="s">
        <v>115</v>
      </c>
      <c r="C47" s="102"/>
      <c r="D47" s="102"/>
      <c r="E47" s="102"/>
      <c r="F47" s="103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101" t="s">
        <v>76</v>
      </c>
      <c r="C48" s="102"/>
      <c r="D48" s="102"/>
      <c r="E48" s="102"/>
      <c r="F48" s="103"/>
      <c r="G48" s="24">
        <f>(G46+G47)*'Fane 14. Nøgletal'!C27</f>
        <v>183960.0603354316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8" t="s">
        <v>240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1" t="s">
        <v>241</v>
      </c>
      <c r="C53" s="102"/>
      <c r="D53" s="102"/>
      <c r="E53" s="102"/>
      <c r="F53" s="103"/>
      <c r="G53" s="24">
        <f>(G46+G47-G48)*(1+'Fane 14. Nøgletal'!C13)</f>
        <v>9124014.2805046681</v>
      </c>
      <c r="H53" s="14" t="s">
        <v>3</v>
      </c>
      <c r="I53" s="1"/>
    </row>
    <row r="54" spans="1:9" x14ac:dyDescent="0.25">
      <c r="A54" s="1"/>
      <c r="B54" s="101" t="s">
        <v>242</v>
      </c>
      <c r="C54" s="102"/>
      <c r="D54" s="102"/>
      <c r="E54" s="102"/>
      <c r="F54" s="103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101" t="s">
        <v>243</v>
      </c>
      <c r="C55" s="102"/>
      <c r="D55" s="102"/>
      <c r="E55" s="102"/>
      <c r="F55" s="103"/>
      <c r="G55" s="24">
        <f>(G53+G54)*'Fane 14. Nøgletal'!C27</f>
        <v>182480.28561009336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aH+yC+UyFSJYCwayLMnGteLScr5TV3dC6SeAv0EQS+As2rsVuBqSgA1bF1iUCekv17uGFoseNzwSj3GNaePuYg==" saltValue="gQlnZ9UGlVfL4VcoJKZDEA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2.7109375" style="2" customWidth="1"/>
    <col min="7" max="7" width="9.8554687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0" t="s">
        <v>166</v>
      </c>
      <c r="C2" s="110"/>
      <c r="D2" s="110"/>
      <c r="E2" s="110"/>
      <c r="F2" s="110"/>
      <c r="G2" s="110"/>
      <c r="H2" s="110"/>
      <c r="I2" s="1"/>
    </row>
    <row r="3" spans="1:9" ht="28.5" customHeight="1" x14ac:dyDescent="0.25">
      <c r="A3" s="1"/>
      <c r="B3" s="110"/>
      <c r="C3" s="110"/>
      <c r="D3" s="110"/>
      <c r="E3" s="110"/>
      <c r="F3" s="110"/>
      <c r="G3" s="110"/>
      <c r="H3" s="110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8" t="s">
        <v>70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77</v>
      </c>
      <c r="C6" s="102"/>
      <c r="D6" s="102"/>
      <c r="E6" s="102"/>
      <c r="F6" s="103"/>
      <c r="G6" s="24">
        <v>4435445.0346933687</v>
      </c>
      <c r="H6" s="14" t="s">
        <v>3</v>
      </c>
      <c r="I6" s="1"/>
    </row>
    <row r="7" spans="1:9" x14ac:dyDescent="0.25">
      <c r="A7" s="1"/>
      <c r="B7" s="101" t="s">
        <v>71</v>
      </c>
      <c r="C7" s="102"/>
      <c r="D7" s="102"/>
      <c r="E7" s="102"/>
      <c r="F7" s="103"/>
      <c r="G7" s="24">
        <f>G6*'Fane 14. Nøgletal'!C18</f>
        <v>40362.549815709659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78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79</v>
      </c>
      <c r="C11" s="102"/>
      <c r="D11" s="102"/>
      <c r="E11" s="102"/>
      <c r="F11" s="103"/>
      <c r="G11" s="24">
        <f>(G6-G7)*(1+'Fane 14. Nøgletal'!C10)</f>
        <v>4471996.4283630187</v>
      </c>
      <c r="H11" s="14" t="s">
        <v>3</v>
      </c>
      <c r="I11" s="1"/>
    </row>
    <row r="12" spans="1:9" x14ac:dyDescent="0.25">
      <c r="A12" s="1"/>
      <c r="B12" s="101" t="s">
        <v>186</v>
      </c>
      <c r="C12" s="102"/>
      <c r="D12" s="102"/>
      <c r="E12" s="102"/>
      <c r="F12" s="103"/>
      <c r="G12" s="24">
        <v>303226.83097480662</v>
      </c>
      <c r="H12" s="14" t="s">
        <v>3</v>
      </c>
      <c r="I12" s="1"/>
    </row>
    <row r="13" spans="1:9" x14ac:dyDescent="0.25">
      <c r="A13" s="1"/>
      <c r="B13" s="109" t="s">
        <v>80</v>
      </c>
      <c r="C13" s="107"/>
      <c r="D13" s="107"/>
      <c r="E13" s="107"/>
      <c r="F13" s="108"/>
      <c r="G13" s="24">
        <v>0</v>
      </c>
      <c r="H13" s="14" t="s">
        <v>3</v>
      </c>
      <c r="I13" s="1"/>
    </row>
    <row r="14" spans="1:9" x14ac:dyDescent="0.25">
      <c r="A14" s="1"/>
      <c r="B14" s="101" t="s">
        <v>81</v>
      </c>
      <c r="C14" s="102"/>
      <c r="D14" s="102"/>
      <c r="E14" s="102"/>
      <c r="F14" s="103"/>
      <c r="G14" s="24">
        <f>SUM(G11:G13)*'Fane 14. Nøgletal'!C19</f>
        <v>84521.451690279515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8" t="s">
        <v>82</v>
      </c>
      <c r="C17" s="99"/>
      <c r="D17" s="99"/>
      <c r="E17" s="99"/>
      <c r="F17" s="99"/>
      <c r="G17" s="99"/>
      <c r="H17" s="100"/>
      <c r="I17" s="1"/>
    </row>
    <row r="18" spans="1:9" x14ac:dyDescent="0.25">
      <c r="A18" s="1"/>
      <c r="B18" s="101" t="s">
        <v>83</v>
      </c>
      <c r="C18" s="102"/>
      <c r="D18" s="102"/>
      <c r="E18" s="102"/>
      <c r="F18" s="103"/>
      <c r="G18" s="24">
        <f>(G11+G12+G13-G14)*(1+'Fane 14. Nøgletal'!C10)</f>
        <v>4772789.0892813783</v>
      </c>
      <c r="H18" s="14" t="s">
        <v>3</v>
      </c>
      <c r="I18" s="1"/>
    </row>
    <row r="19" spans="1:9" x14ac:dyDescent="0.25">
      <c r="A19" s="1"/>
      <c r="B19" s="109" t="s">
        <v>84</v>
      </c>
      <c r="C19" s="107"/>
      <c r="D19" s="107"/>
      <c r="E19" s="107"/>
      <c r="F19" s="108"/>
      <c r="G19" s="24">
        <v>66595.113283999992</v>
      </c>
      <c r="H19" s="14" t="s">
        <v>3</v>
      </c>
      <c r="I19" s="1"/>
    </row>
    <row r="20" spans="1:9" x14ac:dyDescent="0.25">
      <c r="A20" s="1"/>
      <c r="B20" s="101" t="s">
        <v>85</v>
      </c>
      <c r="C20" s="102"/>
      <c r="D20" s="102"/>
      <c r="E20" s="102"/>
      <c r="F20" s="103"/>
      <c r="G20" s="24">
        <f>G18*'Fane 14. Nøgletal'!C19+G19*'Fane 14. Nøgletal'!C20</f>
        <v>85057.744365851206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86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87</v>
      </c>
      <c r="C24" s="102"/>
      <c r="D24" s="102"/>
      <c r="E24" s="102"/>
      <c r="F24" s="103"/>
      <c r="G24" s="24">
        <f>G18*(1-'Fane 14. Nøgletal'!C19)*(1+'Fane 14. Nøgletal'!C10)+G19*(1-'Fane 14. Nøgletal'!C20)*(1+'Fane 14. Nøgletal'!C11)</f>
        <v>4837487.5617765393</v>
      </c>
      <c r="H24" s="14" t="s">
        <v>3</v>
      </c>
      <c r="I24" s="1"/>
    </row>
    <row r="25" spans="1:9" x14ac:dyDescent="0.25">
      <c r="A25" s="1"/>
      <c r="B25" s="104" t="s">
        <v>177</v>
      </c>
      <c r="C25" s="107"/>
      <c r="D25" s="107"/>
      <c r="E25" s="107"/>
      <c r="F25" s="108"/>
      <c r="G25" s="24">
        <f>G19*(1-'Fane 14. Nøgletal'!C20)*(1+'Fane 14. Nøgletal'!C11)</f>
        <v>67131.401733422637</v>
      </c>
      <c r="H25" s="14" t="s">
        <v>3</v>
      </c>
      <c r="I25" s="1"/>
    </row>
    <row r="26" spans="1:9" x14ac:dyDescent="0.25">
      <c r="A26" s="1"/>
      <c r="B26" s="109" t="s">
        <v>88</v>
      </c>
      <c r="C26" s="107"/>
      <c r="D26" s="107"/>
      <c r="E26" s="107"/>
      <c r="F26" s="108"/>
      <c r="G26" s="24">
        <v>615886.15901755693</v>
      </c>
      <c r="H26" s="14" t="s">
        <v>3</v>
      </c>
      <c r="I26" s="1"/>
    </row>
    <row r="27" spans="1:9" x14ac:dyDescent="0.25">
      <c r="A27" s="1"/>
      <c r="B27" s="101" t="s">
        <v>89</v>
      </c>
      <c r="C27" s="102"/>
      <c r="D27" s="102"/>
      <c r="E27" s="102"/>
      <c r="F27" s="103"/>
      <c r="G27" s="24">
        <f>(G24-G25)*'Fane 14. Nøgletal'!C19+G25*'Fane 14. Nøgletal'!C20+G26*'Fane 14. Nøgletal'!C21</f>
        <v>102510.51414394256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8" t="s">
        <v>90</v>
      </c>
      <c r="C30" s="99"/>
      <c r="D30" s="99"/>
      <c r="E30" s="99"/>
      <c r="F30" s="99"/>
      <c r="G30" s="99"/>
      <c r="H30" s="100"/>
      <c r="I30" s="1"/>
    </row>
    <row r="31" spans="1:9" x14ac:dyDescent="0.25">
      <c r="A31" s="1"/>
      <c r="B31" s="101" t="s">
        <v>91</v>
      </c>
      <c r="C31" s="102"/>
      <c r="D31" s="102"/>
      <c r="E31" s="102"/>
      <c r="F31" s="103"/>
      <c r="G31" s="24">
        <f>(G24-G25)*(1-'Fane 14. Nøgletal'!C19)*(1+'Fane 14. Nøgletal'!C10)+G25*(1-'Fane 14. Nøgletal'!C20)*(1+'Fane 14. Nøgletal'!C11)+G26*(1-'Fane 14. Nøgletal'!C21)*(1+'Fane 14. Nøgletal'!C12)</f>
        <v>5445779.853334032</v>
      </c>
      <c r="H31" s="14" t="s">
        <v>3</v>
      </c>
      <c r="I31" s="1"/>
    </row>
    <row r="32" spans="1:9" x14ac:dyDescent="0.25">
      <c r="A32" s="1"/>
      <c r="B32" s="104" t="s">
        <v>178</v>
      </c>
      <c r="C32" s="107"/>
      <c r="D32" s="107"/>
      <c r="E32" s="107"/>
      <c r="F32" s="108"/>
      <c r="G32" s="24">
        <f>G25*(1-'Fane 14. Nøgletal'!C20)*(1+'Fane 14. Nøgletal'!C11)</f>
        <v>67672.008897639826</v>
      </c>
      <c r="H32" s="14" t="s">
        <v>3</v>
      </c>
      <c r="I32" s="1"/>
    </row>
    <row r="33" spans="1:9" x14ac:dyDescent="0.25">
      <c r="A33" s="1"/>
      <c r="B33" s="104" t="s">
        <v>179</v>
      </c>
      <c r="C33" s="107"/>
      <c r="D33" s="107"/>
      <c r="E33" s="107"/>
      <c r="F33" s="108"/>
      <c r="G33" s="24">
        <f>G26*(1-'Fane 14. Nøgletal'!C21)*(1+'Fane 14. Nøgletal'!C12)</f>
        <v>610183.37344585708</v>
      </c>
      <c r="H33" s="14" t="s">
        <v>3</v>
      </c>
      <c r="I33" s="1"/>
    </row>
    <row r="34" spans="1:9" x14ac:dyDescent="0.25">
      <c r="A34" s="1"/>
      <c r="B34" s="101" t="s">
        <v>244</v>
      </c>
      <c r="C34" s="102"/>
      <c r="D34" s="102"/>
      <c r="E34" s="102"/>
      <c r="F34" s="103"/>
      <c r="G34" s="24">
        <f>SUM('Fane 2.1. Økonomisk ramme 2021'!C15,'Fane 2.1. Økonomisk ramme 2021'!C17,'Fane 2.1. Økonomisk ramme 2021'!C19)*(1+'Fane 14. Nøgletal'!C13)</f>
        <v>1184080.1022214012</v>
      </c>
      <c r="H34" s="14" t="s">
        <v>3</v>
      </c>
      <c r="I34" s="1"/>
    </row>
    <row r="35" spans="1:9" x14ac:dyDescent="0.25">
      <c r="A35" s="1"/>
      <c r="B35" s="101" t="s">
        <v>92</v>
      </c>
      <c r="C35" s="102"/>
      <c r="D35" s="102"/>
      <c r="E35" s="102"/>
      <c r="F35" s="103"/>
      <c r="G35" s="24">
        <f>(G31-SUM(G32:G33))*'Fane 14. Nøgletal'!C19+G32*'Fane 14. Nøgletal'!C20+G33*'Fane 14. Nøgletal'!C21+G34*'Fane 14. Nøgletal'!C22</f>
        <v>134872.42023089281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8" t="s">
        <v>101</v>
      </c>
      <c r="C38" s="99"/>
      <c r="D38" s="99"/>
      <c r="E38" s="99"/>
      <c r="F38" s="99"/>
      <c r="G38" s="99"/>
      <c r="H38" s="100"/>
      <c r="I38" s="1"/>
    </row>
    <row r="39" spans="1:9" x14ac:dyDescent="0.25">
      <c r="A39" s="1"/>
      <c r="B39" s="101" t="s">
        <v>96</v>
      </c>
      <c r="C39" s="102"/>
      <c r="D39" s="102"/>
      <c r="E39" s="102"/>
      <c r="F39" s="103"/>
      <c r="G39" s="24">
        <f>(SUM(G31,G34)-G35)*(1+'Fane 14. Nøgletal'!C13)</f>
        <v>6574226.3832555003</v>
      </c>
      <c r="H39" s="14" t="s">
        <v>3</v>
      </c>
      <c r="I39" s="1"/>
    </row>
    <row r="40" spans="1:9" x14ac:dyDescent="0.25">
      <c r="A40" s="1"/>
      <c r="B40" s="101" t="s">
        <v>119</v>
      </c>
      <c r="C40" s="102"/>
      <c r="D40" s="102"/>
      <c r="E40" s="102"/>
      <c r="F40" s="103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101" t="s">
        <v>93</v>
      </c>
      <c r="C41" s="102"/>
      <c r="D41" s="102"/>
      <c r="E41" s="102"/>
      <c r="F41" s="103"/>
      <c r="G41" s="24">
        <f>(G39+G40)*'Fane 14. Nøgletal'!C22</f>
        <v>180791.22553952626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8" t="s">
        <v>102</v>
      </c>
      <c r="C44" s="99"/>
      <c r="D44" s="99"/>
      <c r="E44" s="99"/>
      <c r="F44" s="99"/>
      <c r="G44" s="99"/>
      <c r="H44" s="100"/>
      <c r="I44" s="1"/>
    </row>
    <row r="45" spans="1:9" x14ac:dyDescent="0.25">
      <c r="A45" s="1"/>
      <c r="B45" s="101" t="s">
        <v>95</v>
      </c>
      <c r="C45" s="102"/>
      <c r="D45" s="102"/>
      <c r="E45" s="102"/>
      <c r="F45" s="103"/>
      <c r="G45" s="24">
        <f>(G39+G40-G41)*(1+'Fane 14. Nøgletal'!C13)</f>
        <v>6471435.0666401088</v>
      </c>
      <c r="H45" s="14" t="s">
        <v>3</v>
      </c>
      <c r="I45" s="1"/>
    </row>
    <row r="46" spans="1:9" x14ac:dyDescent="0.25">
      <c r="A46" s="1"/>
      <c r="B46" s="101" t="s">
        <v>120</v>
      </c>
      <c r="C46" s="102"/>
      <c r="D46" s="102"/>
      <c r="E46" s="102"/>
      <c r="F46" s="103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101" t="s">
        <v>94</v>
      </c>
      <c r="C47" s="102"/>
      <c r="D47" s="102"/>
      <c r="E47" s="102"/>
      <c r="F47" s="103"/>
      <c r="G47" s="24">
        <f>(G45+G46)*'Fane 14. Nøgletal'!C22</f>
        <v>177964.46433260301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8" t="s">
        <v>245</v>
      </c>
      <c r="C51" s="99"/>
      <c r="D51" s="99"/>
      <c r="E51" s="99"/>
      <c r="F51" s="99"/>
      <c r="G51" s="99"/>
      <c r="H51" s="100"/>
      <c r="I51" s="1"/>
    </row>
    <row r="52" spans="1:9" x14ac:dyDescent="0.25">
      <c r="A52" s="1"/>
      <c r="B52" s="101" t="s">
        <v>246</v>
      </c>
      <c r="C52" s="102"/>
      <c r="D52" s="102"/>
      <c r="E52" s="102"/>
      <c r="F52" s="103"/>
      <c r="G52" s="24">
        <f>(G45+G46-G47)*(1+'Fane 14. Nøgletal'!C13)</f>
        <v>6370250.9436556576</v>
      </c>
      <c r="H52" s="14" t="s">
        <v>3</v>
      </c>
      <c r="I52" s="1"/>
    </row>
    <row r="53" spans="1:9" x14ac:dyDescent="0.25">
      <c r="A53" s="1"/>
      <c r="B53" s="101" t="s">
        <v>247</v>
      </c>
      <c r="C53" s="102"/>
      <c r="D53" s="102"/>
      <c r="E53" s="102"/>
      <c r="F53" s="103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101" t="s">
        <v>248</v>
      </c>
      <c r="C54" s="102"/>
      <c r="D54" s="102"/>
      <c r="E54" s="102"/>
      <c r="F54" s="103"/>
      <c r="G54" s="24">
        <f>(G52+G53)*'Fane 14. Nøgletal'!C22</f>
        <v>175181.90095053057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qviRD53gidsFY4kdSEF0voJJc8B49YhxJkbJLCLo8xzdZA4S+Qtg40NiMXW/GgU1zutZzDbZWn+2DPOrRM96GA==" saltValue="ImJ8bahD5Unf7+6F99u8SA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113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103</v>
      </c>
      <c r="C9" s="102"/>
      <c r="D9" s="102"/>
      <c r="E9" s="102"/>
      <c r="F9" s="103"/>
      <c r="G9" s="39">
        <v>0</v>
      </c>
      <c r="H9" s="14"/>
      <c r="I9" s="1"/>
    </row>
    <row r="10" spans="1:9" x14ac:dyDescent="0.25">
      <c r="A10" s="1"/>
      <c r="B10" s="101" t="s">
        <v>148</v>
      </c>
      <c r="C10" s="102"/>
      <c r="D10" s="102"/>
      <c r="E10" s="102"/>
      <c r="F10" s="103"/>
      <c r="G10" s="39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9" t="s">
        <v>152</v>
      </c>
      <c r="C12" s="90"/>
      <c r="D12" s="90"/>
      <c r="E12" s="90"/>
      <c r="F12" s="90"/>
      <c r="G12" s="90"/>
      <c r="H12" s="91"/>
      <c r="I12" s="1"/>
    </row>
    <row r="13" spans="1:9" ht="30.7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SGNx117gJ7KpDltjX3FeP3R+tH4xvuBfzFx6tZouBZV21RoW8Pfh65mj53jncQnZDCGFXXItS/KWPc4q2TorA==" saltValue="nv/zEqb21MlusMYOWQ6UJ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2020-10-23T08:35:41Z</dcterms:modified>
</cp:coreProperties>
</file>