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TK Vand AS (V09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6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<sst xmlns="http://schemas.openxmlformats.org/spreadsheetml/2006/main" count="624" uniqueCount="256">
  <si>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</si>
  <si>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</si>
  <si>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</si>
  <si>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</si>
  <si>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</si>
  <si>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</si>
  <si>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</si>
  <si>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</si>
  <si>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</si>
  <si>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</si>
  <si>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</si>
  <si>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</si>
  <si>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</si>
  <si>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</si>
  <si>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</si>
  <si>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</si>
  <si>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</si>
  <si>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</si>
  <si>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</si>
  <si>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</si>
  <si>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</si>
  <si>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</si>
  <si>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</si>
  <si>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</si>
  <si>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</si>
  <si>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</si>
  <si>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</si>
  <si>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</si>
  <si>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</si>
  <si>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</si>
  <si>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</si>
  <si>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</si>
  <si>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</si>
  <si>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</si>
  <si>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</si>
  <si>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</si>
  <si>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</si>
  <si>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</si>
  <si>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</si>
  <si>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</si>
  <si>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</si>
  <si>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</si>
  <si>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</si>
  <si>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</si>
  <si>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</si>
  <si>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</si>
  <si>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</si>
  <si>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</si>
  <si>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</si>
  <si>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</si>
  <si>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</si>
  <si>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</si>
  <si>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</si>
  <si>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</si>
  <si>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</si>
  <si>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</si>
  <si>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</si>
  <si>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</si>
  <si>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</si>
  <si>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</si>
  <si>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</si>
  <si>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</si>
  <si>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</si>
  <si>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</si>
  <si>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</si>
  <si>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</si>
  <si>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</si>
  <si>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</si>
  <si>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</si>
  <si>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</si>
  <si>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</si>
  <si>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</si>
  <si>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</si>
  <si>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</si>
  <si>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</si>
  <si>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</si>
  <si>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</si>
  <si>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</si>
  <si>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</si>
  <si>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</si>
  <si>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</si>
  <si>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</si>
  <si>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</si>
  <si>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</si>
  <si>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</si>
  <si>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</si>
  <si>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</si>
  <si>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</si>
  <si>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</si>
  <si>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</si>
  <si>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</si>
  <si>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</si>
  <si>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</si>
  <si>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</si>
  <si>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</si>
  <si>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</si>
  <si>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</si>
  <si>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</si>
  <si>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</si>
  <si>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</si>
  <si>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</si>
  <si>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</si>
  <si>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</si>
  <si>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</si>
  <si>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</si>
  <si>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</si>
  <si>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</si>
  <si>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</si>
  <si>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</si>
  <si>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</si>
  <si>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</si>
  <si>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</si>
  <si>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</si>
  <si>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</si>
  <si>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</si>
  <si>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</si>
  <si>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</si>
  <si>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</si>
  <si>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</si>
  <si>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</si>
  <si>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</si>
  <si>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</si>
  <si>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</si>
  <si>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</si>
  <si>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</si>
  <si>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</si>
  <si>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</si>
  <si>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</si>
  <si>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</si>
  <si>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</si>
  <si>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</si>
  <si>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</si>
  <si>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</si>
  <si>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</si>
  <si>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</si>
  <si>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</si>
  <si>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</si>
  <si>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</si>
  <si>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</si>
  <si>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</si>
  <si>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</si>
  <si>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</si>
  <si>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</si>
  <si>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</si>
  <si>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</si>
  <si>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</si>
  <si>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</si>
  <si>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</si>
  <si>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</si>
  <si>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</si>
  <si>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</si>
  <si>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</si>
  <si>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</si>
  <si>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</si>
  <si>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</si>
  <si>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</si>
  <si>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</si>
  <si>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</si>
  <si>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</si>
  <si>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</si>
  <si>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</si>
  <si>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</si>
  <si>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</si>
  <si>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</si>
  <si>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</si>
  <si>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</si>
  <si>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</si>
  <si>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</si>
  <si>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</si>
  <si>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</si>
  <si>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</si>
  <si>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</si>
  <si>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</si>
  <si>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</si>
  <si>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</si>
  <si>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</si>
  <si>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</si>
  <si>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</si>
  <si>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</si>
  <si>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</si>
  <si>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</si>
  <si>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</si>
  <si>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</si>
  <si>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</si>
  <si>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</si>
  <si>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</si>
  <si>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</si>
  <si>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</si>
  <si>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</si>
  <si>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</si>
  <si>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</si>
  <si>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</si>
  <si>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</si>
  <si>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</si>
  <si>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</si>
  <si>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</si>
  <si>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</si>
  <si>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</si>
  <si>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</si>
  <si>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</si>
  <si>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</si>
  <si>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</si>
  <si>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</si>
  <si>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</si>
  <si>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</si>
  <si>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</si>
  <si>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</si>
  <si>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</si>
  <si>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</si>
  <si>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</si>
  <si>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</si>
  <si>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</si>
  <si>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</si>
  <si>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</si>
  <si>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</si>
  <si>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</si>
  <si>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</si>
  <si>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</si>
  <si>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</si>
  <si>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</si>
  <si>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</si>
  <si>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</si>
  <si>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</si>
  <si>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</si>
  <si>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</si>
  <si>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</si>
  <si>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</si>
  <si>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</si>
  <si>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</si>
  <si>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</si>
  <si>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</si>
  <si>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</si>
  <si>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</si>
  <si>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Selskabsskat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</si>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</sst>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180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181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182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183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91PJ9awT+/vzgfGTi97vO9BnXEpQvT2n4r4UnKPaUT4ja4JpB6kmDQR0QDTGqIAfVeDpz8WxPGbMn54WpUHXg==" saltValue="kbdNLaXHFWpTGMLNQdffU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203</v>
      </c>
      <c r="C8" s="112"/>
      <c r="D8" s="113"/>
      <c r="E8" s="1"/>
      <c r="F8" s="1"/>
    </row>
    <row r="9" spans="1:6" ht="15" customHeight="1" x14ac:dyDescent="0.25">
      <c r="A9" s="1"/>
      <c r="B9" s="47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229</v>
      </c>
      <c r="C10" s="9">
        <v>11783800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230</v>
      </c>
      <c r="C11" s="9">
        <v>79559</v>
      </c>
      <c r="D11" s="14" t="s">
        <v>3</v>
      </c>
      <c r="E11" s="1"/>
      <c r="F11" s="1"/>
    </row>
    <row r="12" spans="1:6" ht="15" customHeight="1" x14ac:dyDescent="0.25">
      <c r="A12" s="1"/>
      <c r="B12" s="62" t="s">
        <v>231</v>
      </c>
      <c r="C12" s="9">
        <v>5010038</v>
      </c>
      <c r="D12" s="14" t="s">
        <v>3</v>
      </c>
      <c r="E12" s="1"/>
      <c r="F12" s="1"/>
    </row>
    <row r="13" spans="1:6" x14ac:dyDescent="0.25">
      <c r="A13" s="1"/>
      <c r="B13" s="62" t="s">
        <v>232</v>
      </c>
      <c r="C13" s="9">
        <v>10551</v>
      </c>
      <c r="D13" s="14" t="s">
        <v>3</v>
      </c>
      <c r="E13" s="1"/>
      <c r="F13" s="1"/>
    </row>
    <row r="14" spans="1:6" x14ac:dyDescent="0.25">
      <c r="A14" s="1"/>
      <c r="B14" s="62" t="s">
        <v>233</v>
      </c>
      <c r="C14" s="9">
        <v>147532</v>
      </c>
      <c r="D14" s="14" t="s">
        <v>3</v>
      </c>
      <c r="E14" s="1"/>
      <c r="F14" s="1"/>
    </row>
    <row r="15" spans="1:6" x14ac:dyDescent="0.25">
      <c r="A15" s="1"/>
      <c r="B15" s="62" t="s">
        <v>234</v>
      </c>
      <c r="C15" s="9">
        <v>418728</v>
      </c>
      <c r="D15" s="14" t="s">
        <v>3</v>
      </c>
      <c r="E15" s="1"/>
      <c r="F15" s="1"/>
    </row>
    <row r="16" spans="1:6" x14ac:dyDescent="0.25">
      <c r="A16" s="1"/>
      <c r="B16" s="50" t="s">
        <v>205</v>
      </c>
      <c r="C16" s="12">
        <f>SUM(C10:C15)</f>
        <v>17450208</v>
      </c>
      <c r="D16" s="13" t="s">
        <v>3</v>
      </c>
      <c r="E16" s="1"/>
      <c r="F16" s="1"/>
    </row>
    <row r="17" spans="1:6" x14ac:dyDescent="0.25">
      <c r="A17" s="1"/>
      <c r="B17" s="50" t="s">
        <v>206</v>
      </c>
      <c r="C17" s="12">
        <f>C16*(1+'Fane 12. Nøgletal'!C14)^2</f>
        <v>17565569.405565124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MkEbMoANZLRK5KS7rOpxIepz/XRtt3lP/FpxJrGaIElir7HmiZOWz/qrbpSz1S3e5+Vu+Sh+srfUshCa9xvt5g==" saltValue="RSXwzZqpIax0GidObhYh7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221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237</v>
      </c>
      <c r="C8" s="112"/>
      <c r="D8" s="112"/>
      <c r="E8" s="112"/>
      <c r="F8" s="113"/>
      <c r="G8" s="1"/>
    </row>
    <row r="9" spans="1:7" x14ac:dyDescent="0.25">
      <c r="A9" s="1"/>
      <c r="B9" s="114" t="s">
        <v>238</v>
      </c>
      <c r="C9" s="115"/>
      <c r="D9" s="116"/>
      <c r="E9" s="9">
        <v>-4467314.4115392044</v>
      </c>
      <c r="F9" s="14" t="s">
        <v>3</v>
      </c>
      <c r="G9" s="1"/>
    </row>
    <row r="10" spans="1:7" x14ac:dyDescent="0.25">
      <c r="A10" s="1"/>
      <c r="B10" s="114" t="s">
        <v>239</v>
      </c>
      <c r="C10" s="115"/>
      <c r="D10" s="116"/>
      <c r="E10" s="9">
        <v>-4829568.9388115779</v>
      </c>
      <c r="F10" s="14" t="s">
        <v>3</v>
      </c>
      <c r="G10" s="1"/>
    </row>
    <row r="11" spans="1:7" x14ac:dyDescent="0.25">
      <c r="A11" s="1"/>
      <c r="B11" s="114" t="s">
        <v>240</v>
      </c>
      <c r="C11" s="115"/>
      <c r="D11" s="116"/>
      <c r="E11" s="9">
        <v>1193347.2837906331</v>
      </c>
      <c r="F11" s="14" t="s">
        <v>3</v>
      </c>
      <c r="G11" s="1"/>
    </row>
    <row r="12" spans="1:7" x14ac:dyDescent="0.25">
      <c r="A12" s="1"/>
      <c r="B12" s="114" t="s">
        <v>241</v>
      </c>
      <c r="C12" s="115"/>
      <c r="D12" s="116"/>
      <c r="E12" s="9">
        <f>IF(OR(AND(E10&gt;0,E11&lt;0),AND(E11&lt;0,E34&gt;0)),E17+E18,E11)</f>
        <v>1193347.2837906331</v>
      </c>
      <c r="F12" s="14" t="s">
        <v>3</v>
      </c>
      <c r="G12" s="1"/>
    </row>
    <row r="13" spans="1:7" x14ac:dyDescent="0.25">
      <c r="A13" s="1"/>
      <c r="B13" s="50"/>
      <c r="C13" s="51"/>
      <c r="D13" s="51"/>
      <c r="E13" s="51"/>
      <c r="F13" s="20"/>
      <c r="G13" s="1"/>
    </row>
    <row r="14" spans="1:7" ht="54.75" customHeight="1" x14ac:dyDescent="0.25">
      <c r="A14" s="1"/>
      <c r="B14" s="100" t="s">
        <v>242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243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244</v>
      </c>
      <c r="C17" s="115"/>
      <c r="D17" s="116"/>
      <c r="E17" s="9">
        <v>-2414784.4694057889</v>
      </c>
      <c r="F17" s="14" t="s">
        <v>3</v>
      </c>
      <c r="G17" s="1"/>
    </row>
    <row r="18" spans="1:7" x14ac:dyDescent="0.25">
      <c r="A18" s="1"/>
      <c r="B18" s="114" t="s">
        <v>245</v>
      </c>
      <c r="C18" s="115"/>
      <c r="D18" s="116"/>
      <c r="E18" s="9">
        <v>-2414784.4694057889</v>
      </c>
      <c r="F18" s="14" t="s">
        <v>3</v>
      </c>
      <c r="G18" s="1"/>
    </row>
    <row r="19" spans="1:7" x14ac:dyDescent="0.25">
      <c r="A19" s="1"/>
      <c r="B19" s="50"/>
      <c r="C19" s="51"/>
      <c r="D19" s="51"/>
      <c r="E19" s="51"/>
      <c r="F19" s="20"/>
      <c r="G19" s="1"/>
    </row>
    <row r="20" spans="1:7" ht="30" customHeight="1" x14ac:dyDescent="0.25">
      <c r="A20" s="1"/>
      <c r="B20" s="100" t="s">
        <v>246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9" t="s">
        <v>207</v>
      </c>
      <c r="C22" s="60"/>
      <c r="D22" s="60"/>
      <c r="E22" s="60"/>
      <c r="F22" s="61"/>
      <c r="G22" s="1"/>
    </row>
    <row r="23" spans="1:7" x14ac:dyDescent="0.25">
      <c r="A23" s="1"/>
      <c r="B23" s="56" t="s">
        <v>208</v>
      </c>
      <c r="C23" s="57"/>
      <c r="D23" s="58"/>
      <c r="E23" s="9">
        <v>35164592.068892449</v>
      </c>
      <c r="F23" s="14" t="s">
        <v>3</v>
      </c>
      <c r="G23" s="1"/>
    </row>
    <row r="24" spans="1:7" x14ac:dyDescent="0.25">
      <c r="A24" s="1"/>
      <c r="B24" s="56" t="s">
        <v>209</v>
      </c>
      <c r="C24" s="57"/>
      <c r="D24" s="58"/>
      <c r="E24" s="9">
        <v>33507640</v>
      </c>
      <c r="F24" s="14" t="s">
        <v>3</v>
      </c>
      <c r="G24" s="1"/>
    </row>
    <row r="25" spans="1:7" x14ac:dyDescent="0.2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25">
      <c r="A26" s="1"/>
      <c r="B26" s="63" t="s">
        <v>253</v>
      </c>
      <c r="C26" s="64"/>
      <c r="D26" s="65"/>
      <c r="E26" s="45">
        <f>E23-(E24-E25)</f>
        <v>1656952.0688924491</v>
      </c>
      <c r="F26" s="17" t="s">
        <v>3</v>
      </c>
      <c r="G26" s="1"/>
    </row>
    <row r="27" spans="1:7" x14ac:dyDescent="0.25">
      <c r="A27" s="1"/>
      <c r="B27" s="50"/>
      <c r="C27" s="51"/>
      <c r="D27" s="51"/>
      <c r="E27" s="51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247</v>
      </c>
      <c r="C29" s="112"/>
      <c r="D29" s="112"/>
      <c r="E29" s="112"/>
      <c r="F29" s="113"/>
      <c r="G29" s="1"/>
    </row>
    <row r="30" spans="1:7" x14ac:dyDescent="0.25">
      <c r="A30" s="1"/>
      <c r="B30" s="135" t="s">
        <v>248</v>
      </c>
      <c r="C30" s="136"/>
      <c r="D30" s="137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249</v>
      </c>
      <c r="C33" s="112"/>
      <c r="D33" s="112"/>
      <c r="E33" s="112"/>
      <c r="F33" s="113"/>
      <c r="G33" s="1"/>
    </row>
    <row r="34" spans="1:7" x14ac:dyDescent="0.25">
      <c r="A34" s="1"/>
      <c r="B34" s="132" t="s">
        <v>254</v>
      </c>
      <c r="C34" s="133"/>
      <c r="D34" s="134"/>
      <c r="E34" s="9">
        <v>0</v>
      </c>
      <c r="F34" s="14"/>
      <c r="G34" s="1"/>
    </row>
    <row r="35" spans="1:7" x14ac:dyDescent="0.25">
      <c r="A35" s="1"/>
      <c r="B35" s="132" t="s">
        <v>161</v>
      </c>
      <c r="C35" s="133"/>
      <c r="D35" s="134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2" t="s">
        <v>110</v>
      </c>
      <c r="C36" s="133"/>
      <c r="D36" s="134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252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Umwig6Mc+2O7dc2Ao38Eibpzti/Zv3AV4Qwo7HpCfjat9O23tCZsYVex21WZVyH5CT+gYO1+yK7CpZ72m111A==" saltValue="wMH42cOA0NiMWp7eYjFnMg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x14ac:dyDescent="0.25">
      <c r="A10" s="1"/>
      <c r="B10" s="67" t="s">
        <v>255</v>
      </c>
      <c r="C10" s="6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IJd9P5fRve0LN8TQHG7HkoUE9xoCdvt8yhCrgVY6BgNi/uJeBvLHmKajWmY349RHcCx9BRLR6tS8UKAykVLHQ==" saltValue="JnTwgOdwz2dEoGKqUqW0+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157247</v>
      </c>
      <c r="D11" s="14" t="s">
        <v>3</v>
      </c>
      <c r="E11" s="9">
        <v>105700</v>
      </c>
      <c r="F11" s="14" t="s">
        <v>3</v>
      </c>
      <c r="G11" s="1"/>
    </row>
    <row r="12" spans="1:7" x14ac:dyDescent="0.25">
      <c r="A12" s="1"/>
      <c r="B12" s="50" t="s">
        <v>136</v>
      </c>
      <c r="C12" s="12">
        <f>SUM(C10:C11)</f>
        <v>157247</v>
      </c>
      <c r="D12" s="13" t="s">
        <v>3</v>
      </c>
      <c r="E12" s="12">
        <f>SUM(E10:E11)</f>
        <v>105700</v>
      </c>
      <c r="F12" s="13" t="s">
        <v>3</v>
      </c>
      <c r="G12" s="1"/>
    </row>
    <row r="13" spans="1:7" x14ac:dyDescent="0.25">
      <c r="A13" s="1"/>
      <c r="B13" s="50" t="s">
        <v>210</v>
      </c>
      <c r="C13" s="12">
        <f>C12*(1+'Fane 12. Nøgletal'!C14)</f>
        <v>157765.91510000001</v>
      </c>
      <c r="D13" s="13" t="s">
        <v>3</v>
      </c>
      <c r="E13" s="12">
        <f>E12*(1+'Fane 12. Nøgletal'!C14)</f>
        <v>106048.81000000001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EhYCv60im8spn5giWcsX7+SxYsgOJN6jeQFHh1cPTTIkjW5ZaprzkMW7a9mvBCOgErQT/ZnhkOrYhc9GYoMIQ==" saltValue="fX5T0emMZiwHhvfDw24J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25">
      <c r="A10" s="1"/>
      <c r="B10" s="25" t="s">
        <v>235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25">
      <c r="A18" s="1"/>
      <c r="B18" s="25" t="s">
        <v>235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0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25">
      <c r="A26" s="1"/>
      <c r="B26" s="25" t="s">
        <v>235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0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212</v>
      </c>
      <c r="C32" s="112"/>
      <c r="D32" s="112"/>
      <c r="E32" s="112"/>
      <c r="F32" s="113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0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0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jqGSVg/I/OYmVk4QWHZ0NhwnEzKkNUphkL7AK2J0stX/kcirv94HYckm2eTjYYpbNdctUYLyugDIUtzfTnFJA==" saltValue="od1MoZY9aC+uQw/zdjE3Q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hjzBLwGvSApMagBHIT6pkiF8wgXpQuuhV7+r+WVrGqbLmix+Zc5J0PUJVocc8s55OKL1Y3apdLfKjYR4VamSKQ==" saltValue="O8JI9fWaWvNtKZq0HWkkp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215</v>
      </c>
      <c r="C29" s="112"/>
      <c r="D29" s="112"/>
      <c r="E29" s="112"/>
      <c r="F29" s="113"/>
      <c r="G29" s="1"/>
    </row>
    <row r="30" spans="1:7" ht="26.25" x14ac:dyDescent="0.2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0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t0RW6WcGXSzNsr7CroaSLbInMJ7fQ1Tdegs8mDue3pnoTNVocjLBZ7l0Y1m+Q6JUrrkGXMAXFVDyYA7Z7NiGLA==" saltValue="AajkP4xM1Y/NNrBGEpAm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0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0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0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0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0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mAueQmVYtqGhNUtzOR/ClQGUn5dI92DQbnAgj6dC8s4QLNthcpQnk3jtR+mie2iz6+Y6TKtLMRWAhp8/ndlEGw==" saltValue="kZz8WW3iiAI3pBDt1zH/9g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x14ac:dyDescent="0.25">
      <c r="A9" s="1"/>
      <c r="B9" s="55" t="s">
        <v>24</v>
      </c>
      <c r="C9" s="7">
        <f>'Fane 3. Omkostninger i ØR2021'!E20</f>
        <v>15560755.724491067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117780.75589393462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129932.7547695478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157765.91510000001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106048.81000000001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190711.80843162103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-54196.365903298669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-153827.59434108922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-254118.50349759831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15553139.794280702</v>
      </c>
      <c r="D22" s="11" t="s">
        <v>3</v>
      </c>
      <c r="E22" s="1"/>
    </row>
    <row r="23" spans="1:5" ht="15" customHeight="1" x14ac:dyDescent="0.25">
      <c r="A23" s="1"/>
      <c r="B23" s="50" t="s">
        <v>12</v>
      </c>
      <c r="C23" s="51"/>
      <c r="D23" s="20"/>
      <c r="E23" s="1"/>
    </row>
    <row r="24" spans="1:5" ht="15" customHeight="1" x14ac:dyDescent="0.25">
      <c r="A24" s="1"/>
      <c r="B24" s="52" t="s">
        <v>12</v>
      </c>
      <c r="C24" s="10">
        <f>'Fane 6. Ikke-påvirkelige omk.'!C17</f>
        <v>17565569.405565124</v>
      </c>
      <c r="D24" s="11" t="s">
        <v>3</v>
      </c>
      <c r="E24" s="1"/>
    </row>
    <row r="25" spans="1:5" ht="15" customHeight="1" x14ac:dyDescent="0.25">
      <c r="A25" s="1"/>
      <c r="B25" s="50" t="s">
        <v>89</v>
      </c>
      <c r="C25" s="51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1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1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0" t="s">
        <v>30</v>
      </c>
      <c r="C33" s="31">
        <f>SUM(C22,C24,C28,C30,C32)</f>
        <v>33118709.199845828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G5IuAwqFdsOQ8/uQ9iF6g3rJAejDfPj/dJye1tP3GmDgBhD06yXLlUE3yJsnUAzNZKb/dXEfR6j6vQCLst8BJg==" saltValue="HvSgKZVnuan5waNheJ1cd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0" t="s">
        <v>13</v>
      </c>
      <c r="C8" s="51"/>
      <c r="D8" s="20"/>
      <c r="E8" s="1"/>
    </row>
    <row r="9" spans="1:5" ht="15" customHeight="1" x14ac:dyDescent="0.25">
      <c r="A9" s="1"/>
      <c r="B9" s="55" t="s">
        <v>134</v>
      </c>
      <c r="C9" s="7">
        <f>'Fane 2.1. Økonomisk ramme 2022'!C22</f>
        <v>15553139.794280702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51325.361321126315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-52806.144136149946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-151248.52089436652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-134169.53348194639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15266240.957089366</v>
      </c>
      <c r="D16" s="11" t="s">
        <v>3</v>
      </c>
      <c r="E16" s="1"/>
    </row>
    <row r="17" spans="1:5" x14ac:dyDescent="0.25">
      <c r="A17" s="1"/>
      <c r="B17" s="50" t="s">
        <v>12</v>
      </c>
      <c r="C17" s="51"/>
      <c r="D17" s="20"/>
      <c r="E17" s="1"/>
    </row>
    <row r="18" spans="1:5" ht="15" customHeight="1" x14ac:dyDescent="0.25">
      <c r="A18" s="1"/>
      <c r="B18" s="52" t="s">
        <v>12</v>
      </c>
      <c r="C18" s="10">
        <f>'Fane 6. Ikke-påvirkelige omk.'!C17*(1+'Fane 12. Nøgletal'!C14)</f>
        <v>17623535.784603491</v>
      </c>
      <c r="D18" s="11" t="s">
        <v>3</v>
      </c>
      <c r="E18" s="1"/>
    </row>
    <row r="19" spans="1:5" ht="15" customHeight="1" x14ac:dyDescent="0.25">
      <c r="A19" s="1"/>
      <c r="B19" s="50" t="s">
        <v>89</v>
      </c>
      <c r="C19" s="51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1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1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0" t="s">
        <v>97</v>
      </c>
      <c r="C27" s="12">
        <f>SUM(C16,C18,C22,C24,C26)</f>
        <v>32889776.741692856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nxPNA70IL7gL1tvpdZvG6CRZpUziLdVVC1jm5kn9dmIu0oNzfQUB9Gl/CDNrmZF+TzR9dB155c4KW9APbniGQ==" saltValue="AZVbs6bwWt1rcI9tx8ax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135</v>
      </c>
      <c r="C8" s="7">
        <f>'Fane 2.2. Økonomisk ramme 2023'!C16</f>
        <v>15266240.957089366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50378.595158394906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-51832.062918491851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-148712.68819305158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-132620.03100688875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14983454.770129329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omk.'!C17*(1+'Fane 12. Nøgletal'!C14)^2</f>
        <v>17681693.452692684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1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187</v>
      </c>
      <c r="C26" s="12">
        <f>SUM(C15,C17,C21,C23,C25)</f>
        <v>32665148.222822011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qFyTyC6DtDAETEzl3RmKBFdgRdMcSPGO6dSzERDsYqFRzdB1c893dlz8HQqdJLl1QFzDo33ZRatV54LOcCPjrA==" saltValue="ZpxhVL+G9JXLoF7w5AT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0" t="s">
        <v>13</v>
      </c>
      <c r="C7" s="51"/>
      <c r="D7" s="20"/>
      <c r="E7" s="1"/>
    </row>
    <row r="8" spans="1:5" ht="15" customHeight="1" x14ac:dyDescent="0.25">
      <c r="A8" s="1"/>
      <c r="B8" s="55" t="s">
        <v>189</v>
      </c>
      <c r="C8" s="7">
        <f>'Fane 2.3. Økonomisk ramme 2024'!C15</f>
        <v>14983454.770129329</v>
      </c>
      <c r="D8" s="8" t="s">
        <v>3</v>
      </c>
      <c r="E8" s="1"/>
    </row>
    <row r="9" spans="1:5" ht="15" customHeight="1" x14ac:dyDescent="0.2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49445.400741426783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-50871.945003663153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-146219.3712628069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-131088.42348799514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14704720.43111629</v>
      </c>
      <c r="D15" s="11" t="s">
        <v>3</v>
      </c>
      <c r="E15" s="1"/>
    </row>
    <row r="16" spans="1:5" x14ac:dyDescent="0.25">
      <c r="A16" s="1"/>
      <c r="B16" s="50" t="s">
        <v>12</v>
      </c>
      <c r="C16" s="51"/>
      <c r="D16" s="20"/>
      <c r="E16" s="1"/>
    </row>
    <row r="17" spans="1:5" ht="15" customHeight="1" x14ac:dyDescent="0.25">
      <c r="A17" s="1"/>
      <c r="B17" s="52" t="s">
        <v>12</v>
      </c>
      <c r="C17" s="10">
        <f>'Fane 6. Ikke-påvirkelige omk.'!C17*(1+'Fane 12. Nøgletal'!C14)^3</f>
        <v>17740043.041086569</v>
      </c>
      <c r="D17" s="11" t="s">
        <v>3</v>
      </c>
      <c r="E17" s="1"/>
    </row>
    <row r="18" spans="1:5" ht="15" customHeight="1" x14ac:dyDescent="0.25">
      <c r="A18" s="1"/>
      <c r="B18" s="50" t="s">
        <v>89</v>
      </c>
      <c r="C18" s="51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0" t="s">
        <v>161</v>
      </c>
      <c r="C22" s="51"/>
      <c r="D22" s="20"/>
      <c r="E22" s="1"/>
    </row>
    <row r="23" spans="1:5" x14ac:dyDescent="0.2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1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0" t="s">
        <v>190</v>
      </c>
      <c r="C26" s="12">
        <f>SUM(C15,C17,C21,C23,C25)</f>
        <v>32444763.47220286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wv8mnmnSqKcVHWlcnrEupfRFcLcp4cGvyIpdOxYAoo9i/RlUaIZ2E+BD/j8zsvlWFR2FTpHIvt1/aGAk5k4QQ==" saltValue="6/fZVq43By24EXFPSd2yG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191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0" t="s">
        <v>224</v>
      </c>
      <c r="C8" s="51"/>
      <c r="D8" s="51"/>
      <c r="E8" s="51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15578684.085152104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124097.7444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132457.5042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-4950.4493456122318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193129.52438975923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-54223.898968109155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-151883.61529008605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-256555.17004698759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15560755.724491067</v>
      </c>
      <c r="F20" s="11" t="s">
        <v>3</v>
      </c>
      <c r="G20" s="1"/>
    </row>
    <row r="21" spans="1:7" x14ac:dyDescent="0.25">
      <c r="A21" s="1"/>
      <c r="B21" s="50" t="s">
        <v>12</v>
      </c>
      <c r="C21" s="51"/>
      <c r="D21" s="51"/>
      <c r="E21" s="51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19720197.92042584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-2414784.4694057889</v>
      </c>
      <c r="F28" s="11" t="s">
        <v>3</v>
      </c>
      <c r="G28" s="1"/>
    </row>
    <row r="29" spans="1:7" x14ac:dyDescent="0.25">
      <c r="A29" s="1"/>
      <c r="B29" s="50" t="s">
        <v>250</v>
      </c>
      <c r="C29" s="51"/>
      <c r="D29" s="51"/>
      <c r="E29" s="51"/>
      <c r="F29" s="20"/>
      <c r="G29" s="1"/>
    </row>
    <row r="30" spans="1:7" ht="15.6" customHeight="1" x14ac:dyDescent="0.25">
      <c r="A30" s="1"/>
      <c r="B30" s="93" t="s">
        <v>251</v>
      </c>
      <c r="C30" s="94"/>
      <c r="D30" s="95"/>
      <c r="E30" s="10">
        <v>117.67319999999999</v>
      </c>
      <c r="F30" s="11" t="s">
        <v>3</v>
      </c>
      <c r="G30" s="1"/>
    </row>
    <row r="31" spans="1:7" x14ac:dyDescent="0.25">
      <c r="A31" s="1"/>
      <c r="B31" s="50" t="s">
        <v>29</v>
      </c>
      <c r="C31" s="51"/>
      <c r="D31" s="51"/>
      <c r="E31" s="12">
        <f>E20+E22+E26+E28+E30</f>
        <v>32866286.848711118</v>
      </c>
      <c r="F31" s="13" t="s">
        <v>3</v>
      </c>
      <c r="G31" s="1"/>
    </row>
    <row r="32" spans="1:7" ht="27.75" customHeight="1" x14ac:dyDescent="0.25">
      <c r="A32" s="1"/>
      <c r="B32" s="100" t="s">
        <v>192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9pbo2tULJkhrQ+ZdJrhXaivdBXF0tizoeEDe3Eti1m2L1Q7hf+zEUU0pzXI+sRkCeti38FbUHZVyrk77nscAQw==" saltValue="3TOlBsB7gSLHyzB5XaLcV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7326095.8916398128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146521.91783279626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7270754.5632743649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145415.09126548731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7245757.7090858268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0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24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144915.15418171653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7220846.7940819887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24">
        <v>313338.06134532002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150683.69710854618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7473579.8724502511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120600.89205405129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151883.61529008605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7533093.1744346302</v>
      </c>
      <c r="H35" s="14" t="s">
        <v>3</v>
      </c>
      <c r="I35" s="1"/>
    </row>
    <row r="36" spans="1:9" x14ac:dyDescent="0.25">
      <c r="A36" s="1"/>
      <c r="B36" s="37" t="s">
        <v>193</v>
      </c>
      <c r="C36" s="57"/>
      <c r="D36" s="57"/>
      <c r="E36" s="57"/>
      <c r="F36" s="58"/>
      <c r="G36" s="24">
        <f>SUM('Fane 2.1. Økonomisk ramme 2022'!C10)*(1+'Fane 12. Nøgletal'!C14)</f>
        <v>118169.43238838461</v>
      </c>
      <c r="H36" s="14" t="s">
        <v>3</v>
      </c>
      <c r="I36" s="1"/>
    </row>
    <row r="37" spans="1:9" x14ac:dyDescent="0.25">
      <c r="A37" s="1"/>
      <c r="B37" s="114" t="s">
        <v>222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158286.54261983003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153827.59434108922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7562426.0447183261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151248.52089436652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7435634.4096525796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148712.68819305158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199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200</v>
      </c>
      <c r="C54" s="115"/>
      <c r="D54" s="115"/>
      <c r="E54" s="115"/>
      <c r="F54" s="116"/>
      <c r="G54" s="24">
        <f>(G48+G49-G50)*(1+'Fane 12. Nøgletal'!C14)</f>
        <v>7310968.5631403457</v>
      </c>
      <c r="H54" s="14" t="s">
        <v>3</v>
      </c>
      <c r="I54" s="1"/>
    </row>
    <row r="55" spans="1:9" x14ac:dyDescent="0.25">
      <c r="A55" s="1"/>
      <c r="B55" s="114" t="s">
        <v>201</v>
      </c>
      <c r="C55" s="115"/>
      <c r="D55" s="115"/>
      <c r="E55" s="115"/>
      <c r="F55" s="116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202</v>
      </c>
      <c r="C56" s="115"/>
      <c r="D56" s="115"/>
      <c r="E56" s="115"/>
      <c r="F56" s="116"/>
      <c r="G56" s="24">
        <f>(G54+G55)*'Fane 12. Nøgletal'!C29</f>
        <v>146219.3712628069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YV57/t7EUA0oMkZtgk+7W6HZOZaqXhmT0z8B+6Vc/5OJoMsppEIQCn3yGZPJcThmq5jOWoiluGQd/4ANxeSbVQ==" saltValue="6Vd/UAmiiiqZiTw1w3OzNA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8761010.1928633749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79725.19275505672</v>
      </c>
      <c r="H6" s="14" t="s">
        <v>3</v>
      </c>
      <c r="I6" s="1"/>
    </row>
    <row r="7" spans="1:9" x14ac:dyDescent="0.2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8791537.3196096942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80002.989608448217</v>
      </c>
      <c r="H12" s="14" t="s">
        <v>3</v>
      </c>
      <c r="I12" s="1"/>
    </row>
    <row r="13" spans="1:9" x14ac:dyDescent="0.2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8858759.2601782661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29883.802290735475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145590.98120311997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78597.836179947451</v>
      </c>
      <c r="H19" s="14" t="s">
        <v>3</v>
      </c>
      <c r="I19" s="1"/>
    </row>
    <row r="20" spans="1:9" x14ac:dyDescent="0.2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9106986.4593987912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58275.381010809608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80885.803017476472</v>
      </c>
      <c r="H25" s="14" t="s">
        <v>3</v>
      </c>
      <c r="I25" s="1"/>
    </row>
    <row r="26" spans="1:9" x14ac:dyDescent="0.2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9195205.4250483084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134073.48575123999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256555.17004698757</v>
      </c>
      <c r="H31" s="14" t="s">
        <v>3</v>
      </c>
      <c r="I31" s="1"/>
    </row>
    <row r="32" spans="1:9" x14ac:dyDescent="0.2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9183410.9703897424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130361.53286028732</v>
      </c>
      <c r="H36" s="14" t="s">
        <v>3</v>
      </c>
      <c r="I36" s="38"/>
    </row>
    <row r="37" spans="1:9" x14ac:dyDescent="0.25">
      <c r="A37" s="1"/>
      <c r="B37" s="114" t="s">
        <v>194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106398.77107300003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254118.50349759831</v>
      </c>
      <c r="H38" s="14" t="s">
        <v>3</v>
      </c>
      <c r="I38" s="1"/>
    </row>
    <row r="39" spans="1:9" x14ac:dyDescent="0.2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9065509.0190504305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134169.53348194639</v>
      </c>
      <c r="H44" s="14" t="s">
        <v>3</v>
      </c>
      <c r="I44" s="1"/>
    </row>
    <row r="45" spans="1:9" x14ac:dyDescent="0.2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8960812.9058708604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132620.03100688875</v>
      </c>
      <c r="H50" s="14" t="s">
        <v>3</v>
      </c>
      <c r="I50" s="1"/>
    </row>
    <row r="51" spans="1:9" x14ac:dyDescent="0.2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195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196</v>
      </c>
      <c r="C54" s="115"/>
      <c r="D54" s="115"/>
      <c r="E54" s="115"/>
      <c r="F54" s="116"/>
      <c r="G54" s="24">
        <f>(G48+G49-G50)*(1+'Fane 12. Nøgletal'!C14)</f>
        <v>8857325.9113510232</v>
      </c>
      <c r="H54" s="14" t="s">
        <v>3</v>
      </c>
      <c r="I54" s="1"/>
    </row>
    <row r="55" spans="1:9" x14ac:dyDescent="0.25">
      <c r="A55" s="1"/>
      <c r="B55" s="114" t="s">
        <v>197</v>
      </c>
      <c r="C55" s="115"/>
      <c r="D55" s="115"/>
      <c r="E55" s="115"/>
      <c r="F55" s="116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198</v>
      </c>
      <c r="C56" s="115"/>
      <c r="D56" s="115"/>
      <c r="E56" s="115"/>
      <c r="F56" s="116"/>
      <c r="G56" s="24">
        <f>(G54+G55)*'Fane 12. Nøgletal'!C24</f>
        <v>131088.42348799514</v>
      </c>
      <c r="H56" s="14" t="s">
        <v>3</v>
      </c>
      <c r="I56" s="1"/>
    </row>
    <row r="57" spans="1:9" x14ac:dyDescent="0.2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O+Dt+Hd9RrA7TdRD+acnMhI53J/TjlCgBaFc7oCIPJvj66hBXEIQEEKO7tzFcVgRt+tCASoEd9ZarEvdAWq5WQ==" saltValue="sckoYlarbCps33uCRoUocQ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1.3236616059873188E-2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3.3840406325745249E-3</v>
      </c>
      <c r="H10" s="14"/>
      <c r="I10" s="1"/>
    </row>
    <row r="11" spans="1:9" x14ac:dyDescent="0.2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25">
      <c r="A12" s="1"/>
      <c r="B12" s="123" t="s">
        <v>192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3V1tEdGB8CoNr9eWCUcaM2b1TDZPKAQlPsYO7JY69j36+SZLphAM6mgNCSFgTyslKy6iEEDDkB/Vb3Yxn9jtA==" saltValue="zp2iH7Gia8mL6kgsVtlw4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2021-09-03T11:30:37Z</dcterms:modified>
</cp:coreProperties>
</file>