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TÅRNBYFORSYNING VAND AS (V191)\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calcPr calcId="162913" calcMode="manual"/>
</workbook>
</file>

<file path=xl/calcChain.xml><?xml version="1.0" encoding="utf-8"?>
<calcChain xmlns="http://schemas.openxmlformats.org/spreadsheetml/2006/main">
  <c r="E34" i="27" l="1"/>
  <c r="C19" i="23"/>
  <c r="C19" i="22"/>
  <c r="C20" i="15"/>
  <c r="C32" i="2"/>
  <c r="G18" i="40" l="1"/>
  <c r="E23" i="27" l="1"/>
  <c r="E22" i="27"/>
  <c r="E18" i="32" l="1"/>
  <c r="E17" i="32"/>
  <c r="E26" i="32" l="1"/>
  <c r="E31" i="32" s="1"/>
  <c r="E33" i="32" s="1"/>
  <c r="C18" i="15" l="1"/>
  <c r="C30" i="2"/>
  <c r="J11" i="11" l="1"/>
  <c r="H11" i="11"/>
  <c r="C14" i="19"/>
  <c r="E24" i="27" l="1"/>
  <c r="C15" i="19" l="1"/>
  <c r="E11" i="29" l="1"/>
  <c r="E12" i="29" s="1"/>
  <c r="C11" i="29"/>
  <c r="C12" i="29" s="1"/>
  <c r="F10" i="11"/>
  <c r="C15" i="22"/>
  <c r="C16" i="15" l="1"/>
  <c r="C15" i="23"/>
  <c r="E35" i="27" l="1"/>
  <c r="E12" i="39" l="1"/>
  <c r="E13" i="39" s="1"/>
  <c r="C12" i="39"/>
  <c r="C13" i="39" s="1"/>
  <c r="C24" i="2" s="1"/>
  <c r="G31" i="36" l="1"/>
  <c r="G38" i="36" s="1"/>
  <c r="G7" i="36"/>
  <c r="G11" i="36" s="1"/>
  <c r="G13" i="36" s="1"/>
  <c r="G7" i="30"/>
  <c r="G11" i="30" s="1"/>
  <c r="G17" i="36" l="1"/>
  <c r="G20" i="36" s="1"/>
  <c r="G13" i="30"/>
  <c r="G17" i="30" s="1"/>
  <c r="G24" i="36" l="1"/>
  <c r="G20" i="30"/>
  <c r="G30" i="36" l="1"/>
  <c r="G37" i="36" s="1"/>
  <c r="G26" i="36"/>
  <c r="G24" i="30"/>
  <c r="G26" i="30" s="1"/>
  <c r="G31" i="30" l="1"/>
  <c r="G38" i="30" s="1"/>
  <c r="F11" i="11" l="1"/>
  <c r="E12" i="21" l="1"/>
  <c r="E13" i="21" s="1"/>
  <c r="C12" i="21"/>
  <c r="C13" i="21" s="1"/>
  <c r="C13" i="2" l="1"/>
  <c r="C12" i="2"/>
  <c r="C25" i="2" l="1"/>
  <c r="C27" i="2" s="1"/>
  <c r="C26" i="2" l="1"/>
  <c r="C28" i="2" s="1"/>
  <c r="G30" i="30"/>
  <c r="G37" i="30" s="1"/>
  <c r="G33" i="30" l="1"/>
  <c r="C10" i="37" l="1"/>
  <c r="C12" i="37" s="1"/>
  <c r="C13" i="37" l="1"/>
  <c r="C10" i="2" s="1"/>
  <c r="C22" i="2"/>
  <c r="C14" i="2"/>
  <c r="C15" i="2"/>
  <c r="G46" i="30" l="1"/>
  <c r="G41" i="30"/>
  <c r="G45" i="30" s="1"/>
  <c r="G47" i="30" l="1"/>
  <c r="G54" i="30" s="1"/>
  <c r="G39" i="30"/>
  <c r="E10" i="37"/>
  <c r="E12" i="37" s="1"/>
  <c r="E13" i="37" l="1"/>
  <c r="C11" i="2" s="1"/>
  <c r="G46" i="36" s="1"/>
  <c r="G55" i="30"/>
  <c r="G59" i="30" s="1"/>
  <c r="C18" i="2"/>
  <c r="G60" i="30" l="1"/>
  <c r="G64" i="30" s="1"/>
  <c r="G65" i="30" s="1"/>
  <c r="G33" i="36"/>
  <c r="G41" i="36"/>
  <c r="G45" i="36" s="1"/>
  <c r="G47" i="36" s="1"/>
  <c r="G52" i="36" s="1"/>
  <c r="G53" i="36" l="1"/>
  <c r="G57" i="36" s="1"/>
  <c r="C9" i="2"/>
  <c r="C13" i="15" l="1"/>
  <c r="G58" i="36"/>
  <c r="G62" i="36" s="1"/>
  <c r="G63" i="36" s="1"/>
  <c r="C16" i="2"/>
  <c r="C17" i="2" s="1"/>
  <c r="C19" i="2"/>
  <c r="C11" i="22" l="1"/>
  <c r="C12" i="15"/>
  <c r="C20" i="2"/>
  <c r="C33" i="2" s="1"/>
  <c r="C11" i="23" l="1"/>
  <c r="C12" i="22"/>
  <c r="C9" i="15"/>
  <c r="C10" i="15" l="1"/>
  <c r="C11" i="15" s="1"/>
  <c r="C12" i="23"/>
  <c r="C14" i="15" l="1"/>
  <c r="C21" i="15" l="1"/>
  <c r="C8" i="22"/>
  <c r="C9" i="22" l="1"/>
  <c r="C10" i="22"/>
  <c r="C13" i="22" l="1"/>
  <c r="C20" i="22"/>
  <c r="C8" i="23"/>
  <c r="C9" i="23" l="1"/>
  <c r="C10" i="23" s="1"/>
  <c r="C13" i="23" s="1"/>
  <c r="C20" i="23" s="1"/>
</calcChain>
</file>

<file path=xl/sharedStrings.xml><?xml version="1.0" encoding="utf-8"?>
<sst xmlns="http://schemas.openxmlformats.org/spreadsheetml/2006/main" count="527" uniqueCount="263">
  <si>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</si>
  <si>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</si>
  <si>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</si>
  <si>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</si>
  <si>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</si>
  <si>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</si>
  <si>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</si>
  <si>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</si>
  <si>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</si>
  <si>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</si>
  <si>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</si>
  <si>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</si>
  <si>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</si>
  <si>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</si>
  <si>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</si>
  <si>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</si>
  <si>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</si>
  <si>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</si>
  <si>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</si>
  <si>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</si>
  <si>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</si>
  <si>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</si>
  <si>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</si>
  <si>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</si>
  <si>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</si>
  <si>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</si>
  <si>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</si>
  <si>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</si>
  <si>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</si>
  <si>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</si>
  <si>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</si>
  <si>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</si>
  <si>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</si>
  <si>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</si>
  <si>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</si>
  <si>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</si>
  <si>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</si>
  <si>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</si>
  <si>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</si>
  <si>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</si>
  <si>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</si>
  <si>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</si>
  <si>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</si>
  <si>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</si>
  <si>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</si>
  <si>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</si>
  <si>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</si>
  <si>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</si>
  <si>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</si>
  <si>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</si>
  <si>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</si>
  <si>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</si>
  <si>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</si>
  <si>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</si>
  <si>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</si>
  <si>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</si>
  <si>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</si>
  <si>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</si>
  <si>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</si>
  <si>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</si>
  <si>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</si>
  <si>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</si>
  <si>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</si>
  <si>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</si>
  <si>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</si>
  <si>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</si>
  <si>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</si>
  <si>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</si>
  <si>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</si>
  <si>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</si>
  <si>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</si>
  <si>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</si>
  <si>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</si>
  <si>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</si>
  <si>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</si>
  <si>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</si>
  <si>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</si>
  <si>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</si>
  <si>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</si>
  <si>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</si>
  <si>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</si>
  <si>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</si>
  <si>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</si>
  <si>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</si>
  <si>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</si>
  <si>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</si>
  <si>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</si>
  <si>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2021-prisniveau</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</si>
  <si>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</si>
  <si>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</si>
  <si>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</si>
  <si>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</si>
  <si>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</si>
  <si>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</si>
  <si>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</si>
  <si>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</si>
  <si>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</si>
  <si>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</si>
  <si>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</si>
  <si>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Generelt effektiviseringskrav til anlægsomkostninger i de økonomiske rammer for 2022</t>
  </si>
  <si>
    <t>Generelt effektiviseringskrav til driftsomkostninger i de økonomiske rammer for 2022</t>
  </si>
  <si>
    <t>Fane 4.1: Generelt effektiviseringskrav til driftsomkostningerne</t>
  </si>
  <si>
    <t>Fane 4.2: Generelt effektiviseringskrav til anlægsomkostningerne</t>
  </si>
  <si>
    <t>Fane 6: Ikke-påvirkelige omkostninger</t>
  </si>
  <si>
    <t>Fane 4.1</t>
  </si>
  <si>
    <t>Fane 4.2</t>
  </si>
  <si>
    <t>Fane 6</t>
  </si>
  <si>
    <t>Fane 11</t>
  </si>
  <si>
    <t>Prisudvikling til brug for ØR2017-2018</t>
  </si>
  <si>
    <t>Prisudvikling til brug for ØR2019-2022</t>
  </si>
  <si>
    <t>Generelt effektiviseringskrav til brug for anlægsomkostninger i ØR2017-2018</t>
  </si>
  <si>
    <t>Generelt effektiviseringskrav til brug for nye anlægsomkostninger i ØR2018</t>
  </si>
  <si>
    <t>Generelt effektiviseringskrav til brug for nye anlægsomkostninger i ØR2020</t>
  </si>
  <si>
    <t>Generelt effektiviseringskrav til brug for anlægsomkostninger i ØR2019-2022</t>
  </si>
  <si>
    <t>Generelt effektiviseringskrav til brug for driftsomkostninger</t>
  </si>
  <si>
    <t>- Heraf nye driftsomkostninger til de økonomiske rammer for 2020</t>
  </si>
  <si>
    <t>Generelt effektiviseringskrav til driftsomkostningerne i ØR22</t>
  </si>
  <si>
    <t>- Heraf nye anlægsomkostninger til de økonomiske rammer for 2020</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</si>
  <si>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</si>
  <si>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</si>
  <si>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</si>
  <si>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</si>
  <si>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</si>
  <si>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</si>
  <si>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2022</t>
  </si>
  <si>
    <t>Videreførte omkostninger fra den økonomiske ramme for 2024</t>
  </si>
  <si>
    <t>Økonomisk ramme for 2024</t>
  </si>
  <si>
    <t>Tilknyttet virksomhed under hovedvirksomheden</t>
  </si>
  <si>
    <t>Beskrivelse af tilknyttet virksomhed</t>
  </si>
  <si>
    <t>Prisudvikling til brug for nye omkostninger i ØR2021</t>
  </si>
  <si>
    <t>Generelt effektiviseringskrav til brug for nye anlægsomkostninger i ØR2021</t>
  </si>
  <si>
    <t>Engangstillæg i alt i 2023-prisniveau</t>
  </si>
  <si>
    <t>Nye driftsomkostninger til de økonomiske rammer for 2021</t>
  </si>
  <si>
    <t>Base for driftsomkostninger til de vejledende økonomiske rammer for 2024</t>
  </si>
  <si>
    <t>Vejledende generelt effektiviseringskrav til driftsomkostningerne i ØR24</t>
  </si>
  <si>
    <t>Nye anlægsomkostninger til de økonomiske rammer for 2021</t>
  </si>
  <si>
    <t>- Heraf nye driftsomkostninger til de økonomiske rammer for 2021</t>
  </si>
  <si>
    <t>- Heraf nye anlægsomkostninger til de økonomiske rammer for 2021</t>
  </si>
  <si>
    <t>Base for anlægsomkostninger til de vejledende økonomiske rammer for 2024</t>
  </si>
  <si>
    <t>Vejledende generelt effektiviseringskrav til anlægsomkostningerne i ØR24</t>
  </si>
  <si>
    <t>Anlægsprojekter igangsat senest 1. marts 2016</t>
  </si>
  <si>
    <t>Generelt effektiviseringskrav til anlægsomkostningerne i ØR22</t>
  </si>
  <si>
    <t>Kontrol med overholdelse af økonomiske rammer</t>
  </si>
  <si>
    <t>Kontrol med overholdelse af den økonomiske ramme</t>
  </si>
  <si>
    <t>Vejledende økonomisk ramme for 2025</t>
  </si>
  <si>
    <t>- Heraf nye omkostninger i ØR21 - Drift</t>
  </si>
  <si>
    <t>- Heraf nye omkostninger i ØR21 - Anlæg</t>
  </si>
  <si>
    <t>Videreførte omkostninger fra den økonomiske ramme for 2023</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</si>
  <si>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</si>
  <si>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</si>
  <si>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</si>
  <si>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</si>
  <si>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</si>
  <si>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</si>
  <si>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</si>
  <si>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</si>
  <si>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</si>
  <si>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</si>
  <si>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</si>
  <si>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i de økonomiske rammer for 2022</t>
  </si>
  <si>
    <t>Nye anlægsomkostninger i de økonomiske rammer for 2022</t>
  </si>
  <si>
    <t xml:space="preserve">Indtægter fra tilbagebetalt skat eller sambeskatningsbidrag som følge af skattesagen </t>
  </si>
  <si>
    <t xml:space="preserve">Nedsættelse af økonomisk ramme som følge af skattesagen </t>
  </si>
  <si>
    <t>Tidligere opgjorte over/underdækninger</t>
  </si>
  <si>
    <t>Over/underdækning i 2019</t>
  </si>
  <si>
    <t>Allerede indregnet fradrag i jeres økonomiske rammer</t>
  </si>
  <si>
    <t>Indregnet fradrag i økonomisk ramme for 2023</t>
  </si>
  <si>
    <t>Indregnet fradrag i økonomisk ramme for 2024</t>
  </si>
  <si>
    <t>Kontrol med de økonomiske rammer til indregning</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</si>
  <si>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</si>
  <si>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</si>
  <si>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</si>
  <si>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</si>
  <si>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</si>
  <si>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</si>
  <si>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</si>
  <si>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</si>
  <si>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</si>
  <si>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</si>
  <si>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</si>
  <si>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</si>
  <si>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</si>
  <si>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</si>
  <si>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</si>
  <si>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</si>
  <si>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</si>
  <si>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</si>
  <si>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</si>
  <si>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</si>
  <si>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</si>
  <si>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</si>
  <si>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</si>
  <si>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</si>
  <si>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</si>
  <si>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</si>
  <si>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Nye tillæg i alt i 2022-prisniveau</t>
  </si>
  <si>
    <t>Tilknyttet virksomhed under hovedvirksomheden i alt (2022-prisniveau)</t>
  </si>
  <si>
    <t xml:space="preserve"> </t>
  </si>
  <si>
    <t>Anlægsprojekter igangsat senest den 1. marts 2016</t>
  </si>
  <si>
    <t>Anlægsprojekter igangsat senest den 1. marts 2016 i alt</t>
  </si>
  <si>
    <t>Til økonomiske rammer for 2023-2024</t>
  </si>
  <si>
    <t>Engangstillæg i alt i 2021-prisniveau</t>
  </si>
  <si>
    <t>Samlet økonomisk ramme for 2024</t>
  </si>
  <si>
    <t>- Heraf nye omkostninger i ØR20 - Drift</t>
  </si>
  <si>
    <t>- Heraf nye omkostninger i ØR20 - Anlæg</t>
  </si>
  <si>
    <t>Nedsættelse af økonomisk ramme som følge af skattesagen</t>
  </si>
  <si>
    <t>Indtægter fra tilbagebetalt skat eller sambeskatningsbidrag som følge af skattesagen</t>
  </si>
  <si>
    <t>Nye driftsomkostninger til de økonomiske rammer for 2023</t>
  </si>
  <si>
    <t>Generelt effektiviseringskrav til driftsomkostningerne i ØR23</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</si>
  <si>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</si>
  <si>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</si>
  <si>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</si>
  <si>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 xml:space="preserve">Anlægsprojekter (§ 19) </t>
  </si>
  <si>
    <t>Effektiviseringskrav (generelt og individuelt) - Drift</t>
  </si>
  <si>
    <t>Effektiviseringskrav (generelt og individuelt) - Anlæg</t>
  </si>
  <si>
    <t>Generelt effektiviseringskrav til driftsomkostninger i de økonomiske rammer for 2024</t>
  </si>
  <si>
    <t>Generelt effektiviseringskrav til driftsomkostninger i de økonomiske rammer for 2023</t>
  </si>
  <si>
    <t>Nye varige anlægsomkostninger i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</si>
  <si>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</si>
  <si>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</si>
  <si>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</si>
  <si>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</si>
  <si>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</si>
  <si>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</si>
  <si>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</si>
  <si>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</si>
  <si>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</si>
  <si>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</si>
  <si>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</si>
  <si>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</si>
  <si>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</si>
  <si>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</si>
  <si>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</si>
  <si>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</si>
  <si>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</si>
  <si>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</si>
  <si>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</si>
  <si>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</si>
  <si>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</si>
  <si>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</si>
  <si>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Tjenestemandspensioner</t>
  </si>
  <si>
    <t>Over/underdækning i 2018</t>
  </si>
  <si>
    <t>Korrigeret over/underdækning i 2018</t>
  </si>
  <si>
    <t>Faktiske indtægter i 2020</t>
  </si>
  <si>
    <t>Til indregning i de økonomiske rammer for 2023-2024</t>
  </si>
  <si>
    <t>Nye tillæg</t>
  </si>
  <si>
    <t>Ingen engangstillæg</t>
  </si>
  <si>
    <t>Ingen tilknyttet virksomhed under hovedvirksomheden</t>
  </si>
  <si>
    <t>Ingen bortfald eller nedsættelse</t>
  </si>
  <si>
    <t>Prisudvikling til brug for nye omkostninger i ØR2023</t>
  </si>
  <si>
    <t>Generelt effektiviseringskrav til brug for nye anlægsomkostninger i ØR2023</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</si>
  <si>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</si>
  <si>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</si>
  <si>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</si>
  <si>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</si>
  <si>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</si>
  <si>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</si>
  <si>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</si>
  <si>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</si>
  <si>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</si>
  <si>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</si>
  <si>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</si>
  <si>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Individuelt effektiviseringskrav til de økonomiske rammer for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</si>
</sst>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3" borderId="1" xfId="0" applyFont="1" applyFill="1" applyBorder="1" applyAlignment="1" applyProtection="1"/>
    <xf numFmtId="0" fontId="2" fillId="2" borderId="0" xfId="0" applyFont="1" applyFill="1" applyAlignment="1" applyProtection="1">
      <alignment vertical="center" wrapText="1"/>
    </xf>
    <xf numFmtId="0" fontId="2" fillId="2" borderId="7" xfId="0" applyFont="1" applyFill="1" applyBorder="1" applyAlignment="1" applyProtection="1">
      <alignment vertical="center" wrapText="1"/>
    </xf>
    <xf numFmtId="0" fontId="0" fillId="2" borderId="0" xfId="0" applyFill="1" applyAlignment="1" applyProtection="1">
      <alignment horizontal="left"/>
    </xf>
    <xf numFmtId="0" fontId="0" fillId="0" borderId="0" xfId="0" applyAlignment="1" applyProtection="1">
      <alignment horizontal="left"/>
    </xf>
    <xf numFmtId="0" fontId="8" fillId="4" borderId="3" xfId="0" applyFont="1" applyFill="1" applyBorder="1" applyAlignment="1" applyProtection="1">
      <alignment horizontal="left"/>
    </xf>
    <xf numFmtId="10" fontId="8" fillId="8" borderId="1" xfId="0" applyNumberFormat="1" applyFont="1" applyFill="1" applyBorder="1" applyProtection="1"/>
    <xf numFmtId="0" fontId="8" fillId="4" borderId="2" xfId="0" applyFont="1" applyFill="1" applyBorder="1" applyAlignment="1" applyProtection="1"/>
    <xf numFmtId="3" fontId="8" fillId="8" borderId="1" xfId="0" applyNumberFormat="1" applyFont="1" applyFill="1" applyBorder="1" applyAlignment="1" applyProtection="1">
      <alignment horizontal="right" wrapText="1"/>
    </xf>
    <xf numFmtId="1" fontId="8" fillId="0" borderId="1" xfId="0" applyNumberFormat="1" applyFont="1" applyFill="1" applyBorder="1" applyProtection="1"/>
    <xf numFmtId="0" fontId="8" fillId="8" borderId="4" xfId="0" applyFont="1" applyFill="1" applyBorder="1" applyAlignment="1" applyProtection="1">
      <alignment horizontal="left" wrapText="1"/>
    </xf>
    <xf numFmtId="0" fontId="0" fillId="0" borderId="0" xfId="0"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14" fillId="4" borderId="1" xfId="0" applyFont="1" applyFill="1" applyBorder="1" applyAlignment="1" applyProtection="1">
      <alignment wrapText="1"/>
    </xf>
    <xf numFmtId="0" fontId="15" fillId="3" borderId="1" xfId="0" applyFont="1" applyFill="1" applyBorder="1" applyProtection="1"/>
    <xf numFmtId="0" fontId="15" fillId="3" borderId="2" xfId="0" applyFont="1" applyFill="1" applyBorder="1" applyAlignment="1" applyProtection="1"/>
    <xf numFmtId="0" fontId="15"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 fontId="7" fillId="3" borderId="6"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165" fontId="8" fillId="8" borderId="1" xfId="1"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0" fontId="8" fillId="8" borderId="2" xfId="0" quotePrefix="1"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0" fillId="2" borderId="0" xfId="0" applyFill="1" applyAlignment="1" applyProtection="1">
      <alignment horizontal="center" vertical="center" wrapText="1"/>
    </xf>
    <xf numFmtId="0" fontId="0" fillId="2" borderId="0" xfId="0" applyFill="1" applyAlignment="1" applyProtection="1">
      <alignment horizontal="center"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93" zoomScaleNormal="100" zoomScalePageLayoutView="93"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3" t="s">
        <v>4</v>
      </c>
      <c r="E6" s="103"/>
      <c r="F6" s="103"/>
      <c r="G6" s="103"/>
      <c r="H6" s="3"/>
      <c r="I6" s="1"/>
    </row>
    <row r="7" spans="1:9" ht="15" customHeight="1" x14ac:dyDescent="0.25">
      <c r="A7" s="1"/>
      <c r="B7" s="1"/>
      <c r="C7" s="3"/>
      <c r="D7" s="103"/>
      <c r="E7" s="103"/>
      <c r="F7" s="103"/>
      <c r="G7" s="103"/>
      <c r="H7" s="3"/>
      <c r="I7" s="1"/>
    </row>
    <row r="8" spans="1:9" ht="15.75" x14ac:dyDescent="0.25">
      <c r="A8" s="1"/>
      <c r="B8" s="1"/>
      <c r="C8" s="4"/>
      <c r="D8" s="105" t="s">
        <v>200</v>
      </c>
      <c r="E8" s="105"/>
      <c r="F8" s="105"/>
      <c r="G8" s="105"/>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4" t="s">
        <v>5</v>
      </c>
      <c r="E11" s="104"/>
      <c r="F11" s="104"/>
      <c r="G11" s="104"/>
      <c r="H11" s="5"/>
      <c r="I11" s="1"/>
    </row>
    <row r="12" spans="1:9" x14ac:dyDescent="0.25">
      <c r="A12" s="1"/>
      <c r="B12" s="1"/>
      <c r="C12" s="1"/>
      <c r="D12" s="1"/>
      <c r="E12" s="1"/>
      <c r="F12" s="1"/>
      <c r="G12" s="1"/>
      <c r="H12" s="1"/>
      <c r="I12" s="1"/>
    </row>
    <row r="13" spans="1:9" x14ac:dyDescent="0.25">
      <c r="A13" s="1"/>
      <c r="B13" s="1"/>
      <c r="C13" s="6" t="s">
        <v>6</v>
      </c>
      <c r="D13" s="106" t="s">
        <v>169</v>
      </c>
      <c r="E13" s="107"/>
      <c r="F13" s="107"/>
      <c r="G13" s="108"/>
      <c r="H13" s="1"/>
      <c r="I13" s="1"/>
    </row>
    <row r="14" spans="1:9" x14ac:dyDescent="0.25">
      <c r="A14" s="1"/>
      <c r="B14" s="1"/>
      <c r="C14" s="6" t="s">
        <v>14</v>
      </c>
      <c r="D14" s="100" t="s">
        <v>202</v>
      </c>
      <c r="E14" s="101"/>
      <c r="F14" s="101"/>
      <c r="G14" s="102"/>
      <c r="H14" s="1"/>
      <c r="I14" s="1"/>
    </row>
    <row r="15" spans="1:9" x14ac:dyDescent="0.25">
      <c r="A15" s="1"/>
      <c r="B15" s="1"/>
      <c r="C15" s="6" t="s">
        <v>32</v>
      </c>
      <c r="D15" s="100" t="s">
        <v>144</v>
      </c>
      <c r="E15" s="101"/>
      <c r="F15" s="101"/>
      <c r="G15" s="102"/>
      <c r="H15" s="1"/>
      <c r="I15" s="1"/>
    </row>
    <row r="16" spans="1:9" x14ac:dyDescent="0.25">
      <c r="A16" s="1"/>
      <c r="B16" s="1"/>
      <c r="C16" s="6" t="s">
        <v>33</v>
      </c>
      <c r="D16" s="100" t="s">
        <v>170</v>
      </c>
      <c r="E16" s="101"/>
      <c r="F16" s="101"/>
      <c r="G16" s="102"/>
      <c r="H16" s="1"/>
      <c r="I16" s="1"/>
    </row>
    <row r="17" spans="1:9" x14ac:dyDescent="0.25">
      <c r="A17" s="1"/>
      <c r="B17" s="1"/>
      <c r="C17" s="6" t="s">
        <v>118</v>
      </c>
      <c r="D17" s="100" t="s">
        <v>171</v>
      </c>
      <c r="E17" s="101"/>
      <c r="F17" s="101"/>
      <c r="G17" s="102"/>
      <c r="H17" s="1"/>
      <c r="I17" s="1"/>
    </row>
    <row r="18" spans="1:9" x14ac:dyDescent="0.25">
      <c r="A18" s="1"/>
      <c r="B18" s="1"/>
      <c r="C18" s="6" t="s">
        <v>104</v>
      </c>
      <c r="D18" s="109" t="s">
        <v>91</v>
      </c>
      <c r="E18" s="110"/>
      <c r="F18" s="110"/>
      <c r="G18" s="111"/>
      <c r="H18" s="1"/>
      <c r="I18" s="1"/>
    </row>
    <row r="19" spans="1:9" x14ac:dyDescent="0.25">
      <c r="A19" s="1"/>
      <c r="B19" s="1"/>
      <c r="C19" s="6" t="s">
        <v>105</v>
      </c>
      <c r="D19" s="109" t="s">
        <v>92</v>
      </c>
      <c r="E19" s="110"/>
      <c r="F19" s="110"/>
      <c r="G19" s="111"/>
      <c r="H19" s="1"/>
      <c r="I19" s="1"/>
    </row>
    <row r="20" spans="1:9" x14ac:dyDescent="0.25">
      <c r="A20" s="1"/>
      <c r="B20" s="1"/>
      <c r="C20" s="6" t="s">
        <v>7</v>
      </c>
      <c r="D20" s="109" t="s">
        <v>9</v>
      </c>
      <c r="E20" s="110"/>
      <c r="F20" s="110"/>
      <c r="G20" s="111"/>
      <c r="H20" s="1"/>
      <c r="I20" s="1"/>
    </row>
    <row r="21" spans="1:9" x14ac:dyDescent="0.25">
      <c r="A21" s="1"/>
      <c r="B21" s="1"/>
      <c r="C21" s="6" t="s">
        <v>106</v>
      </c>
      <c r="D21" s="97" t="s">
        <v>11</v>
      </c>
      <c r="E21" s="98"/>
      <c r="F21" s="98"/>
      <c r="G21" s="99"/>
      <c r="H21" s="1"/>
      <c r="I21" s="1"/>
    </row>
    <row r="22" spans="1:9" x14ac:dyDescent="0.25">
      <c r="A22" s="1"/>
      <c r="B22" s="1"/>
      <c r="C22" s="6" t="s">
        <v>82</v>
      </c>
      <c r="D22" s="91" t="s">
        <v>172</v>
      </c>
      <c r="E22" s="92"/>
      <c r="F22" s="92"/>
      <c r="G22" s="93"/>
      <c r="H22" s="1"/>
      <c r="I22" s="1"/>
    </row>
    <row r="23" spans="1:9" x14ac:dyDescent="0.25">
      <c r="A23" s="1"/>
      <c r="B23" s="1"/>
      <c r="C23" s="6" t="s">
        <v>8</v>
      </c>
      <c r="D23" s="91" t="s">
        <v>225</v>
      </c>
      <c r="E23" s="92"/>
      <c r="F23" s="92"/>
      <c r="G23" s="93"/>
      <c r="H23" s="1"/>
      <c r="I23" s="1"/>
    </row>
    <row r="24" spans="1:9" x14ac:dyDescent="0.25">
      <c r="A24" s="1"/>
      <c r="B24" s="1"/>
      <c r="C24" s="6" t="s">
        <v>221</v>
      </c>
      <c r="D24" s="91" t="s">
        <v>212</v>
      </c>
      <c r="E24" s="92"/>
      <c r="F24" s="92"/>
      <c r="G24" s="93"/>
      <c r="H24" s="1"/>
      <c r="I24" s="1"/>
    </row>
    <row r="25" spans="1:9" x14ac:dyDescent="0.25">
      <c r="A25" s="1"/>
      <c r="B25" s="1"/>
      <c r="C25" s="6" t="s">
        <v>222</v>
      </c>
      <c r="D25" s="91" t="s">
        <v>83</v>
      </c>
      <c r="E25" s="92"/>
      <c r="F25" s="92"/>
      <c r="G25" s="93"/>
      <c r="H25" s="1"/>
      <c r="I25" s="1"/>
    </row>
    <row r="26" spans="1:9" x14ac:dyDescent="0.25">
      <c r="A26" s="1"/>
      <c r="B26" s="1"/>
      <c r="C26" s="6" t="s">
        <v>223</v>
      </c>
      <c r="D26" s="91" t="s">
        <v>84</v>
      </c>
      <c r="E26" s="92"/>
      <c r="F26" s="92"/>
      <c r="G26" s="93"/>
      <c r="H26" s="1"/>
      <c r="I26" s="1"/>
    </row>
    <row r="27" spans="1:9" x14ac:dyDescent="0.25">
      <c r="A27" s="1"/>
      <c r="B27" s="1"/>
      <c r="C27" s="6" t="s">
        <v>107</v>
      </c>
      <c r="D27" s="91" t="s">
        <v>121</v>
      </c>
      <c r="E27" s="92"/>
      <c r="F27" s="92"/>
      <c r="G27" s="93"/>
      <c r="H27" s="1"/>
      <c r="I27" s="1"/>
    </row>
    <row r="28" spans="1:9" x14ac:dyDescent="0.25">
      <c r="A28" s="1"/>
      <c r="B28" s="1"/>
      <c r="C28" s="6" t="s">
        <v>96</v>
      </c>
      <c r="D28" s="91" t="s">
        <v>34</v>
      </c>
      <c r="E28" s="92"/>
      <c r="F28" s="92"/>
      <c r="G28" s="93"/>
      <c r="H28" s="1"/>
      <c r="I28" s="1"/>
    </row>
    <row r="29" spans="1:9" x14ac:dyDescent="0.25">
      <c r="A29" s="1"/>
      <c r="B29" s="1"/>
      <c r="C29" s="6" t="s">
        <v>224</v>
      </c>
      <c r="D29" s="94" t="s">
        <v>97</v>
      </c>
      <c r="E29" s="95"/>
      <c r="F29" s="95"/>
      <c r="G29" s="9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0"/>
      <c r="B51" s="40"/>
      <c r="C51" s="40"/>
      <c r="D51" s="40"/>
      <c r="E51" s="40"/>
      <c r="F51" s="40"/>
      <c r="G51" s="40"/>
      <c r="H51" s="40"/>
      <c r="I51" s="40"/>
    </row>
  </sheetData>
  <sheetProtection algorithmName="SHA-512" hashValue="7CCVxKrzhCL6vqx88brF9NocNViCV9Yz9jpKNJxLBYCiTuKzh6uQBgRYRJc3LmC1OxT+rbVHDSYuPRRtC7nMbQ==" saltValue="Kz7Y7liUgMOO9Ejp56AXMw=="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20:G20" location="'Fane 5. Individuelt eff. krav'!A1" display="Individuelt effektiviseringskrav"/>
    <hyperlink ref="D19:G19" location="'Fane 4.2. Gen. krav - anlæg'!A1" display="Generelt effektiviseringskrav på anlæg"/>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103</v>
      </c>
      <c r="C3" s="112"/>
      <c r="D3" s="112"/>
      <c r="E3" s="1"/>
      <c r="F3" s="1"/>
    </row>
    <row r="4" spans="1:6" ht="15" customHeight="1" x14ac:dyDescent="0.25">
      <c r="A4" s="1"/>
      <c r="B4" s="112"/>
      <c r="C4" s="112"/>
      <c r="D4" s="11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43" t="s">
        <v>188</v>
      </c>
      <c r="C8" s="144"/>
      <c r="D8" s="146"/>
      <c r="E8" s="1"/>
      <c r="F8" s="1"/>
    </row>
    <row r="9" spans="1:6" ht="15" customHeight="1" x14ac:dyDescent="0.25">
      <c r="A9" s="1"/>
      <c r="B9" s="36" t="s">
        <v>30</v>
      </c>
      <c r="C9" s="11" t="s">
        <v>218</v>
      </c>
      <c r="D9" s="11"/>
      <c r="E9" s="1"/>
      <c r="F9" s="1"/>
    </row>
    <row r="10" spans="1:6" x14ac:dyDescent="0.25">
      <c r="A10" s="1"/>
      <c r="B10" s="81" t="s">
        <v>237</v>
      </c>
      <c r="C10" s="9">
        <v>14175555</v>
      </c>
      <c r="D10" s="14" t="s">
        <v>3</v>
      </c>
      <c r="E10" s="1"/>
      <c r="F10" s="1"/>
    </row>
    <row r="11" spans="1:6" x14ac:dyDescent="0.25">
      <c r="A11" s="1"/>
      <c r="B11" s="81" t="s">
        <v>238</v>
      </c>
      <c r="C11" s="9">
        <v>125264</v>
      </c>
      <c r="D11" s="14" t="s">
        <v>3</v>
      </c>
      <c r="E11" s="1"/>
      <c r="F11" s="1"/>
    </row>
    <row r="12" spans="1:6" x14ac:dyDescent="0.25">
      <c r="A12" s="1"/>
      <c r="B12" s="81" t="s">
        <v>239</v>
      </c>
      <c r="C12" s="9">
        <v>7851018</v>
      </c>
      <c r="D12" s="14" t="s">
        <v>3</v>
      </c>
      <c r="E12" s="1"/>
      <c r="F12" s="1"/>
    </row>
    <row r="13" spans="1:6" x14ac:dyDescent="0.25">
      <c r="A13" s="1"/>
      <c r="B13" s="81" t="s">
        <v>240</v>
      </c>
      <c r="C13" s="9">
        <v>205070</v>
      </c>
      <c r="D13" s="14" t="s">
        <v>3</v>
      </c>
      <c r="E13" s="1"/>
      <c r="F13" s="1"/>
    </row>
    <row r="14" spans="1:6" x14ac:dyDescent="0.25">
      <c r="A14" s="1"/>
      <c r="B14" s="65" t="s">
        <v>189</v>
      </c>
      <c r="C14" s="12">
        <f>SUM(C10:C13)</f>
        <v>22356907</v>
      </c>
      <c r="D14" s="13" t="s">
        <v>3</v>
      </c>
      <c r="E14" s="1"/>
      <c r="F14" s="1"/>
    </row>
    <row r="15" spans="1:6" x14ac:dyDescent="0.25">
      <c r="A15" s="1"/>
      <c r="B15" s="65" t="s">
        <v>190</v>
      </c>
      <c r="C15" s="12">
        <f>C14*(1+'Fane 13. Nøgletal'!C15)^2</f>
        <v>23977053.028055523</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0"/>
      <c r="B51" s="40"/>
      <c r="C51" s="40"/>
      <c r="D51" s="40"/>
      <c r="E51" s="40"/>
      <c r="F51" s="40"/>
    </row>
  </sheetData>
  <sheetProtection algorithmName="SHA-512" hashValue="FlKbbxodtYmRivcoyyXEenzDUuNTm3Vh43/cMgIAFUpOqWvOvx5wH861StdOvFgvbaMC5ZJgSs6pgpg/hLtyoA==" saltValue="TkkEFuXnn0FUM2y8atfCUg==" spinCount="100000" sheet="1" objects="1" scenarios="1"/>
  <mergeCells count="2">
    <mergeCell ref="B3:D4"/>
    <mergeCell ref="B8:D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4"/>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140625" style="2" customWidth="1"/>
    <col min="5" max="5" width="9.5703125" style="2" bestFit="1" customWidth="1"/>
    <col min="6" max="6" width="2.85546875" style="2" bestFit="1" customWidth="1"/>
    <col min="7" max="7" width="4"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191</v>
      </c>
      <c r="C3" s="122"/>
      <c r="D3" s="122"/>
      <c r="E3" s="122"/>
      <c r="F3" s="122"/>
      <c r="G3" s="1"/>
    </row>
    <row r="4" spans="1:7" ht="15" customHeight="1" x14ac:dyDescent="0.25">
      <c r="A4" s="1"/>
      <c r="B4" s="122"/>
      <c r="C4" s="122"/>
      <c r="D4" s="122"/>
      <c r="E4" s="122"/>
      <c r="F4" s="122"/>
      <c r="G4" s="1"/>
    </row>
    <row r="5" spans="1:7" ht="15" customHeight="1" x14ac:dyDescent="0.25">
      <c r="A5" s="1"/>
      <c r="B5" s="69"/>
      <c r="C5" s="69"/>
      <c r="D5" s="69"/>
      <c r="E5" s="69"/>
      <c r="F5" s="69"/>
      <c r="G5" s="1"/>
    </row>
    <row r="6" spans="1:7" ht="15" customHeight="1" x14ac:dyDescent="0.25">
      <c r="A6" s="1"/>
      <c r="B6" s="69"/>
      <c r="C6" s="69"/>
      <c r="D6" s="69"/>
      <c r="E6" s="69"/>
      <c r="F6" s="69"/>
      <c r="G6" s="1"/>
    </row>
    <row r="7" spans="1:7" x14ac:dyDescent="0.25">
      <c r="A7" s="1"/>
      <c r="B7" s="1"/>
      <c r="C7" s="1"/>
      <c r="D7" s="1"/>
      <c r="E7" s="1"/>
      <c r="F7" s="1"/>
      <c r="G7" s="1"/>
    </row>
    <row r="8" spans="1:7" x14ac:dyDescent="0.25">
      <c r="A8" s="1"/>
      <c r="B8" s="143" t="s">
        <v>163</v>
      </c>
      <c r="C8" s="144"/>
      <c r="D8" s="144"/>
      <c r="E8" s="144"/>
      <c r="F8" s="146"/>
      <c r="G8" s="1"/>
    </row>
    <row r="9" spans="1:7" x14ac:dyDescent="0.25">
      <c r="A9" s="1"/>
      <c r="B9" s="142" t="s">
        <v>241</v>
      </c>
      <c r="C9" s="140"/>
      <c r="D9" s="141"/>
      <c r="E9" s="9">
        <v>-789475.06406670064</v>
      </c>
      <c r="F9" s="14" t="s">
        <v>3</v>
      </c>
      <c r="G9" s="1"/>
    </row>
    <row r="10" spans="1:7" x14ac:dyDescent="0.25">
      <c r="A10" s="1"/>
      <c r="B10" s="142" t="s">
        <v>242</v>
      </c>
      <c r="C10" s="140"/>
      <c r="D10" s="141"/>
      <c r="E10" s="9">
        <v>-789475.06406670064</v>
      </c>
      <c r="F10" s="14" t="s">
        <v>3</v>
      </c>
      <c r="G10" s="1"/>
    </row>
    <row r="11" spans="1:7" x14ac:dyDescent="0.25">
      <c r="A11" s="1"/>
      <c r="B11" s="142" t="s">
        <v>164</v>
      </c>
      <c r="C11" s="140"/>
      <c r="D11" s="141"/>
      <c r="E11" s="9">
        <v>-1026272.2565228641</v>
      </c>
      <c r="F11" s="14" t="s">
        <v>3</v>
      </c>
      <c r="G11" s="1"/>
    </row>
    <row r="12" spans="1:7" x14ac:dyDescent="0.25">
      <c r="A12" s="1"/>
      <c r="B12" s="142" t="s">
        <v>192</v>
      </c>
      <c r="C12" s="140"/>
      <c r="D12" s="141"/>
      <c r="E12" s="9">
        <v>2831900.6875034496</v>
      </c>
      <c r="F12" s="14" t="s">
        <v>3</v>
      </c>
      <c r="G12" s="1"/>
    </row>
    <row r="13" spans="1:7" x14ac:dyDescent="0.25">
      <c r="A13" s="1"/>
      <c r="B13" s="65"/>
      <c r="C13" s="66"/>
      <c r="D13" s="66"/>
      <c r="E13" s="66"/>
      <c r="F13" s="20"/>
      <c r="G13" s="1"/>
    </row>
    <row r="14" spans="1:7" ht="66.75" customHeight="1" x14ac:dyDescent="0.25">
      <c r="A14" s="1"/>
      <c r="B14" s="129" t="s">
        <v>259</v>
      </c>
      <c r="C14" s="130"/>
      <c r="D14" s="130"/>
      <c r="E14" s="130"/>
      <c r="F14" s="131"/>
      <c r="G14" s="1"/>
    </row>
    <row r="15" spans="1:7" ht="27" customHeight="1" x14ac:dyDescent="0.25">
      <c r="A15" s="1"/>
      <c r="B15" s="1"/>
      <c r="C15" s="1"/>
      <c r="D15" s="1"/>
      <c r="E15" s="1"/>
      <c r="F15" s="1"/>
      <c r="G15" s="1"/>
    </row>
    <row r="16" spans="1:7" ht="28.5" customHeight="1" x14ac:dyDescent="0.25">
      <c r="A16" s="1"/>
      <c r="B16" s="143" t="s">
        <v>165</v>
      </c>
      <c r="C16" s="144"/>
      <c r="D16" s="144"/>
      <c r="E16" s="144"/>
      <c r="F16" s="146"/>
      <c r="G16" s="1"/>
    </row>
    <row r="17" spans="1:7" x14ac:dyDescent="0.25">
      <c r="A17" s="1"/>
      <c r="B17" s="142" t="s">
        <v>166</v>
      </c>
      <c r="C17" s="140"/>
      <c r="D17" s="141"/>
      <c r="E17" s="9">
        <f>-197368.766016675*2</f>
        <v>-394737.53203335003</v>
      </c>
      <c r="F17" s="14" t="s">
        <v>3</v>
      </c>
      <c r="G17" s="1"/>
    </row>
    <row r="18" spans="1:7" x14ac:dyDescent="0.25">
      <c r="A18" s="1"/>
      <c r="B18" s="142" t="s">
        <v>167</v>
      </c>
      <c r="C18" s="140"/>
      <c r="D18" s="141"/>
      <c r="E18" s="9">
        <f>-197368.766016675*2</f>
        <v>-394737.53203335003</v>
      </c>
      <c r="F18" s="14" t="s">
        <v>3</v>
      </c>
      <c r="G18" s="1"/>
    </row>
    <row r="19" spans="1:7" x14ac:dyDescent="0.25">
      <c r="A19" s="1"/>
      <c r="B19" s="65"/>
      <c r="C19" s="66"/>
      <c r="D19" s="66"/>
      <c r="E19" s="66"/>
      <c r="F19" s="20"/>
      <c r="G19" s="1"/>
    </row>
    <row r="20" spans="1:7" ht="31.5" customHeight="1" x14ac:dyDescent="0.25">
      <c r="A20" s="1"/>
      <c r="B20" s="129" t="s">
        <v>260</v>
      </c>
      <c r="C20" s="130"/>
      <c r="D20" s="130"/>
      <c r="E20" s="130"/>
      <c r="F20" s="131"/>
      <c r="G20" s="1"/>
    </row>
    <row r="21" spans="1:7" ht="28.5" customHeight="1" x14ac:dyDescent="0.25">
      <c r="A21" s="1"/>
      <c r="B21" s="1"/>
      <c r="C21" s="1"/>
      <c r="D21" s="1"/>
      <c r="E21" s="1"/>
      <c r="F21" s="1"/>
      <c r="G21" s="1"/>
    </row>
    <row r="22" spans="1:7" ht="28.5" customHeight="1" x14ac:dyDescent="0.25">
      <c r="A22" s="1"/>
      <c r="B22" s="78" t="s">
        <v>193</v>
      </c>
      <c r="C22" s="79"/>
      <c r="D22" s="79"/>
      <c r="E22" s="79"/>
      <c r="F22" s="80"/>
      <c r="G22" s="1"/>
    </row>
    <row r="23" spans="1:7" x14ac:dyDescent="0.25">
      <c r="A23" s="1"/>
      <c r="B23" s="77" t="s">
        <v>194</v>
      </c>
      <c r="C23" s="75"/>
      <c r="D23" s="76"/>
      <c r="E23" s="9">
        <v>40785745.586288005</v>
      </c>
      <c r="F23" s="14" t="s">
        <v>3</v>
      </c>
      <c r="G23" s="1"/>
    </row>
    <row r="24" spans="1:7" x14ac:dyDescent="0.25">
      <c r="A24" s="1"/>
      <c r="B24" s="77" t="s">
        <v>243</v>
      </c>
      <c r="C24" s="75"/>
      <c r="D24" s="76"/>
      <c r="E24" s="9">
        <v>38538899</v>
      </c>
      <c r="F24" s="14" t="s">
        <v>3</v>
      </c>
      <c r="G24" s="1"/>
    </row>
    <row r="25" spans="1:7" x14ac:dyDescent="0.25">
      <c r="A25" s="1"/>
      <c r="B25" s="77" t="s">
        <v>31</v>
      </c>
      <c r="C25" s="75"/>
      <c r="D25" s="76"/>
      <c r="E25" s="9">
        <v>0</v>
      </c>
      <c r="F25" s="14" t="s">
        <v>3</v>
      </c>
      <c r="G25" s="1"/>
    </row>
    <row r="26" spans="1:7" x14ac:dyDescent="0.25">
      <c r="A26" s="1"/>
      <c r="B26" s="72" t="s">
        <v>261</v>
      </c>
      <c r="C26" s="73"/>
      <c r="D26" s="34"/>
      <c r="E26" s="59">
        <f>E23-(E24-E25)</f>
        <v>2246846.5862880051</v>
      </c>
      <c r="F26" s="17" t="s">
        <v>3</v>
      </c>
      <c r="G26" s="1"/>
    </row>
    <row r="27" spans="1:7" x14ac:dyDescent="0.25">
      <c r="A27" s="1"/>
      <c r="B27" s="65"/>
      <c r="C27" s="66"/>
      <c r="D27" s="66"/>
      <c r="E27" s="66"/>
      <c r="F27" s="20"/>
      <c r="G27" s="1"/>
    </row>
    <row r="28" spans="1:7" x14ac:dyDescent="0.25">
      <c r="A28" s="1"/>
      <c r="B28" s="1"/>
      <c r="C28" s="1"/>
      <c r="D28" s="1"/>
      <c r="E28" s="1"/>
      <c r="F28" s="1"/>
      <c r="G28" s="1"/>
    </row>
    <row r="29" spans="1:7" x14ac:dyDescent="0.25">
      <c r="A29" s="1"/>
      <c r="B29" s="1"/>
      <c r="C29" s="1"/>
      <c r="D29" s="1"/>
      <c r="E29" s="1"/>
      <c r="F29" s="1"/>
      <c r="G29" s="1"/>
    </row>
    <row r="30" spans="1:7" ht="28.5" customHeight="1" x14ac:dyDescent="0.25">
      <c r="A30" s="1"/>
      <c r="B30" s="143" t="s">
        <v>244</v>
      </c>
      <c r="C30" s="144"/>
      <c r="D30" s="144"/>
      <c r="E30" s="144"/>
      <c r="F30" s="146"/>
      <c r="G30" s="1"/>
    </row>
    <row r="31" spans="1:7" x14ac:dyDescent="0.25">
      <c r="A31" s="1"/>
      <c r="B31" s="137" t="s">
        <v>142</v>
      </c>
      <c r="C31" s="138"/>
      <c r="D31" s="139"/>
      <c r="E31" s="9">
        <f>IF(AND(E9&lt;0,SUM(E11,E12,E26)&gt;0),E10,IF(AND(E9&lt;0,SUM(E11,E12,E26)&lt;0),E10+SUM(E11,E12,E26),IF(AND(E9&gt;0,SUM(E10,E11,E12,E26)&gt;0),0,IF(AND(E9&gt;0,SUM(E10,E11,E12,E26)&lt;0),SUM(E10,E11,E12,E26),"Fejl"))))</f>
        <v>-789475.06406670064</v>
      </c>
      <c r="F31" s="14" t="s">
        <v>3</v>
      </c>
      <c r="G31" s="1"/>
    </row>
    <row r="32" spans="1:7" x14ac:dyDescent="0.25">
      <c r="A32" s="1"/>
      <c r="B32" s="137" t="s">
        <v>98</v>
      </c>
      <c r="C32" s="138"/>
      <c r="D32" s="139"/>
      <c r="E32" s="9">
        <v>2</v>
      </c>
      <c r="F32" s="14" t="s">
        <v>18</v>
      </c>
      <c r="G32" s="1"/>
    </row>
    <row r="33" spans="1:7" x14ac:dyDescent="0.25">
      <c r="A33" s="1"/>
      <c r="B33" s="155" t="s">
        <v>168</v>
      </c>
      <c r="C33" s="155"/>
      <c r="D33" s="155"/>
      <c r="E33" s="10">
        <f>E31/E32</f>
        <v>-394737.53203335032</v>
      </c>
      <c r="F33" s="17" t="s">
        <v>3</v>
      </c>
      <c r="G33" s="1"/>
    </row>
    <row r="34" spans="1:7" x14ac:dyDescent="0.25">
      <c r="A34" s="1"/>
      <c r="B34" s="152"/>
      <c r="C34" s="153"/>
      <c r="D34" s="153"/>
      <c r="E34" s="153"/>
      <c r="F34" s="15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40"/>
      <c r="C40" s="40"/>
      <c r="D40" s="40"/>
      <c r="E40" s="40"/>
      <c r="F40" s="40"/>
    </row>
    <row r="41" spans="1:7" x14ac:dyDescent="0.25">
      <c r="A41" s="40"/>
      <c r="B41" s="40"/>
      <c r="C41" s="40"/>
      <c r="D41" s="40"/>
      <c r="E41" s="40"/>
      <c r="F41" s="40"/>
      <c r="G41" s="40"/>
    </row>
    <row r="42" spans="1:7" x14ac:dyDescent="0.25">
      <c r="A42" s="40"/>
      <c r="B42" s="40"/>
      <c r="C42" s="40"/>
      <c r="D42" s="40"/>
      <c r="E42" s="40"/>
      <c r="F42" s="40"/>
      <c r="G42" s="40"/>
    </row>
    <row r="43" spans="1:7" x14ac:dyDescent="0.25">
      <c r="A43" s="40"/>
      <c r="B43" s="40"/>
      <c r="C43" s="40"/>
      <c r="D43" s="40"/>
      <c r="E43" s="40"/>
      <c r="F43" s="40"/>
      <c r="G43" s="40"/>
    </row>
    <row r="44" spans="1:7" x14ac:dyDescent="0.25">
      <c r="A44" s="40"/>
      <c r="B44" s="40"/>
      <c r="C44" s="40"/>
      <c r="D44" s="40"/>
      <c r="E44" s="40"/>
      <c r="F44" s="40"/>
      <c r="G44" s="40"/>
    </row>
  </sheetData>
  <sheetProtection algorithmName="SHA-512" hashValue="SmOgYnSImNLaGkFr+lSWC5chW0aXMPesZQGdCgfScUr3w6zOo4nwOxpdthbYjcAngjcf6+58D069ReirZXqKyA==" saltValue="UF00SH6miCAo6vGGlSbRhQ==" spinCount="100000" sheet="1" objects="1" scenarios="1"/>
  <mergeCells count="16">
    <mergeCell ref="B3:F4"/>
    <mergeCell ref="B17:D17"/>
    <mergeCell ref="B9:D9"/>
    <mergeCell ref="B8:F8"/>
    <mergeCell ref="B31:D31"/>
    <mergeCell ref="B34:F34"/>
    <mergeCell ref="B10:D10"/>
    <mergeCell ref="B14:F14"/>
    <mergeCell ref="B18:D18"/>
    <mergeCell ref="B32:D32"/>
    <mergeCell ref="B33:D33"/>
    <mergeCell ref="B11:D11"/>
    <mergeCell ref="B12:D12"/>
    <mergeCell ref="B16:F16"/>
    <mergeCell ref="B20:F20"/>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I44"/>
  <sheetViews>
    <sheetView view="pageLayout" zoomScaleNormal="100" workbookViewId="0"/>
  </sheetViews>
  <sheetFormatPr defaultColWidth="9.140625" defaultRowHeight="15" x14ac:dyDescent="0.25"/>
  <cols>
    <col min="1" max="1" width="4.7109375" style="57" customWidth="1"/>
    <col min="2" max="2" width="22.5703125" style="57" customWidth="1"/>
    <col min="3" max="3" width="8.28515625" style="57" customWidth="1"/>
    <col min="4" max="6" width="10.7109375" style="57" customWidth="1"/>
    <col min="7" max="7" width="11.140625" style="57" customWidth="1"/>
    <col min="8" max="8" width="3.28515625" style="57" customWidth="1"/>
    <col min="9" max="9" width="4.85546875" style="57" customWidth="1"/>
    <col min="10" max="16384" width="9.140625" style="57"/>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2" t="s">
        <v>232</v>
      </c>
      <c r="C3" s="112"/>
      <c r="D3" s="112"/>
      <c r="E3" s="112"/>
      <c r="F3" s="112"/>
      <c r="G3" s="112"/>
      <c r="H3" s="112"/>
      <c r="I3" s="1"/>
    </row>
    <row r="4" spans="1:9" ht="15" customHeight="1" x14ac:dyDescent="0.25">
      <c r="A4" s="1"/>
      <c r="B4" s="112"/>
      <c r="C4" s="112"/>
      <c r="D4" s="112"/>
      <c r="E4" s="112"/>
      <c r="F4" s="112"/>
      <c r="G4" s="112"/>
      <c r="H4" s="11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43" t="s">
        <v>233</v>
      </c>
      <c r="C8" s="144"/>
      <c r="D8" s="144"/>
      <c r="E8" s="144"/>
      <c r="F8" s="144"/>
      <c r="G8" s="144"/>
      <c r="H8" s="146"/>
      <c r="I8" s="1"/>
    </row>
    <row r="9" spans="1:9" ht="15" customHeight="1" x14ac:dyDescent="0.25">
      <c r="A9" s="1"/>
      <c r="B9" s="159" t="s">
        <v>234</v>
      </c>
      <c r="C9" s="160"/>
      <c r="D9" s="160"/>
      <c r="E9" s="160"/>
      <c r="F9" s="160"/>
      <c r="G9" s="160"/>
      <c r="H9" s="161"/>
      <c r="I9" s="1"/>
    </row>
    <row r="10" spans="1:9" x14ac:dyDescent="0.25">
      <c r="A10" s="1"/>
      <c r="B10" s="156" t="s">
        <v>251</v>
      </c>
      <c r="C10" s="157"/>
      <c r="D10" s="157"/>
      <c r="E10" s="157"/>
      <c r="F10" s="158"/>
      <c r="G10" s="60">
        <v>0</v>
      </c>
      <c r="H10" s="9" t="s">
        <v>3</v>
      </c>
      <c r="I10" s="1"/>
    </row>
    <row r="11" spans="1:9" x14ac:dyDescent="0.25">
      <c r="A11" s="1"/>
      <c r="B11" s="156" t="s">
        <v>252</v>
      </c>
      <c r="C11" s="157"/>
      <c r="D11" s="157"/>
      <c r="E11" s="157"/>
      <c r="F11" s="158"/>
      <c r="G11" s="60">
        <v>0</v>
      </c>
      <c r="H11" s="9" t="s">
        <v>3</v>
      </c>
      <c r="I11" s="1"/>
    </row>
    <row r="12" spans="1:9" x14ac:dyDescent="0.25">
      <c r="A12" s="1"/>
      <c r="B12" s="156" t="s">
        <v>253</v>
      </c>
      <c r="C12" s="157"/>
      <c r="D12" s="157"/>
      <c r="E12" s="157"/>
      <c r="F12" s="158"/>
      <c r="G12" s="9">
        <v>0</v>
      </c>
      <c r="H12" s="9" t="s">
        <v>3</v>
      </c>
      <c r="I12" s="1"/>
    </row>
    <row r="13" spans="1:9" x14ac:dyDescent="0.25">
      <c r="A13" s="1"/>
      <c r="B13" s="156" t="s">
        <v>254</v>
      </c>
      <c r="C13" s="157"/>
      <c r="D13" s="157"/>
      <c r="E13" s="157"/>
      <c r="F13" s="158"/>
      <c r="G13" s="9">
        <v>0</v>
      </c>
      <c r="H13" s="9" t="s">
        <v>3</v>
      </c>
      <c r="I13" s="1"/>
    </row>
    <row r="14" spans="1:9" x14ac:dyDescent="0.25">
      <c r="A14" s="1"/>
      <c r="B14" s="156" t="s">
        <v>255</v>
      </c>
      <c r="C14" s="157"/>
      <c r="D14" s="157"/>
      <c r="E14" s="157"/>
      <c r="F14" s="158"/>
      <c r="G14" s="9">
        <v>0</v>
      </c>
      <c r="H14" s="9" t="s">
        <v>3</v>
      </c>
      <c r="I14" s="1"/>
    </row>
    <row r="15" spans="1:9" x14ac:dyDescent="0.25">
      <c r="A15" s="1"/>
      <c r="B15" s="156" t="s">
        <v>256</v>
      </c>
      <c r="C15" s="157"/>
      <c r="D15" s="157"/>
      <c r="E15" s="157"/>
      <c r="F15" s="158"/>
      <c r="G15" s="9">
        <v>0</v>
      </c>
      <c r="H15" s="9" t="s">
        <v>3</v>
      </c>
      <c r="I15" s="1"/>
    </row>
    <row r="16" spans="1:9" x14ac:dyDescent="0.25">
      <c r="A16" s="1"/>
      <c r="B16" s="156" t="s">
        <v>257</v>
      </c>
      <c r="C16" s="157"/>
      <c r="D16" s="157"/>
      <c r="E16" s="157"/>
      <c r="F16" s="158"/>
      <c r="G16" s="9">
        <v>0</v>
      </c>
      <c r="H16" s="9" t="s">
        <v>3</v>
      </c>
      <c r="I16" s="1"/>
    </row>
    <row r="17" spans="1:9" x14ac:dyDescent="0.25">
      <c r="A17" s="1"/>
      <c r="B17" s="156" t="s">
        <v>258</v>
      </c>
      <c r="C17" s="157"/>
      <c r="D17" s="157"/>
      <c r="E17" s="157"/>
      <c r="F17" s="158"/>
      <c r="G17" s="9">
        <v>0</v>
      </c>
      <c r="H17" s="9" t="s">
        <v>3</v>
      </c>
      <c r="I17" s="1"/>
    </row>
    <row r="18" spans="1:9" x14ac:dyDescent="0.25">
      <c r="A18" s="1"/>
      <c r="B18" s="65" t="s">
        <v>235</v>
      </c>
      <c r="C18" s="58"/>
      <c r="D18" s="20"/>
      <c r="E18" s="12"/>
      <c r="F18" s="1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RcMJWkk7g5rRwEQpdkptyzA1jgx7UReg8twxJCwxRCz5UFJo9o30JG+45RiRFjTPH7PyuoMCUshmbuPR02SV3g==" saltValue="viEtjChgc/2iDMx8Qo1S8w==" spinCount="100000" sheet="1" objects="1" scenarios="1"/>
  <mergeCells count="11">
    <mergeCell ref="B3:H4"/>
    <mergeCell ref="B8:H8"/>
    <mergeCell ref="B9:H9"/>
    <mergeCell ref="B10:F10"/>
    <mergeCell ref="B11:F11"/>
    <mergeCell ref="B17:F17"/>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heetViews>
  <sheetFormatPr defaultColWidth="9.140625" defaultRowHeight="15" x14ac:dyDescent="0.25"/>
  <cols>
    <col min="1" max="1" width="4.7109375" style="2" customWidth="1"/>
    <col min="2" max="2" width="22.42578125" style="2" customWidth="1"/>
    <col min="3" max="3" width="8.28515625" style="2" customWidth="1"/>
    <col min="4" max="4" width="8.42578125" style="2" customWidth="1"/>
    <col min="5" max="5" width="2.5703125" style="2" customWidth="1"/>
    <col min="6" max="6" width="8.42578125" style="2" customWidth="1"/>
    <col min="7" max="7" width="2.5703125" style="2" customWidth="1"/>
    <col min="8" max="8" width="8.42578125" style="2" customWidth="1"/>
    <col min="9" max="9" width="2.5703125" style="2" customWidth="1"/>
    <col min="10" max="10" width="8.42578125" style="2" customWidth="1"/>
    <col min="11" max="11" width="2.5703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2" t="s">
        <v>226</v>
      </c>
      <c r="C3" s="112"/>
      <c r="D3" s="112"/>
      <c r="E3" s="112"/>
      <c r="F3" s="112"/>
      <c r="G3" s="112"/>
      <c r="H3" s="112"/>
      <c r="I3" s="112"/>
      <c r="J3" s="112"/>
      <c r="K3" s="112"/>
      <c r="L3" s="1"/>
    </row>
    <row r="4" spans="1:12" ht="15" customHeight="1" x14ac:dyDescent="0.25">
      <c r="A4" s="1"/>
      <c r="B4" s="112"/>
      <c r="C4" s="112"/>
      <c r="D4" s="112"/>
      <c r="E4" s="112"/>
      <c r="F4" s="112"/>
      <c r="G4" s="112"/>
      <c r="H4" s="112"/>
      <c r="I4" s="112"/>
      <c r="J4" s="112"/>
      <c r="K4" s="11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43" t="s">
        <v>198</v>
      </c>
      <c r="C8" s="144"/>
      <c r="D8" s="144"/>
      <c r="E8" s="144"/>
      <c r="F8" s="144"/>
      <c r="G8" s="144"/>
      <c r="H8" s="144"/>
      <c r="I8" s="144"/>
      <c r="J8" s="144"/>
      <c r="K8" s="146"/>
      <c r="L8" s="1"/>
    </row>
    <row r="9" spans="1:12" ht="39.75" customHeight="1" x14ac:dyDescent="0.25">
      <c r="A9" s="1"/>
      <c r="B9" s="19" t="s">
        <v>0</v>
      </c>
      <c r="C9" s="19" t="s">
        <v>1</v>
      </c>
      <c r="D9" s="162" t="s">
        <v>219</v>
      </c>
      <c r="E9" s="163"/>
      <c r="F9" s="162" t="s">
        <v>2</v>
      </c>
      <c r="G9" s="163"/>
      <c r="H9" s="162" t="s">
        <v>220</v>
      </c>
      <c r="I9" s="163"/>
      <c r="J9" s="162" t="s">
        <v>28</v>
      </c>
      <c r="K9" s="163"/>
      <c r="L9" s="1"/>
    </row>
    <row r="10" spans="1:12" x14ac:dyDescent="0.25">
      <c r="A10" s="1"/>
      <c r="B10" s="83" t="s">
        <v>236</v>
      </c>
      <c r="C10" s="38">
        <v>0</v>
      </c>
      <c r="D10" s="9">
        <v>0</v>
      </c>
      <c r="E10" s="14" t="s">
        <v>3</v>
      </c>
      <c r="F10" s="9">
        <f t="shared" ref="F10" si="0">IFERROR(D10/C10,0)</f>
        <v>0</v>
      </c>
      <c r="G10" s="14" t="s">
        <v>3</v>
      </c>
      <c r="H10" s="9">
        <v>0</v>
      </c>
      <c r="I10" s="14" t="s">
        <v>3</v>
      </c>
      <c r="J10" s="9">
        <v>0</v>
      </c>
      <c r="K10" s="14" t="s">
        <v>3</v>
      </c>
      <c r="L10" s="1"/>
    </row>
    <row r="11" spans="1:12" x14ac:dyDescent="0.25">
      <c r="A11" s="1"/>
      <c r="B11" s="143" t="s">
        <v>199</v>
      </c>
      <c r="C11" s="144"/>
      <c r="D11" s="144"/>
      <c r="E11" s="146"/>
      <c r="F11" s="12">
        <f>SUM(F10:F10)</f>
        <v>0</v>
      </c>
      <c r="G11" s="80" t="s">
        <v>3</v>
      </c>
      <c r="H11" s="12">
        <f>SUM(H10:H10)</f>
        <v>0</v>
      </c>
      <c r="I11" s="80"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40"/>
      <c r="B47" s="40"/>
      <c r="C47" s="40"/>
      <c r="D47" s="40"/>
      <c r="E47" s="40"/>
      <c r="F47" s="40"/>
      <c r="G47" s="40"/>
      <c r="H47" s="40"/>
      <c r="I47" s="40"/>
      <c r="J47" s="40"/>
      <c r="K47" s="40"/>
      <c r="L47" s="40"/>
    </row>
    <row r="48" spans="1:12" x14ac:dyDescent="0.25">
      <c r="A48" s="40"/>
      <c r="B48" s="40"/>
      <c r="C48" s="40"/>
      <c r="D48" s="40"/>
      <c r="E48" s="40"/>
      <c r="F48" s="40"/>
      <c r="G48" s="40"/>
      <c r="H48" s="40"/>
      <c r="I48" s="40"/>
      <c r="J48" s="40"/>
      <c r="K48" s="40"/>
      <c r="L48" s="40"/>
    </row>
    <row r="49" spans="1:12" x14ac:dyDescent="0.25">
      <c r="A49" s="40"/>
      <c r="B49" s="40"/>
      <c r="C49" s="40"/>
      <c r="D49" s="40"/>
      <c r="E49" s="40"/>
      <c r="F49" s="40"/>
      <c r="G49" s="40"/>
      <c r="H49" s="40"/>
      <c r="I49" s="40"/>
      <c r="J49" s="40"/>
      <c r="K49" s="40"/>
      <c r="L49" s="40"/>
    </row>
    <row r="50" spans="1:12" x14ac:dyDescent="0.25">
      <c r="A50" s="40"/>
      <c r="B50" s="40"/>
      <c r="C50" s="40"/>
      <c r="D50" s="40"/>
      <c r="E50" s="40"/>
      <c r="F50" s="40"/>
      <c r="G50" s="40"/>
      <c r="H50" s="40"/>
      <c r="I50" s="40"/>
      <c r="J50" s="40"/>
      <c r="K50" s="40"/>
      <c r="L50" s="40"/>
    </row>
    <row r="51" spans="1:12" x14ac:dyDescent="0.25">
      <c r="A51" s="40"/>
      <c r="B51" s="40"/>
      <c r="C51" s="40"/>
      <c r="D51" s="40"/>
      <c r="E51" s="40"/>
      <c r="F51" s="40"/>
      <c r="G51" s="40"/>
      <c r="H51" s="40"/>
      <c r="I51" s="40"/>
      <c r="J51" s="40"/>
      <c r="K51" s="40"/>
      <c r="L51" s="40"/>
    </row>
    <row r="52" spans="1:12" x14ac:dyDescent="0.25">
      <c r="A52" s="40"/>
      <c r="B52" s="40"/>
      <c r="C52" s="40"/>
      <c r="D52" s="40"/>
      <c r="E52" s="40"/>
      <c r="F52" s="40"/>
      <c r="G52" s="40"/>
      <c r="H52" s="40"/>
      <c r="I52" s="40"/>
      <c r="J52" s="40"/>
      <c r="K52" s="40"/>
      <c r="L52" s="40"/>
    </row>
  </sheetData>
  <sheetProtection algorithmName="SHA-512" hashValue="1Em1nDg1ZU6y3VGFGqIT4f16/ZkIHUTeUzwmu9zoQ4T2+4++RkcxwRMMYYiblzda7VgHAZaVGy51rpibXhTezw==" saltValue="8+VUWVG+5DakOHYWehBVmw=="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227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79</v>
      </c>
      <c r="C8" s="66"/>
      <c r="D8" s="66"/>
      <c r="E8" s="66"/>
      <c r="F8" s="20"/>
      <c r="G8" s="1"/>
    </row>
    <row r="9" spans="1:7" ht="17.25" customHeight="1" x14ac:dyDescent="0.25">
      <c r="A9" s="1"/>
      <c r="B9" s="84" t="s">
        <v>15</v>
      </c>
      <c r="C9" s="84" t="s">
        <v>10</v>
      </c>
      <c r="D9" s="85"/>
      <c r="E9" s="84" t="s">
        <v>29</v>
      </c>
      <c r="F9" s="68"/>
      <c r="G9" s="1"/>
    </row>
    <row r="10" spans="1:7" ht="17.25" customHeight="1" x14ac:dyDescent="0.25">
      <c r="A10" s="1"/>
      <c r="B10" s="24" t="s">
        <v>140</v>
      </c>
      <c r="C10" s="22">
        <f>'Fane 9. Anlægsprojekter (§ 19) '!H11</f>
        <v>0</v>
      </c>
      <c r="D10" s="14" t="s">
        <v>3</v>
      </c>
      <c r="E10" s="9">
        <f>SUM('Fane 9. Anlægsprojekter (§ 19) '!F11,'Fane 9. Anlægsprojekter (§ 19) '!J11)</f>
        <v>0</v>
      </c>
      <c r="F10" s="14" t="s">
        <v>3</v>
      </c>
      <c r="G10" s="1"/>
    </row>
    <row r="11" spans="1:7" ht="17.25" customHeight="1" x14ac:dyDescent="0.25">
      <c r="A11" s="1"/>
      <c r="B11" s="24" t="s">
        <v>245</v>
      </c>
      <c r="C11" s="22">
        <v>0</v>
      </c>
      <c r="D11" s="14" t="s">
        <v>3</v>
      </c>
      <c r="E11" s="9">
        <v>0</v>
      </c>
      <c r="F11" s="14" t="s">
        <v>3</v>
      </c>
      <c r="G11" s="1"/>
    </row>
    <row r="12" spans="1:7" x14ac:dyDescent="0.25">
      <c r="A12" s="1"/>
      <c r="B12" s="65" t="s">
        <v>155</v>
      </c>
      <c r="C12" s="12">
        <f>SUM(C10:C11)</f>
        <v>0</v>
      </c>
      <c r="D12" s="13" t="s">
        <v>3</v>
      </c>
      <c r="E12" s="12">
        <f>SUM(E10:E11)</f>
        <v>0</v>
      </c>
      <c r="F12" s="13" t="s">
        <v>3</v>
      </c>
      <c r="G12" s="1"/>
    </row>
    <row r="13" spans="1:7" x14ac:dyDescent="0.25">
      <c r="A13" s="1"/>
      <c r="B13" s="65" t="s">
        <v>195</v>
      </c>
      <c r="C13" s="12">
        <f>C12*(1+'Fane 13. Nøgletal'!C15)</f>
        <v>0</v>
      </c>
      <c r="D13" s="13" t="s">
        <v>3</v>
      </c>
      <c r="E13" s="12">
        <f>E12*(1+'Fane 13.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NXSnk50snDn9A3qsFhPGWqED2zavgm8cvyi3Ju8yTt0bSigg+KOUuzmB56scyTlSQFoYNC4eh522IpohUD4MQ==" saltValue="9WuMRRhs5OCeIz8/HCiOug==" spinCount="100000" sheet="1" objects="1" scenarios="1"/>
  <mergeCells count="1">
    <mergeCell ref="B3:F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3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228</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43" t="s">
        <v>93</v>
      </c>
      <c r="C9" s="144"/>
      <c r="D9" s="144"/>
      <c r="E9" s="144"/>
      <c r="F9" s="146"/>
      <c r="G9" s="1"/>
    </row>
    <row r="10" spans="1:7" x14ac:dyDescent="0.25">
      <c r="A10" s="1"/>
      <c r="B10" s="84" t="s">
        <v>15</v>
      </c>
      <c r="C10" s="84" t="s">
        <v>10</v>
      </c>
      <c r="D10" s="85"/>
      <c r="E10" s="84" t="s">
        <v>29</v>
      </c>
      <c r="F10" s="68"/>
      <c r="G10" s="1"/>
    </row>
    <row r="11" spans="1:7" x14ac:dyDescent="0.25">
      <c r="A11" s="1"/>
      <c r="B11" s="24" t="s">
        <v>246</v>
      </c>
      <c r="C11" s="22">
        <v>0</v>
      </c>
      <c r="D11" s="14" t="s">
        <v>3</v>
      </c>
      <c r="E11" s="22">
        <v>0</v>
      </c>
      <c r="F11" s="14" t="s">
        <v>3</v>
      </c>
      <c r="G11" s="1"/>
    </row>
    <row r="12" spans="1:7" x14ac:dyDescent="0.25">
      <c r="A12" s="1"/>
      <c r="B12" s="65" t="s">
        <v>201</v>
      </c>
      <c r="C12" s="12">
        <f>SUM(C11:C11)</f>
        <v>0</v>
      </c>
      <c r="D12" s="13" t="s">
        <v>3</v>
      </c>
      <c r="E12" s="12">
        <f>SUM(E11:E11)</f>
        <v>0</v>
      </c>
      <c r="F12" s="13" t="s">
        <v>3</v>
      </c>
      <c r="G12" s="1"/>
    </row>
    <row r="13" spans="1:7" x14ac:dyDescent="0.25">
      <c r="A13" s="1"/>
      <c r="B13" s="65" t="s">
        <v>131</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48"/>
      <c r="C16" s="48"/>
      <c r="D16" s="48"/>
      <c r="E16" s="48"/>
      <c r="F16" s="49"/>
      <c r="G16" s="1"/>
    </row>
    <row r="17" spans="1:7" x14ac:dyDescent="0.25">
      <c r="A17" s="1"/>
      <c r="B17" s="50"/>
      <c r="C17" s="51"/>
      <c r="D17" s="52"/>
      <c r="E17" s="51"/>
      <c r="F17" s="52"/>
      <c r="G17" s="1"/>
    </row>
    <row r="18" spans="1:7" x14ac:dyDescent="0.25">
      <c r="A18" s="1"/>
      <c r="B18" s="50"/>
      <c r="C18" s="51"/>
      <c r="D18" s="52"/>
      <c r="E18" s="53"/>
      <c r="F18" s="52"/>
      <c r="G18" s="1"/>
    </row>
    <row r="19" spans="1:7" x14ac:dyDescent="0.25">
      <c r="A19" s="1"/>
      <c r="B19" s="54"/>
      <c r="C19" s="55"/>
      <c r="D19" s="56"/>
      <c r="E19" s="55"/>
      <c r="F19" s="56"/>
      <c r="G19" s="1"/>
    </row>
    <row r="20" spans="1:7" x14ac:dyDescent="0.25">
      <c r="A20" s="1"/>
      <c r="B20" s="54"/>
      <c r="C20" s="55"/>
      <c r="D20" s="56"/>
      <c r="E20" s="55"/>
      <c r="F20" s="56"/>
      <c r="G20" s="1"/>
    </row>
    <row r="21" spans="1:7" x14ac:dyDescent="0.25">
      <c r="A21" s="1"/>
      <c r="B21" s="47"/>
      <c r="C21" s="47"/>
      <c r="D21" s="47"/>
      <c r="E21" s="47"/>
      <c r="F21" s="47"/>
      <c r="G21" s="1"/>
    </row>
    <row r="22" spans="1:7" x14ac:dyDescent="0.25">
      <c r="A22" s="1"/>
      <c r="B22" s="164"/>
      <c r="C22" s="164"/>
      <c r="D22" s="164"/>
      <c r="E22" s="164"/>
      <c r="F22" s="164"/>
      <c r="G22" s="1"/>
    </row>
    <row r="23" spans="1:7" x14ac:dyDescent="0.25">
      <c r="A23" s="1"/>
      <c r="B23" s="48"/>
      <c r="C23" s="48"/>
      <c r="D23" s="48"/>
      <c r="E23" s="48"/>
      <c r="F23" s="49"/>
      <c r="G23" s="1"/>
    </row>
    <row r="24" spans="1:7" x14ac:dyDescent="0.25">
      <c r="A24" s="1"/>
      <c r="B24" s="50"/>
      <c r="C24" s="51"/>
      <c r="D24" s="52"/>
      <c r="E24" s="51"/>
      <c r="F24" s="52"/>
      <c r="G24" s="1"/>
    </row>
    <row r="25" spans="1:7" x14ac:dyDescent="0.25">
      <c r="A25" s="1"/>
      <c r="B25" s="50"/>
      <c r="C25" s="51"/>
      <c r="D25" s="52"/>
      <c r="E25" s="53"/>
      <c r="F25" s="52"/>
      <c r="G25" s="1"/>
    </row>
    <row r="26" spans="1:7" x14ac:dyDescent="0.25">
      <c r="A26" s="1"/>
      <c r="B26" s="54"/>
      <c r="C26" s="55"/>
      <c r="D26" s="56"/>
      <c r="E26" s="55"/>
      <c r="F26" s="56"/>
      <c r="G26" s="1"/>
    </row>
    <row r="27" spans="1:7" x14ac:dyDescent="0.25">
      <c r="A27" s="1"/>
      <c r="B27" s="54"/>
      <c r="C27" s="55"/>
      <c r="D27" s="56"/>
      <c r="E27" s="55"/>
      <c r="F27" s="56"/>
      <c r="G27" s="1"/>
    </row>
    <row r="28" spans="1:7" x14ac:dyDescent="0.25">
      <c r="A28" s="1"/>
      <c r="B28" s="47"/>
      <c r="C28" s="47"/>
      <c r="D28" s="47"/>
      <c r="E28" s="47"/>
      <c r="F28" s="47"/>
      <c r="G28" s="1"/>
    </row>
    <row r="29" spans="1:7" x14ac:dyDescent="0.25">
      <c r="A29" s="1"/>
      <c r="B29" s="164"/>
      <c r="C29" s="164"/>
      <c r="D29" s="164"/>
      <c r="E29" s="164"/>
      <c r="F29" s="164"/>
      <c r="G29" s="1"/>
    </row>
    <row r="30" spans="1:7" x14ac:dyDescent="0.25">
      <c r="A30" s="1"/>
      <c r="B30" s="48"/>
      <c r="C30" s="48"/>
      <c r="D30" s="48"/>
      <c r="E30" s="48"/>
      <c r="F30" s="49"/>
      <c r="G30" s="1"/>
    </row>
    <row r="31" spans="1:7" x14ac:dyDescent="0.25">
      <c r="A31" s="1"/>
      <c r="B31" s="50"/>
      <c r="C31" s="51"/>
      <c r="D31" s="52"/>
      <c r="E31" s="51"/>
      <c r="F31" s="52"/>
      <c r="G31" s="1"/>
    </row>
    <row r="32" spans="1:7" x14ac:dyDescent="0.25">
      <c r="A32" s="1"/>
      <c r="B32" s="50"/>
      <c r="C32" s="51"/>
      <c r="D32" s="52"/>
      <c r="E32" s="53"/>
      <c r="F32" s="52"/>
      <c r="G32" s="1"/>
    </row>
    <row r="33" spans="1:7" x14ac:dyDescent="0.25">
      <c r="A33" s="1"/>
      <c r="B33" s="54"/>
      <c r="C33" s="55"/>
      <c r="D33" s="56"/>
      <c r="E33" s="55"/>
      <c r="F33" s="56"/>
      <c r="G33" s="1"/>
    </row>
    <row r="34" spans="1:7" x14ac:dyDescent="0.25">
      <c r="A34" s="1"/>
      <c r="B34" s="54"/>
      <c r="C34" s="55"/>
      <c r="D34" s="56"/>
      <c r="E34" s="55"/>
      <c r="F34" s="56"/>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UfXsyQrcoRVwa4mHJZhZLvcu3IE/UKHyQz/7jhg7c3GqymFrj9owiRegw4+BNoo4IG38RtkgeMP8QJAseiKN0g==" saltValue="IhU8qp6tFrapgxBbDRtrlQ==" spinCount="100000" sheet="1" objects="1" scenarios="1"/>
  <mergeCells count="5">
    <mergeCell ref="B29:F29"/>
    <mergeCell ref="B3:F4"/>
    <mergeCell ref="B9:F9"/>
    <mergeCell ref="B15:F15"/>
    <mergeCell ref="B22:F2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4"/>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7109375" style="2" customWidth="1"/>
    <col min="4" max="4" width="3.28515625" style="2" customWidth="1"/>
    <col min="5" max="5" width="14"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229</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43" t="s">
        <v>127</v>
      </c>
      <c r="C8" s="144"/>
      <c r="D8" s="144"/>
      <c r="E8" s="144"/>
      <c r="F8" s="146"/>
      <c r="G8" s="1"/>
    </row>
    <row r="9" spans="1:7" ht="15" customHeight="1" x14ac:dyDescent="0.25">
      <c r="A9" s="1"/>
      <c r="B9" s="67" t="s">
        <v>128</v>
      </c>
      <c r="C9" s="159" t="s">
        <v>10</v>
      </c>
      <c r="D9" s="161"/>
      <c r="E9" s="159" t="s">
        <v>29</v>
      </c>
      <c r="F9" s="161"/>
      <c r="G9" s="1"/>
    </row>
    <row r="10" spans="1:7" x14ac:dyDescent="0.25">
      <c r="A10" s="1"/>
      <c r="B10" s="24" t="s">
        <v>247</v>
      </c>
      <c r="C10" s="9">
        <v>0</v>
      </c>
      <c r="D10" s="14" t="s">
        <v>3</v>
      </c>
      <c r="E10" s="9">
        <v>0</v>
      </c>
      <c r="F10" s="14" t="s">
        <v>3</v>
      </c>
      <c r="G10" s="1"/>
    </row>
    <row r="11" spans="1:7" ht="28.5" customHeight="1" x14ac:dyDescent="0.25">
      <c r="A11" s="1"/>
      <c r="B11" s="21" t="s">
        <v>156</v>
      </c>
      <c r="C11" s="12">
        <f>SUM(C10:C10)</f>
        <v>0</v>
      </c>
      <c r="D11" s="13" t="s">
        <v>3</v>
      </c>
      <c r="E11" s="12">
        <f>SUM(E10:E10)</f>
        <v>0</v>
      </c>
      <c r="F11" s="13" t="s">
        <v>3</v>
      </c>
      <c r="G11" s="1"/>
    </row>
    <row r="12" spans="1:7" ht="27" customHeight="1" x14ac:dyDescent="0.25">
      <c r="A12" s="1"/>
      <c r="B12" s="21" t="s">
        <v>196</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toYJYOXbbbFzOxrgorhxGomgoOGtOTAmzj9ES68Zo880zkTubHJGs5py0eSoKMStdN//GGDZA4Z/5YV60500Lg==" saltValue="AfGRS3f4AdpnF93ku8GfW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7.42578125" style="2" customWidth="1"/>
    <col min="4" max="4" width="3" style="2" customWidth="1"/>
    <col min="5" max="5" width="17.42578125" style="2" customWidth="1"/>
    <col min="6" max="6" width="3" style="2" customWidth="1"/>
    <col min="7" max="7" width="3.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230</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43" t="s">
        <v>90</v>
      </c>
      <c r="C9" s="144"/>
      <c r="D9" s="144"/>
      <c r="E9" s="144"/>
      <c r="F9" s="146"/>
      <c r="G9" s="1"/>
    </row>
    <row r="10" spans="1:7" ht="26.25" x14ac:dyDescent="0.25">
      <c r="A10" s="1"/>
      <c r="B10" s="67" t="s">
        <v>16</v>
      </c>
      <c r="C10" s="67" t="s">
        <v>10</v>
      </c>
      <c r="D10" s="68"/>
      <c r="E10" s="67" t="s">
        <v>29</v>
      </c>
      <c r="F10" s="68"/>
      <c r="G10" s="1"/>
    </row>
    <row r="11" spans="1:7" x14ac:dyDescent="0.25">
      <c r="A11" s="1"/>
      <c r="B11" s="24" t="s">
        <v>248</v>
      </c>
      <c r="C11" s="9">
        <v>0</v>
      </c>
      <c r="D11" s="14" t="s">
        <v>3</v>
      </c>
      <c r="E11" s="9">
        <v>0</v>
      </c>
      <c r="F11" s="14" t="s">
        <v>3</v>
      </c>
      <c r="G11" s="1"/>
    </row>
    <row r="12" spans="1:7" x14ac:dyDescent="0.25">
      <c r="A12" s="1"/>
      <c r="B12" s="65" t="s">
        <v>87</v>
      </c>
      <c r="C12" s="12">
        <f>SUM(C11:C11)</f>
        <v>0</v>
      </c>
      <c r="D12" s="13" t="s">
        <v>3</v>
      </c>
      <c r="E12" s="12">
        <f>SUM(E11:E11)</f>
        <v>0</v>
      </c>
      <c r="F12" s="13" t="s">
        <v>3</v>
      </c>
      <c r="G12" s="1"/>
    </row>
    <row r="13" spans="1:7" x14ac:dyDescent="0.25">
      <c r="A13" s="1"/>
      <c r="B13" s="65" t="s">
        <v>88</v>
      </c>
      <c r="C13" s="12">
        <f>C12*(1+'Fane 13. Nøgletal'!C15)</f>
        <v>0</v>
      </c>
      <c r="D13" s="13" t="s">
        <v>3</v>
      </c>
      <c r="E13" s="12">
        <f>E12*(1+'Fane 13.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49"/>
      <c r="C16" s="49"/>
      <c r="D16" s="49"/>
      <c r="E16" s="49"/>
      <c r="F16" s="49"/>
      <c r="G16" s="1"/>
    </row>
    <row r="17" spans="1:7" x14ac:dyDescent="0.25">
      <c r="A17" s="1"/>
      <c r="B17" s="50"/>
      <c r="C17" s="53"/>
      <c r="D17" s="52"/>
      <c r="E17" s="53"/>
      <c r="F17" s="52"/>
      <c r="G17" s="1"/>
    </row>
    <row r="18" spans="1:7" x14ac:dyDescent="0.25">
      <c r="A18" s="1"/>
      <c r="B18" s="54"/>
      <c r="C18" s="55"/>
      <c r="D18" s="56"/>
      <c r="E18" s="55"/>
      <c r="F18" s="56"/>
      <c r="G18" s="1"/>
    </row>
    <row r="19" spans="1:7" x14ac:dyDescent="0.25">
      <c r="A19" s="1"/>
      <c r="B19" s="54"/>
      <c r="C19" s="55"/>
      <c r="D19" s="56"/>
      <c r="E19" s="55"/>
      <c r="F19" s="56"/>
      <c r="G19" s="1"/>
    </row>
    <row r="20" spans="1:7" x14ac:dyDescent="0.25">
      <c r="A20" s="1"/>
      <c r="B20" s="47"/>
      <c r="C20" s="47"/>
      <c r="D20" s="47"/>
      <c r="E20" s="47"/>
      <c r="F20" s="47"/>
      <c r="G20" s="1"/>
    </row>
    <row r="21" spans="1:7" x14ac:dyDescent="0.25">
      <c r="A21" s="1"/>
      <c r="B21" s="164"/>
      <c r="C21" s="164"/>
      <c r="D21" s="164"/>
      <c r="E21" s="164"/>
      <c r="F21" s="164"/>
      <c r="G21" s="1"/>
    </row>
    <row r="22" spans="1:7" x14ac:dyDescent="0.25">
      <c r="A22" s="1"/>
      <c r="B22" s="49"/>
      <c r="C22" s="49"/>
      <c r="D22" s="49"/>
      <c r="E22" s="49"/>
      <c r="F22" s="49"/>
      <c r="G22" s="1"/>
    </row>
    <row r="23" spans="1:7" x14ac:dyDescent="0.25">
      <c r="A23" s="1"/>
      <c r="B23" s="50"/>
      <c r="C23" s="53"/>
      <c r="D23" s="52"/>
      <c r="E23" s="53"/>
      <c r="F23" s="52"/>
      <c r="G23" s="1"/>
    </row>
    <row r="24" spans="1:7" x14ac:dyDescent="0.25">
      <c r="A24" s="1"/>
      <c r="B24" s="54"/>
      <c r="C24" s="55"/>
      <c r="D24" s="56"/>
      <c r="E24" s="55"/>
      <c r="F24" s="56"/>
      <c r="G24" s="1"/>
    </row>
    <row r="25" spans="1:7" x14ac:dyDescent="0.25">
      <c r="A25" s="1"/>
      <c r="B25" s="54"/>
      <c r="C25" s="55"/>
      <c r="D25" s="56"/>
      <c r="E25" s="55"/>
      <c r="F25" s="56"/>
      <c r="G25" s="1"/>
    </row>
    <row r="26" spans="1:7" x14ac:dyDescent="0.25">
      <c r="A26" s="1"/>
      <c r="B26" s="47"/>
      <c r="C26" s="47"/>
      <c r="D26" s="47"/>
      <c r="E26" s="47"/>
      <c r="F26" s="47"/>
      <c r="G26" s="1"/>
    </row>
    <row r="27" spans="1:7" x14ac:dyDescent="0.25">
      <c r="A27" s="1"/>
      <c r="B27" s="164"/>
      <c r="C27" s="164"/>
      <c r="D27" s="164"/>
      <c r="E27" s="164"/>
      <c r="F27" s="164"/>
      <c r="G27" s="1"/>
    </row>
    <row r="28" spans="1:7" x14ac:dyDescent="0.25">
      <c r="A28" s="1"/>
      <c r="B28" s="49"/>
      <c r="C28" s="49"/>
      <c r="D28" s="49"/>
      <c r="E28" s="49"/>
      <c r="F28" s="49"/>
      <c r="G28" s="1"/>
    </row>
    <row r="29" spans="1:7" x14ac:dyDescent="0.25">
      <c r="A29" s="1"/>
      <c r="B29" s="50"/>
      <c r="C29" s="53"/>
      <c r="D29" s="52"/>
      <c r="E29" s="53"/>
      <c r="F29" s="52"/>
      <c r="G29" s="1"/>
    </row>
    <row r="30" spans="1:7" x14ac:dyDescent="0.25">
      <c r="A30" s="1"/>
      <c r="B30" s="54"/>
      <c r="C30" s="55"/>
      <c r="D30" s="56"/>
      <c r="E30" s="55"/>
      <c r="F30" s="56"/>
      <c r="G30" s="1"/>
    </row>
    <row r="31" spans="1:7" x14ac:dyDescent="0.25">
      <c r="A31" s="1"/>
      <c r="B31" s="54"/>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pExWu2Z0L9424IK9Y+8SVlWa39vFY0fRvTbb7MTjbvevAg5m3G/vlA+NlQRVPwFCGRjRhZ5riXzfT/xW7FVRpQ==" saltValue="oXQkQ37V0jXBd/hn6b/eQ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D53"/>
  <sheetViews>
    <sheetView showGridLines="0" view="pageLayout" zoomScaleNormal="100" workbookViewId="0"/>
  </sheetViews>
  <sheetFormatPr defaultColWidth="9.140625" defaultRowHeight="15" x14ac:dyDescent="0.25"/>
  <cols>
    <col min="1" max="1" width="11.140625" style="2" customWidth="1"/>
    <col min="2" max="2" width="55.71093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2" t="s">
        <v>231</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20"/>
      <c r="D8" s="1"/>
    </row>
    <row r="9" spans="1:4" x14ac:dyDescent="0.25">
      <c r="A9" s="1"/>
      <c r="B9" s="81" t="s">
        <v>108</v>
      </c>
      <c r="C9" s="25">
        <v>1.2699999999999999E-2</v>
      </c>
      <c r="D9" s="1"/>
    </row>
    <row r="10" spans="1:4" x14ac:dyDescent="0.25">
      <c r="A10" s="1"/>
      <c r="B10" s="81" t="s">
        <v>21</v>
      </c>
      <c r="C10" s="25">
        <v>1.7500000000000002E-2</v>
      </c>
      <c r="D10" s="1"/>
    </row>
    <row r="11" spans="1:4" x14ac:dyDescent="0.25">
      <c r="A11" s="1"/>
      <c r="B11" s="81" t="s">
        <v>109</v>
      </c>
      <c r="C11" s="25">
        <v>1.6899999999999998E-2</v>
      </c>
      <c r="D11" s="1"/>
    </row>
    <row r="12" spans="1:4" x14ac:dyDescent="0.25">
      <c r="A12" s="1"/>
      <c r="B12" s="26" t="s">
        <v>37</v>
      </c>
      <c r="C12" s="27">
        <v>1.9699999999999999E-2</v>
      </c>
      <c r="D12" s="1"/>
    </row>
    <row r="13" spans="1:4" x14ac:dyDescent="0.25">
      <c r="A13" s="1"/>
      <c r="B13" s="26" t="s">
        <v>129</v>
      </c>
      <c r="C13" s="27">
        <v>1.2200000000000001E-2</v>
      </c>
      <c r="D13" s="1"/>
    </row>
    <row r="14" spans="1:4" x14ac:dyDescent="0.25">
      <c r="A14" s="1"/>
      <c r="B14" s="26" t="s">
        <v>157</v>
      </c>
      <c r="C14" s="27">
        <v>3.3E-3</v>
      </c>
      <c r="D14" s="1"/>
    </row>
    <row r="15" spans="1:4" x14ac:dyDescent="0.25">
      <c r="A15" s="1"/>
      <c r="B15" s="26" t="s">
        <v>249</v>
      </c>
      <c r="C15" s="27">
        <v>3.56E-2</v>
      </c>
      <c r="D15" s="1"/>
    </row>
    <row r="16" spans="1:4" x14ac:dyDescent="0.25">
      <c r="A16" s="1"/>
      <c r="B16" s="65"/>
      <c r="C16" s="20"/>
      <c r="D16" s="1"/>
    </row>
    <row r="17" spans="1:4" x14ac:dyDescent="0.25">
      <c r="A17" s="1"/>
      <c r="B17" s="1"/>
      <c r="C17" s="1"/>
      <c r="D17" s="1"/>
    </row>
    <row r="18" spans="1:4" x14ac:dyDescent="0.25">
      <c r="A18" s="1"/>
      <c r="B18" s="1"/>
      <c r="C18" s="1"/>
      <c r="D18" s="1"/>
    </row>
    <row r="19" spans="1:4" x14ac:dyDescent="0.25">
      <c r="A19" s="1"/>
      <c r="B19" s="65" t="s">
        <v>94</v>
      </c>
      <c r="C19" s="20"/>
      <c r="D19" s="1"/>
    </row>
    <row r="20" spans="1:4" x14ac:dyDescent="0.25">
      <c r="A20" s="1"/>
      <c r="B20" s="81" t="s">
        <v>110</v>
      </c>
      <c r="C20" s="23">
        <v>9.1000000000000004E-3</v>
      </c>
      <c r="D20" s="1"/>
    </row>
    <row r="21" spans="1:4" x14ac:dyDescent="0.25">
      <c r="A21" s="1"/>
      <c r="B21" s="81" t="s">
        <v>111</v>
      </c>
      <c r="C21" s="23">
        <v>1.77E-2</v>
      </c>
      <c r="D21" s="1"/>
    </row>
    <row r="22" spans="1:4" x14ac:dyDescent="0.25">
      <c r="A22" s="1"/>
      <c r="B22" s="81" t="s">
        <v>113</v>
      </c>
      <c r="C22" s="23">
        <v>8.6999999999999994E-3</v>
      </c>
      <c r="D22" s="1"/>
    </row>
    <row r="23" spans="1:4" x14ac:dyDescent="0.25">
      <c r="A23" s="1"/>
      <c r="B23" s="81" t="s">
        <v>112</v>
      </c>
      <c r="C23" s="28">
        <v>2.8400000000000002E-2</v>
      </c>
      <c r="D23" s="1"/>
    </row>
    <row r="24" spans="1:4" x14ac:dyDescent="0.25">
      <c r="A24" s="1"/>
      <c r="B24" s="81" t="s">
        <v>130</v>
      </c>
      <c r="C24" s="28">
        <v>2.75E-2</v>
      </c>
      <c r="D24" s="1"/>
    </row>
    <row r="25" spans="1:4" x14ac:dyDescent="0.25">
      <c r="A25" s="1"/>
      <c r="B25" s="81" t="s">
        <v>158</v>
      </c>
      <c r="C25" s="28">
        <v>1.4800000000000001E-2</v>
      </c>
      <c r="D25" s="1"/>
    </row>
    <row r="26" spans="1:4" x14ac:dyDescent="0.25">
      <c r="A26" s="1"/>
      <c r="B26" s="26" t="s">
        <v>250</v>
      </c>
      <c r="C26" s="27">
        <v>0</v>
      </c>
      <c r="D26" s="1"/>
    </row>
    <row r="27" spans="1:4" x14ac:dyDescent="0.25">
      <c r="A27" s="1"/>
      <c r="B27" s="65"/>
      <c r="C27" s="65"/>
      <c r="D27" s="1"/>
    </row>
    <row r="28" spans="1:4" x14ac:dyDescent="0.25">
      <c r="A28" s="1"/>
      <c r="B28" s="1"/>
      <c r="C28" s="1"/>
      <c r="D28" s="1"/>
    </row>
    <row r="29" spans="1:4" x14ac:dyDescent="0.25">
      <c r="A29" s="1"/>
      <c r="B29" s="1"/>
      <c r="C29" s="1"/>
      <c r="D29" s="1"/>
    </row>
    <row r="30" spans="1:4" x14ac:dyDescent="0.25">
      <c r="A30" s="1"/>
      <c r="B30" s="65" t="s">
        <v>95</v>
      </c>
      <c r="C30" s="20"/>
      <c r="D30" s="1"/>
    </row>
    <row r="31" spans="1:4" x14ac:dyDescent="0.25">
      <c r="A31" s="1"/>
      <c r="B31" s="81" t="s">
        <v>114</v>
      </c>
      <c r="C31" s="25">
        <v>0.02</v>
      </c>
      <c r="D31" s="1"/>
    </row>
    <row r="32" spans="1:4" x14ac:dyDescent="0.25">
      <c r="A32" s="1"/>
      <c r="B32" s="65"/>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0"/>
      <c r="B50" s="40"/>
      <c r="C50" s="40"/>
      <c r="D50" s="40"/>
    </row>
    <row r="51" spans="1:4" x14ac:dyDescent="0.25">
      <c r="A51" s="40"/>
      <c r="B51" s="40"/>
      <c r="C51" s="40"/>
      <c r="D51" s="40"/>
    </row>
    <row r="52" spans="1:4" x14ac:dyDescent="0.25">
      <c r="A52" s="40"/>
      <c r="B52" s="40"/>
      <c r="C52" s="40"/>
      <c r="D52" s="40"/>
    </row>
    <row r="53" spans="1:4" x14ac:dyDescent="0.25">
      <c r="A53" s="40"/>
      <c r="B53" s="40"/>
      <c r="C53" s="40"/>
      <c r="D53" s="40"/>
    </row>
  </sheetData>
  <sheetProtection algorithmName="SHA-512" hashValue="HIHgqcPtuGEh+rZZsW0iRM07sllN+YQ0hE+GauHZ3kU5kz9oMws/1qhL8m3+PEtSRSmfGuhR8KHI0IlT8nOuZA==" saltValue="dyR1ORU1/towu0FOm6yuiQ==" spinCount="100000" sheet="1" objects="1" scenarios="1"/>
  <mergeCells count="1">
    <mergeCell ref="B3:C4"/>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9"/>
  <sheetViews>
    <sheetView showGridLines="0" view="pageLayout" zoomScaleNormal="100" workbookViewId="0"/>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173</v>
      </c>
      <c r="C3" s="112"/>
      <c r="D3" s="112"/>
      <c r="E3" s="1"/>
    </row>
    <row r="4" spans="1:5" ht="15" customHeight="1"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65" t="s">
        <v>12</v>
      </c>
      <c r="C8" s="66"/>
      <c r="D8" s="20"/>
      <c r="E8" s="1"/>
    </row>
    <row r="9" spans="1:5" ht="15" customHeight="1" x14ac:dyDescent="0.25">
      <c r="A9" s="1"/>
      <c r="B9" s="64" t="s">
        <v>124</v>
      </c>
      <c r="C9" s="7">
        <f>'Fane 3. Omkostninger i ØR2022'!E24</f>
        <v>17285898.731163576</v>
      </c>
      <c r="D9" s="8" t="s">
        <v>3</v>
      </c>
      <c r="E9" s="1"/>
    </row>
    <row r="10" spans="1:5" ht="17.100000000000001" customHeight="1" x14ac:dyDescent="0.25">
      <c r="A10" s="1"/>
      <c r="B10" s="71" t="s">
        <v>35</v>
      </c>
      <c r="C10" s="7">
        <f>'Fane 10.1. Varige tillæg'!C13</f>
        <v>0</v>
      </c>
      <c r="D10" s="8" t="s">
        <v>3</v>
      </c>
      <c r="E10" s="1"/>
    </row>
    <row r="11" spans="1:5" ht="17.100000000000001" customHeight="1" x14ac:dyDescent="0.25">
      <c r="A11" s="1"/>
      <c r="B11" s="71" t="s">
        <v>36</v>
      </c>
      <c r="C11" s="9">
        <f>'Fane 10.1. Varige tillæg'!E13</f>
        <v>0</v>
      </c>
      <c r="D11" s="8" t="s">
        <v>3</v>
      </c>
      <c r="E11" s="1"/>
    </row>
    <row r="12" spans="1:5" ht="17.100000000000001" customHeight="1" x14ac:dyDescent="0.25">
      <c r="A12" s="1"/>
      <c r="B12" s="71" t="s">
        <v>26</v>
      </c>
      <c r="C12" s="9">
        <f>-'Fane 12. Bortfald'!C13</f>
        <v>0</v>
      </c>
      <c r="D12" s="8" t="s">
        <v>3</v>
      </c>
      <c r="E12" s="1"/>
    </row>
    <row r="13" spans="1:5" ht="17.100000000000001" customHeight="1" x14ac:dyDescent="0.25">
      <c r="A13" s="1"/>
      <c r="B13" s="71" t="s">
        <v>25</v>
      </c>
      <c r="C13" s="9">
        <f>-'Fane 12. Bortfald'!E13</f>
        <v>0</v>
      </c>
      <c r="D13" s="8" t="s">
        <v>3</v>
      </c>
      <c r="E13" s="1"/>
    </row>
    <row r="14" spans="1:5" ht="17.100000000000001" customHeight="1" x14ac:dyDescent="0.25">
      <c r="A14" s="1"/>
      <c r="B14" s="71" t="s">
        <v>122</v>
      </c>
      <c r="C14" s="9">
        <f>'Fane 11. Tilknyttet virksomhed'!C12</f>
        <v>0</v>
      </c>
      <c r="D14" s="8" t="s">
        <v>3</v>
      </c>
      <c r="E14" s="1"/>
    </row>
    <row r="15" spans="1:5" ht="17.100000000000001" customHeight="1" x14ac:dyDescent="0.25">
      <c r="A15" s="1"/>
      <c r="B15" s="71" t="s">
        <v>123</v>
      </c>
      <c r="C15" s="9">
        <f>'Fane 11. Tilknyttet virksomhed'!E12</f>
        <v>0</v>
      </c>
      <c r="D15" s="8" t="s">
        <v>3</v>
      </c>
      <c r="E15" s="1"/>
    </row>
    <row r="16" spans="1:5" ht="17.100000000000001" customHeight="1" x14ac:dyDescent="0.25">
      <c r="A16" s="1"/>
      <c r="B16" s="71" t="s">
        <v>17</v>
      </c>
      <c r="C16" s="9">
        <f>SUM(C9:C15)*'Fane 13. Nøgletal'!C15</f>
        <v>615377.99482942326</v>
      </c>
      <c r="D16" s="8" t="s">
        <v>3</v>
      </c>
      <c r="E16" s="1"/>
    </row>
    <row r="17" spans="1:5" ht="17.100000000000001" customHeight="1" x14ac:dyDescent="0.25">
      <c r="A17" s="1"/>
      <c r="B17" s="71" t="s">
        <v>9</v>
      </c>
      <c r="C17" s="9">
        <f>-SUM(C9,C10:C16)*'Fane 5. Individuelt eff. krav'!G9</f>
        <v>-204590.72747471978</v>
      </c>
      <c r="D17" s="8" t="s">
        <v>3</v>
      </c>
      <c r="E17" s="1"/>
    </row>
    <row r="18" spans="1:5" ht="17.100000000000001" customHeight="1" x14ac:dyDescent="0.25">
      <c r="A18" s="1"/>
      <c r="B18" s="71" t="s">
        <v>23</v>
      </c>
      <c r="C18" s="9">
        <f>-'Fane 4.1. Gen. krav - drift'!G47</f>
        <v>-179446.11887188704</v>
      </c>
      <c r="D18" s="8" t="s">
        <v>3</v>
      </c>
      <c r="E18" s="1"/>
    </row>
    <row r="19" spans="1:5" ht="17.100000000000001" customHeight="1" x14ac:dyDescent="0.25">
      <c r="A19" s="1"/>
      <c r="B19" s="71" t="s">
        <v>24</v>
      </c>
      <c r="C19" s="9">
        <f>-'Fane 4.2. Gen. krav - anlæg'!G47</f>
        <v>0</v>
      </c>
      <c r="D19" s="8" t="s">
        <v>3</v>
      </c>
      <c r="E19" s="1"/>
    </row>
    <row r="20" spans="1:5" ht="17.100000000000001" customHeight="1" x14ac:dyDescent="0.25">
      <c r="A20" s="1"/>
      <c r="B20" s="72" t="s">
        <v>19</v>
      </c>
      <c r="C20" s="10">
        <f>SUM(C9,C10:C19)</f>
        <v>17517239.879646394</v>
      </c>
      <c r="D20" s="11" t="s">
        <v>3</v>
      </c>
      <c r="E20" s="1"/>
    </row>
    <row r="21" spans="1:5" ht="15" customHeight="1" x14ac:dyDescent="0.25">
      <c r="A21" s="1"/>
      <c r="B21" s="65" t="s">
        <v>11</v>
      </c>
      <c r="C21" s="66"/>
      <c r="D21" s="20"/>
      <c r="E21" s="1"/>
    </row>
    <row r="22" spans="1:5" ht="15" customHeight="1" x14ac:dyDescent="0.25">
      <c r="A22" s="1"/>
      <c r="B22" s="67" t="s">
        <v>11</v>
      </c>
      <c r="C22" s="10">
        <f>'Fane 6. Ikke-påvirkelige omk.'!C15</f>
        <v>23977053.028055523</v>
      </c>
      <c r="D22" s="11" t="s">
        <v>3</v>
      </c>
      <c r="E22" s="1"/>
    </row>
    <row r="23" spans="1:5" ht="15" customHeight="1" x14ac:dyDescent="0.25">
      <c r="A23" s="1"/>
      <c r="B23" s="65" t="s">
        <v>84</v>
      </c>
      <c r="C23" s="66"/>
      <c r="D23" s="20"/>
      <c r="E23" s="1"/>
    </row>
    <row r="24" spans="1:5" ht="15" customHeight="1" x14ac:dyDescent="0.25">
      <c r="A24" s="1"/>
      <c r="B24" s="71" t="s">
        <v>80</v>
      </c>
      <c r="C24" s="9">
        <f>'Fane 10.2. Engangstillæg'!C13</f>
        <v>0</v>
      </c>
      <c r="D24" s="8" t="s">
        <v>3</v>
      </c>
      <c r="E24" s="1"/>
    </row>
    <row r="25" spans="1:5" ht="15" customHeight="1" x14ac:dyDescent="0.25">
      <c r="A25" s="1"/>
      <c r="B25" s="71" t="s">
        <v>81</v>
      </c>
      <c r="C25" s="9">
        <f>'Fane 10.2. Engangstillæg'!E13</f>
        <v>0</v>
      </c>
      <c r="D25" s="8" t="s">
        <v>3</v>
      </c>
      <c r="E25" s="1"/>
    </row>
    <row r="26" spans="1:5" ht="15" customHeight="1" x14ac:dyDescent="0.25">
      <c r="A26" s="1"/>
      <c r="B26" s="71" t="s">
        <v>213</v>
      </c>
      <c r="C26" s="9">
        <f>-C24*('Fane 5. Individuelt eff. krav'!G9+'Fane 13. Nøgletal'!C31)</f>
        <v>0</v>
      </c>
      <c r="D26" s="8" t="s">
        <v>3</v>
      </c>
      <c r="E26" s="1"/>
    </row>
    <row r="27" spans="1:5" ht="15" customHeight="1" x14ac:dyDescent="0.25">
      <c r="A27" s="1"/>
      <c r="B27" s="39" t="s">
        <v>214</v>
      </c>
      <c r="C27" s="9">
        <f>-C25*('Fane 5. Individuelt eff. krav'!G9+'Fane 13. Nøgletal'!C26)</f>
        <v>0</v>
      </c>
      <c r="D27" s="8" t="s">
        <v>3</v>
      </c>
      <c r="E27" s="1"/>
    </row>
    <row r="28" spans="1:5" x14ac:dyDescent="0.25">
      <c r="A28" s="1"/>
      <c r="B28" s="72" t="s">
        <v>85</v>
      </c>
      <c r="C28" s="10">
        <f>SUM(C24:C27)</f>
        <v>0</v>
      </c>
      <c r="D28" s="11" t="s">
        <v>3</v>
      </c>
      <c r="E28" s="1"/>
    </row>
    <row r="29" spans="1:5" x14ac:dyDescent="0.25">
      <c r="A29" s="1"/>
      <c r="B29" s="29" t="s">
        <v>142</v>
      </c>
      <c r="C29" s="66"/>
      <c r="D29" s="20"/>
      <c r="E29" s="1"/>
    </row>
    <row r="30" spans="1:5" x14ac:dyDescent="0.25">
      <c r="A30" s="1"/>
      <c r="B30" s="82" t="s">
        <v>143</v>
      </c>
      <c r="C30" s="10">
        <f>'Fane 7. Kontrol af ØR2021'!E33</f>
        <v>-394737.53203335032</v>
      </c>
      <c r="D30" s="11" t="s">
        <v>3</v>
      </c>
      <c r="E30" s="1"/>
    </row>
    <row r="31" spans="1:5" x14ac:dyDescent="0.25">
      <c r="A31" s="1"/>
      <c r="B31" s="29" t="s">
        <v>161</v>
      </c>
      <c r="C31" s="66"/>
      <c r="D31" s="20"/>
      <c r="E31" s="1"/>
    </row>
    <row r="32" spans="1:5" x14ac:dyDescent="0.25">
      <c r="A32" s="1"/>
      <c r="B32" s="82" t="s">
        <v>162</v>
      </c>
      <c r="C32" s="10">
        <f>'Fane 8. Skattesagen'!G12</f>
        <v>0</v>
      </c>
      <c r="D32" s="11" t="s">
        <v>3</v>
      </c>
      <c r="E32" s="1" t="s">
        <v>197</v>
      </c>
    </row>
    <row r="33" spans="1:5" x14ac:dyDescent="0.25">
      <c r="A33" s="1"/>
      <c r="B33" s="65" t="s">
        <v>89</v>
      </c>
      <c r="C33" s="12">
        <f>SUM(C20,C22,C28,C30,C32)</f>
        <v>41099555.37566857</v>
      </c>
      <c r="D33" s="13" t="s">
        <v>3</v>
      </c>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HopKjaL/r6aN0SUCVjRVQmlcclSA4t74b8sR9wsa4lFkHLfmuw1Tqm4622WoMa+cwwAyIpblPjryGNTcBjNpsA==" saltValue="NASRAl1oT+iotL7bb7TXYQ==" spinCount="100000" sheet="1" objects="1" scenarios="1"/>
  <mergeCells count="1">
    <mergeCell ref="B3: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1"/>
  <sheetViews>
    <sheetView showGridLines="0" view="pageLayout" zoomScaleNormal="100" workbookViewId="0"/>
  </sheetViews>
  <sheetFormatPr defaultColWidth="9.140625" defaultRowHeight="15" x14ac:dyDescent="0.25"/>
  <cols>
    <col min="1" max="1" width="5.140625" style="2" customWidth="1"/>
    <col min="2" max="2" width="50.7109375" style="2" customWidth="1"/>
    <col min="3" max="3" width="20.425781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174</v>
      </c>
      <c r="C3" s="112"/>
      <c r="D3" s="112"/>
      <c r="E3" s="1"/>
    </row>
    <row r="4" spans="1:5" ht="15" customHeight="1" x14ac:dyDescent="0.25">
      <c r="A4" s="1"/>
      <c r="B4" s="112"/>
      <c r="C4" s="112"/>
      <c r="D4" s="112"/>
      <c r="E4" s="1"/>
    </row>
    <row r="5" spans="1:5" x14ac:dyDescent="0.25">
      <c r="A5" s="1"/>
      <c r="B5" s="113"/>
      <c r="C5" s="113"/>
      <c r="D5" s="113"/>
      <c r="E5" s="1"/>
    </row>
    <row r="6" spans="1:5" x14ac:dyDescent="0.25">
      <c r="A6" s="1"/>
      <c r="B6" s="1"/>
      <c r="C6" s="1"/>
      <c r="D6" s="1"/>
      <c r="E6" s="1"/>
    </row>
    <row r="7" spans="1:5" x14ac:dyDescent="0.25">
      <c r="A7" s="1"/>
      <c r="B7" s="1"/>
      <c r="C7" s="1"/>
      <c r="D7" s="1"/>
      <c r="E7" s="1"/>
    </row>
    <row r="8" spans="1:5" x14ac:dyDescent="0.25">
      <c r="A8" s="1"/>
      <c r="B8" s="65" t="s">
        <v>12</v>
      </c>
      <c r="C8" s="66"/>
      <c r="D8" s="20"/>
      <c r="E8" s="1"/>
    </row>
    <row r="9" spans="1:5" ht="15" customHeight="1" x14ac:dyDescent="0.25">
      <c r="A9" s="1"/>
      <c r="B9" s="70" t="s">
        <v>147</v>
      </c>
      <c r="C9" s="7">
        <f>'Fane 2.1. Økonomisk ramme 2023'!C20</f>
        <v>17517239.879646394</v>
      </c>
      <c r="D9" s="8" t="s">
        <v>3</v>
      </c>
      <c r="E9" s="1"/>
    </row>
    <row r="10" spans="1:5" ht="15" customHeight="1" x14ac:dyDescent="0.25">
      <c r="A10" s="1"/>
      <c r="B10" s="64" t="s">
        <v>17</v>
      </c>
      <c r="C10" s="9">
        <f>SUM(C9:C9)*'Fane 13. Nøgletal'!C15</f>
        <v>623613.73971541168</v>
      </c>
      <c r="D10" s="8" t="s">
        <v>3</v>
      </c>
      <c r="E10" s="1"/>
    </row>
    <row r="11" spans="1:5" ht="15" customHeight="1" x14ac:dyDescent="0.25">
      <c r="A11" s="1"/>
      <c r="B11" s="64" t="s">
        <v>9</v>
      </c>
      <c r="C11" s="9">
        <f>-SUM(C9:C10)*'Fane 5. Individuelt eff. krav'!G9</f>
        <v>-207328.81211810649</v>
      </c>
      <c r="D11" s="8" t="s">
        <v>3</v>
      </c>
      <c r="E11" s="1"/>
    </row>
    <row r="12" spans="1:5" ht="15" customHeight="1" x14ac:dyDescent="0.25">
      <c r="A12" s="1"/>
      <c r="B12" s="64" t="s">
        <v>23</v>
      </c>
      <c r="C12" s="9">
        <f>-'Fane 4.1. Gen. krav - drift'!G55</f>
        <v>-182117.7126896517</v>
      </c>
      <c r="D12" s="8" t="s">
        <v>3</v>
      </c>
      <c r="E12" s="1"/>
    </row>
    <row r="13" spans="1:5" x14ac:dyDescent="0.25">
      <c r="A13" s="1"/>
      <c r="B13" s="64" t="s">
        <v>24</v>
      </c>
      <c r="C13" s="9">
        <f>-'Fane 4.2. Gen. krav - anlæg'!G53</f>
        <v>0</v>
      </c>
      <c r="D13" s="8" t="s">
        <v>3</v>
      </c>
      <c r="E13" s="1"/>
    </row>
    <row r="14" spans="1:5" ht="15" customHeight="1" x14ac:dyDescent="0.25">
      <c r="A14" s="1"/>
      <c r="B14" s="36" t="s">
        <v>19</v>
      </c>
      <c r="C14" s="10">
        <f>SUM(C9:C13)</f>
        <v>17751407.094554048</v>
      </c>
      <c r="D14" s="11" t="s">
        <v>3</v>
      </c>
      <c r="E14" s="1"/>
    </row>
    <row r="15" spans="1:5" ht="15" customHeight="1" x14ac:dyDescent="0.25">
      <c r="A15" s="1"/>
      <c r="B15" s="65" t="s">
        <v>11</v>
      </c>
      <c r="C15" s="66"/>
      <c r="D15" s="20"/>
      <c r="E15" s="1"/>
    </row>
    <row r="16" spans="1:5" ht="15" customHeight="1" x14ac:dyDescent="0.25">
      <c r="A16" s="1"/>
      <c r="B16" s="67" t="s">
        <v>11</v>
      </c>
      <c r="C16" s="10">
        <f>'Fane 6. Ikke-påvirkelige omk.'!C15*(1+'Fane 13. Nøgletal'!C15)</f>
        <v>24830636.115854301</v>
      </c>
      <c r="D16" s="11" t="s">
        <v>3</v>
      </c>
      <c r="E16" s="1"/>
    </row>
    <row r="17" spans="1:5" ht="15" customHeight="1" x14ac:dyDescent="0.25">
      <c r="A17" s="1"/>
      <c r="B17" s="29" t="s">
        <v>142</v>
      </c>
      <c r="C17" s="66"/>
      <c r="D17" s="20"/>
      <c r="E17" s="1"/>
    </row>
    <row r="18" spans="1:5" ht="15" customHeight="1" x14ac:dyDescent="0.25">
      <c r="A18" s="1"/>
      <c r="B18" s="82" t="s">
        <v>143</v>
      </c>
      <c r="C18" s="10">
        <f>'Fane 7. Kontrol af ØR2021'!E33</f>
        <v>-394737.53203335032</v>
      </c>
      <c r="D18" s="11" t="s">
        <v>3</v>
      </c>
      <c r="E18" s="1"/>
    </row>
    <row r="19" spans="1:5" x14ac:dyDescent="0.25">
      <c r="A19" s="1"/>
      <c r="B19" s="29" t="s">
        <v>161</v>
      </c>
      <c r="C19" s="66"/>
      <c r="D19" s="20"/>
      <c r="E19" s="1"/>
    </row>
    <row r="20" spans="1:5" x14ac:dyDescent="0.25">
      <c r="A20" s="1"/>
      <c r="B20" s="82" t="s">
        <v>162</v>
      </c>
      <c r="C20" s="10">
        <f>'Fane 8. Skattesagen'!G13</f>
        <v>0</v>
      </c>
      <c r="D20" s="11" t="s">
        <v>3</v>
      </c>
      <c r="E20" s="1"/>
    </row>
    <row r="21" spans="1:5" x14ac:dyDescent="0.25">
      <c r="A21" s="1"/>
      <c r="B21" s="65" t="s">
        <v>126</v>
      </c>
      <c r="C21" s="12">
        <f>SUM(C14,C16,C18,C20)</f>
        <v>42187305.678374991</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TyDrMCRYUNIWuenL0rGGFvIujbRoNTvCG4UIFh7pMRfz45jTMPcqgf4EmcrYOzMAwEfyk1+sKXk9nAdc878sxA==" saltValue="ijlSs+OHKbvvFUx3l3twN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140625" defaultRowHeight="15" x14ac:dyDescent="0.25"/>
  <cols>
    <col min="1" max="1" width="5.140625" style="2" customWidth="1"/>
    <col min="2" max="2" width="52.85546875" style="2" customWidth="1"/>
    <col min="3" max="3" width="15.140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175</v>
      </c>
      <c r="C3" s="112"/>
      <c r="D3" s="112"/>
      <c r="E3" s="1"/>
    </row>
    <row r="4" spans="1:5" ht="15" customHeight="1" x14ac:dyDescent="0.25">
      <c r="A4" s="1"/>
      <c r="B4" s="112"/>
      <c r="C4" s="112"/>
      <c r="D4" s="112"/>
      <c r="E4" s="1"/>
    </row>
    <row r="5" spans="1:5" x14ac:dyDescent="0.25">
      <c r="A5" s="1"/>
      <c r="B5" s="113" t="s">
        <v>20</v>
      </c>
      <c r="C5" s="113"/>
      <c r="D5" s="113"/>
      <c r="E5" s="1"/>
    </row>
    <row r="6" spans="1:5" x14ac:dyDescent="0.25">
      <c r="A6" s="1"/>
      <c r="B6" s="1"/>
      <c r="C6" s="1"/>
      <c r="D6" s="1"/>
      <c r="E6" s="1"/>
    </row>
    <row r="7" spans="1:5" x14ac:dyDescent="0.25">
      <c r="A7" s="1"/>
      <c r="B7" s="65" t="s">
        <v>12</v>
      </c>
      <c r="C7" s="66"/>
      <c r="D7" s="20"/>
      <c r="E7" s="1"/>
    </row>
    <row r="8" spans="1:5" ht="15" customHeight="1" x14ac:dyDescent="0.25">
      <c r="A8" s="1"/>
      <c r="B8" s="70" t="s">
        <v>125</v>
      </c>
      <c r="C8" s="7">
        <f>'Fane 2.2. Økonomisk ramme 2024'!C14</f>
        <v>17751407.094554048</v>
      </c>
      <c r="D8" s="8" t="s">
        <v>3</v>
      </c>
      <c r="E8" s="1"/>
    </row>
    <row r="9" spans="1:5" ht="15" customHeight="1" x14ac:dyDescent="0.25">
      <c r="A9" s="1"/>
      <c r="B9" s="64" t="s">
        <v>17</v>
      </c>
      <c r="C9" s="9">
        <f>SUM(C8:C8)*'Fane 13. Nøgletal'!C15</f>
        <v>631950.09256612405</v>
      </c>
      <c r="D9" s="8" t="s">
        <v>3</v>
      </c>
      <c r="E9" s="1"/>
    </row>
    <row r="10" spans="1:5" ht="15" customHeight="1" x14ac:dyDescent="0.25">
      <c r="A10" s="1"/>
      <c r="B10" s="64" t="s">
        <v>9</v>
      </c>
      <c r="C10" s="9">
        <f>-SUM(C8,C9:C9)*'Fane 5. Individuelt eff. krav'!G9</f>
        <v>-210100.34523847097</v>
      </c>
      <c r="D10" s="8" t="s">
        <v>3</v>
      </c>
      <c r="E10" s="1"/>
    </row>
    <row r="11" spans="1:5" ht="15" customHeight="1" x14ac:dyDescent="0.25">
      <c r="A11" s="1"/>
      <c r="B11" s="64" t="s">
        <v>23</v>
      </c>
      <c r="C11" s="9">
        <f>-'Fane 4.1. Gen. krav - drift'!G60</f>
        <v>-184829.08119617525</v>
      </c>
      <c r="D11" s="8" t="s">
        <v>3</v>
      </c>
      <c r="E11" s="1"/>
    </row>
    <row r="12" spans="1:5" ht="15" customHeight="1" x14ac:dyDescent="0.25">
      <c r="A12" s="1"/>
      <c r="B12" s="64" t="s">
        <v>24</v>
      </c>
      <c r="C12" s="9">
        <f>-'Fane 4.2. Gen. krav - anlæg'!G58</f>
        <v>0</v>
      </c>
      <c r="D12" s="8" t="s">
        <v>3</v>
      </c>
      <c r="E12" s="1"/>
    </row>
    <row r="13" spans="1:5" ht="17.25" customHeight="1" x14ac:dyDescent="0.25">
      <c r="A13" s="1"/>
      <c r="B13" s="36" t="s">
        <v>19</v>
      </c>
      <c r="C13" s="10">
        <f>SUM(C8,C9:C12)</f>
        <v>17988427.76068553</v>
      </c>
      <c r="D13" s="11" t="s">
        <v>3</v>
      </c>
      <c r="E13" s="1"/>
    </row>
    <row r="14" spans="1:5" x14ac:dyDescent="0.25">
      <c r="A14" s="1"/>
      <c r="B14" s="65" t="s">
        <v>11</v>
      </c>
      <c r="C14" s="66"/>
      <c r="D14" s="20"/>
      <c r="E14" s="1"/>
    </row>
    <row r="15" spans="1:5" ht="15" customHeight="1" x14ac:dyDescent="0.25">
      <c r="A15" s="1"/>
      <c r="B15" s="67" t="s">
        <v>11</v>
      </c>
      <c r="C15" s="10">
        <f>'Fane 6. Ikke-påvirkelige omk.'!C15*(1+'Fane 13. Nøgletal'!C15)^2</f>
        <v>25714606.761578713</v>
      </c>
      <c r="D15" s="11" t="s">
        <v>3</v>
      </c>
      <c r="E15" s="1"/>
    </row>
    <row r="16" spans="1:5" ht="15" customHeight="1" x14ac:dyDescent="0.25">
      <c r="A16" s="1"/>
      <c r="B16" s="29" t="s">
        <v>142</v>
      </c>
      <c r="C16" s="66"/>
      <c r="D16" s="20"/>
      <c r="E16" s="1"/>
    </row>
    <row r="17" spans="1:5" ht="15" customHeight="1" x14ac:dyDescent="0.25">
      <c r="A17" s="1"/>
      <c r="B17" s="82" t="s">
        <v>143</v>
      </c>
      <c r="C17" s="10">
        <v>0</v>
      </c>
      <c r="D17" s="11" t="s">
        <v>3</v>
      </c>
      <c r="E17" s="1"/>
    </row>
    <row r="18" spans="1:5" x14ac:dyDescent="0.25">
      <c r="A18" s="1"/>
      <c r="B18" s="29" t="s">
        <v>161</v>
      </c>
      <c r="C18" s="66"/>
      <c r="D18" s="20"/>
      <c r="E18" s="1"/>
    </row>
    <row r="19" spans="1:5" x14ac:dyDescent="0.25">
      <c r="A19" s="1"/>
      <c r="B19" s="82" t="s">
        <v>162</v>
      </c>
      <c r="C19" s="10">
        <f>'Fane 8. Skattesagen'!G14</f>
        <v>0</v>
      </c>
      <c r="D19" s="11" t="s">
        <v>3</v>
      </c>
      <c r="E19" s="1"/>
    </row>
    <row r="20" spans="1:5" x14ac:dyDescent="0.25">
      <c r="A20" s="1"/>
      <c r="B20" s="65" t="s">
        <v>148</v>
      </c>
      <c r="C20" s="12">
        <f>SUM(C13,C15,C17,C19)</f>
        <v>43703034.522264242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ad2AjMwGjg8V/970Ogk7HGaauEfz871JgagKxgWQW9sGO0o5Gj8sMgrsIvObXyjdJVlt9EIBluF1wu8NumSHlA==" saltValue="UEqefnDXrRxyeFrk3rOb3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120" zoomScaleNormal="100" zoomScalePageLayoutView="120" workbookViewId="0"/>
  </sheetViews>
  <sheetFormatPr defaultColWidth="9.140625" defaultRowHeight="15" x14ac:dyDescent="0.25"/>
  <cols>
    <col min="1" max="1" width="5.140625" style="2" customWidth="1"/>
    <col min="2" max="2" width="53" style="2" customWidth="1"/>
    <col min="3" max="3" width="12.85546875" style="2" bestFit="1"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176</v>
      </c>
      <c r="C3" s="112"/>
      <c r="D3" s="112"/>
      <c r="E3" s="1"/>
    </row>
    <row r="4" spans="1:5" ht="15" customHeight="1" x14ac:dyDescent="0.25">
      <c r="A4" s="1"/>
      <c r="B4" s="112"/>
      <c r="C4" s="112"/>
      <c r="D4" s="112"/>
      <c r="E4" s="1"/>
    </row>
    <row r="5" spans="1:5" x14ac:dyDescent="0.25">
      <c r="A5" s="1"/>
      <c r="B5" s="113" t="s">
        <v>20</v>
      </c>
      <c r="C5" s="113"/>
      <c r="D5" s="113"/>
      <c r="E5" s="1"/>
    </row>
    <row r="6" spans="1:5" x14ac:dyDescent="0.25">
      <c r="A6" s="1"/>
      <c r="B6" s="1"/>
      <c r="C6" s="1"/>
      <c r="D6" s="1"/>
      <c r="E6" s="1"/>
    </row>
    <row r="7" spans="1:5" x14ac:dyDescent="0.25">
      <c r="A7" s="1"/>
      <c r="B7" s="65" t="s">
        <v>12</v>
      </c>
      <c r="C7" s="66"/>
      <c r="D7" s="20"/>
      <c r="E7" s="1"/>
    </row>
    <row r="8" spans="1:5" ht="15" customHeight="1" x14ac:dyDescent="0.25">
      <c r="A8" s="1"/>
      <c r="B8" s="70" t="s">
        <v>177</v>
      </c>
      <c r="C8" s="7">
        <f>'Fane 2.3. Økonomisk ramme 2025'!C13</f>
        <v>17988427.76068553</v>
      </c>
      <c r="D8" s="8" t="s">
        <v>3</v>
      </c>
      <c r="E8" s="1"/>
    </row>
    <row r="9" spans="1:5" ht="15" customHeight="1" x14ac:dyDescent="0.25">
      <c r="A9" s="1"/>
      <c r="B9" s="64" t="s">
        <v>17</v>
      </c>
      <c r="C9" s="9">
        <f>SUM(C8:C8)*'Fane 13. Nøgletal'!C15</f>
        <v>640388.02828040486</v>
      </c>
      <c r="D9" s="8" t="s">
        <v>3</v>
      </c>
      <c r="E9" s="1"/>
    </row>
    <row r="10" spans="1:5" ht="15" customHeight="1" x14ac:dyDescent="0.25">
      <c r="A10" s="1"/>
      <c r="B10" s="64" t="s">
        <v>9</v>
      </c>
      <c r="C10" s="9">
        <f>-SUM(C8:C9)*'Fane 5. Individuelt eff. krav'!G9</f>
        <v>-212905.65095410371</v>
      </c>
      <c r="D10" s="8" t="s">
        <v>3</v>
      </c>
      <c r="E10" s="1"/>
    </row>
    <row r="11" spans="1:5" ht="15" customHeight="1" x14ac:dyDescent="0.25">
      <c r="A11" s="1"/>
      <c r="B11" s="64" t="s">
        <v>23</v>
      </c>
      <c r="C11" s="9">
        <f>-'Fane 4.1. Gen. krav - drift'!G65</f>
        <v>-187580.81655702391</v>
      </c>
      <c r="D11" s="8" t="s">
        <v>3</v>
      </c>
      <c r="E11" s="1"/>
    </row>
    <row r="12" spans="1:5" x14ac:dyDescent="0.25">
      <c r="A12" s="1"/>
      <c r="B12" s="64" t="s">
        <v>24</v>
      </c>
      <c r="C12" s="9">
        <f>-'Fane 4.2. Gen. krav - anlæg'!G63</f>
        <v>0</v>
      </c>
      <c r="D12" s="8" t="s">
        <v>3</v>
      </c>
      <c r="E12" s="1"/>
    </row>
    <row r="13" spans="1:5" ht="16.5" customHeight="1" x14ac:dyDescent="0.25">
      <c r="A13" s="1"/>
      <c r="B13" s="36" t="s">
        <v>19</v>
      </c>
      <c r="C13" s="10">
        <f>SUM(C8:C12)</f>
        <v>18228329.321454804</v>
      </c>
      <c r="D13" s="11" t="s">
        <v>3</v>
      </c>
      <c r="E13" s="1"/>
    </row>
    <row r="14" spans="1:5" x14ac:dyDescent="0.25">
      <c r="A14" s="1"/>
      <c r="B14" s="65" t="s">
        <v>11</v>
      </c>
      <c r="C14" s="66"/>
      <c r="D14" s="20"/>
      <c r="E14" s="1"/>
    </row>
    <row r="15" spans="1:5" ht="15" customHeight="1" x14ac:dyDescent="0.25">
      <c r="A15" s="1"/>
      <c r="B15" s="67" t="s">
        <v>11</v>
      </c>
      <c r="C15" s="10">
        <f>'Fane 6. Ikke-påvirkelige omk.'!C15*(1+'Fane 13. Nøgletal'!C15)^3</f>
        <v>26630046.762290921</v>
      </c>
      <c r="D15" s="11" t="s">
        <v>3</v>
      </c>
      <c r="E15" s="1"/>
    </row>
    <row r="16" spans="1:5" ht="15" customHeight="1" x14ac:dyDescent="0.25">
      <c r="A16" s="1"/>
      <c r="B16" s="29" t="s">
        <v>142</v>
      </c>
      <c r="C16" s="66"/>
      <c r="D16" s="20"/>
      <c r="E16" s="1"/>
    </row>
    <row r="17" spans="1:5" ht="15" customHeight="1" x14ac:dyDescent="0.25">
      <c r="A17" s="1"/>
      <c r="B17" s="82" t="s">
        <v>143</v>
      </c>
      <c r="C17" s="10">
        <v>0</v>
      </c>
      <c r="D17" s="11" t="s">
        <v>3</v>
      </c>
      <c r="E17" s="1"/>
    </row>
    <row r="18" spans="1:5" x14ac:dyDescent="0.25">
      <c r="A18" s="1"/>
      <c r="B18" s="29" t="s">
        <v>161</v>
      </c>
      <c r="C18" s="66"/>
      <c r="D18" s="20"/>
      <c r="E18" s="1"/>
    </row>
    <row r="19" spans="1:5" x14ac:dyDescent="0.25">
      <c r="A19" s="1"/>
      <c r="B19" s="82" t="s">
        <v>162</v>
      </c>
      <c r="C19" s="10">
        <f>'Fane 8. Skattesagen'!G15</f>
        <v>0</v>
      </c>
      <c r="D19" s="11" t="s">
        <v>3</v>
      </c>
      <c r="E19" s="1"/>
    </row>
    <row r="20" spans="1:5" x14ac:dyDescent="0.25">
      <c r="A20" s="1"/>
      <c r="B20" s="65" t="s">
        <v>178</v>
      </c>
      <c r="C20" s="12">
        <f>SUM(C13,C15,C17,C19)</f>
        <v>44858376.083745725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DPW3jbXF3tpiD9R+6sZCyVTo9HFlOkQ9PZhc7Go+42RDl6T/0SnqeSipJ3z90/rZ/AxKHIuZRCvwSl+ip+NkxQ==" saltValue="G5XNQXb/Bgy/OIO1IyILS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2.42578125" style="2" customWidth="1"/>
    <col min="5" max="5" width="12.7109375"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179</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180</v>
      </c>
      <c r="C8" s="66"/>
      <c r="D8" s="66"/>
      <c r="E8" s="66"/>
      <c r="F8" s="20"/>
      <c r="G8" s="1"/>
    </row>
    <row r="9" spans="1:7" x14ac:dyDescent="0.25">
      <c r="A9" s="1"/>
      <c r="B9" s="123" t="s">
        <v>22</v>
      </c>
      <c r="C9" s="124"/>
      <c r="D9" s="125"/>
      <c r="E9" s="7">
        <v>17229113.245007325</v>
      </c>
      <c r="F9" s="8" t="s">
        <v>3</v>
      </c>
      <c r="G9" s="1"/>
    </row>
    <row r="10" spans="1:7" x14ac:dyDescent="0.25">
      <c r="A10" s="1"/>
      <c r="B10" s="126" t="s">
        <v>203</v>
      </c>
      <c r="C10" s="127"/>
      <c r="D10" s="128"/>
      <c r="E10" s="37">
        <v>530860.55938851146</v>
      </c>
      <c r="F10" s="8" t="s">
        <v>3</v>
      </c>
      <c r="G10" s="1"/>
    </row>
    <row r="11" spans="1:7" x14ac:dyDescent="0.25">
      <c r="A11" s="1"/>
      <c r="B11" s="126" t="s">
        <v>204</v>
      </c>
      <c r="C11" s="127"/>
      <c r="D11" s="128"/>
      <c r="E11" s="37">
        <v>578724.5885669674</v>
      </c>
      <c r="F11" s="8" t="s">
        <v>3</v>
      </c>
      <c r="G11" s="1"/>
    </row>
    <row r="12" spans="1:7" x14ac:dyDescent="0.25">
      <c r="A12" s="1"/>
      <c r="B12" s="126" t="s">
        <v>145</v>
      </c>
      <c r="C12" s="127"/>
      <c r="D12" s="128"/>
      <c r="E12" s="7">
        <v>523443.47770632961</v>
      </c>
      <c r="F12" s="8" t="s">
        <v>3</v>
      </c>
      <c r="G12" s="1"/>
    </row>
    <row r="13" spans="1:7" x14ac:dyDescent="0.25">
      <c r="A13" s="1"/>
      <c r="B13" s="126" t="s">
        <v>146</v>
      </c>
      <c r="C13" s="127"/>
      <c r="D13" s="128"/>
      <c r="E13" s="7">
        <v>865769.07615634811</v>
      </c>
      <c r="F13" s="8" t="s">
        <v>3</v>
      </c>
      <c r="G13" s="1"/>
    </row>
    <row r="14" spans="1:7" s="33" customFormat="1" x14ac:dyDescent="0.25">
      <c r="A14" s="32"/>
      <c r="B14" s="126" t="s">
        <v>35</v>
      </c>
      <c r="C14" s="127"/>
      <c r="D14" s="128"/>
      <c r="E14" s="37">
        <v>0</v>
      </c>
      <c r="F14" s="8" t="s">
        <v>3</v>
      </c>
      <c r="G14" s="1"/>
    </row>
    <row r="15" spans="1:7" s="33" customFormat="1" x14ac:dyDescent="0.25">
      <c r="A15" s="32"/>
      <c r="B15" s="126" t="s">
        <v>36</v>
      </c>
      <c r="C15" s="127"/>
      <c r="D15" s="128"/>
      <c r="E15" s="37">
        <v>50003.468700000005</v>
      </c>
      <c r="F15" s="8" t="s">
        <v>3</v>
      </c>
      <c r="G15" s="32"/>
    </row>
    <row r="16" spans="1:7" x14ac:dyDescent="0.25">
      <c r="A16" s="1"/>
      <c r="B16" s="114" t="s">
        <v>26</v>
      </c>
      <c r="C16" s="115"/>
      <c r="D16" s="116"/>
      <c r="E16" s="9">
        <v>0</v>
      </c>
      <c r="F16" s="8" t="s">
        <v>3</v>
      </c>
      <c r="G16" s="1"/>
    </row>
    <row r="17" spans="1:7" x14ac:dyDescent="0.25">
      <c r="A17" s="1"/>
      <c r="B17" s="114" t="s">
        <v>25</v>
      </c>
      <c r="C17" s="115"/>
      <c r="D17" s="116"/>
      <c r="E17" s="9">
        <v>0</v>
      </c>
      <c r="F17" s="8" t="s">
        <v>3</v>
      </c>
      <c r="G17" s="1"/>
    </row>
    <row r="18" spans="1:7" x14ac:dyDescent="0.25">
      <c r="A18" s="1"/>
      <c r="B18" s="114" t="s">
        <v>122</v>
      </c>
      <c r="C18" s="115"/>
      <c r="D18" s="116"/>
      <c r="E18" s="9">
        <v>0</v>
      </c>
      <c r="F18" s="8" t="s">
        <v>3</v>
      </c>
      <c r="G18" s="1"/>
    </row>
    <row r="19" spans="1:7" x14ac:dyDescent="0.25">
      <c r="A19" s="1"/>
      <c r="B19" s="114" t="s">
        <v>123</v>
      </c>
      <c r="C19" s="115"/>
      <c r="D19" s="116"/>
      <c r="E19" s="9">
        <v>0</v>
      </c>
      <c r="F19" s="8" t="s">
        <v>3</v>
      </c>
      <c r="G19" s="1"/>
    </row>
    <row r="20" spans="1:7" x14ac:dyDescent="0.25">
      <c r="A20" s="1"/>
      <c r="B20" s="114" t="s">
        <v>17</v>
      </c>
      <c r="C20" s="115"/>
      <c r="D20" s="116"/>
      <c r="E20" s="9">
        <v>287914.56469845452</v>
      </c>
      <c r="F20" s="8" t="s">
        <v>3</v>
      </c>
      <c r="G20" s="1"/>
    </row>
    <row r="21" spans="1:7" x14ac:dyDescent="0.25">
      <c r="A21" s="1"/>
      <c r="B21" s="114" t="s">
        <v>9</v>
      </c>
      <c r="C21" s="115"/>
      <c r="D21" s="116"/>
      <c r="E21" s="9">
        <v>0</v>
      </c>
      <c r="F21" s="8" t="s">
        <v>3</v>
      </c>
      <c r="G21" s="1"/>
    </row>
    <row r="22" spans="1:7" x14ac:dyDescent="0.25">
      <c r="A22" s="1"/>
      <c r="B22" s="114" t="s">
        <v>23</v>
      </c>
      <c r="C22" s="115"/>
      <c r="D22" s="116"/>
      <c r="E22" s="9">
        <f>-('Fane 4.1. Gen. krav - drift'!G41)</f>
        <v>-176813.71626414638</v>
      </c>
      <c r="F22" s="8" t="s">
        <v>3</v>
      </c>
      <c r="G22" s="1"/>
    </row>
    <row r="23" spans="1:7" x14ac:dyDescent="0.25">
      <c r="A23" s="1"/>
      <c r="B23" s="114" t="s">
        <v>24</v>
      </c>
      <c r="C23" s="115"/>
      <c r="D23" s="116"/>
      <c r="E23" s="9">
        <f>-('Fane 4.2. Gen. krav - anlæg'!G41)</f>
        <v>-104318.83097805412</v>
      </c>
      <c r="F23" s="8" t="s">
        <v>3</v>
      </c>
      <c r="G23" s="1"/>
    </row>
    <row r="24" spans="1:7" x14ac:dyDescent="0.25">
      <c r="A24" s="1"/>
      <c r="B24" s="132" t="s">
        <v>19</v>
      </c>
      <c r="C24" s="133"/>
      <c r="D24" s="134"/>
      <c r="E24" s="41">
        <f>SUM(E9,E14:E23)</f>
        <v>17285898.731163576</v>
      </c>
      <c r="F24" s="43" t="s">
        <v>3</v>
      </c>
      <c r="G24" s="1"/>
    </row>
    <row r="25" spans="1:7" x14ac:dyDescent="0.25">
      <c r="A25" s="1"/>
      <c r="B25" s="117" t="s">
        <v>11</v>
      </c>
      <c r="C25" s="118"/>
      <c r="D25" s="118"/>
      <c r="E25" s="66"/>
      <c r="F25" s="20"/>
      <c r="G25" s="1"/>
    </row>
    <row r="26" spans="1:7" x14ac:dyDescent="0.25">
      <c r="A26" s="1"/>
      <c r="B26" s="119" t="s">
        <v>11</v>
      </c>
      <c r="C26" s="120"/>
      <c r="D26" s="121"/>
      <c r="E26" s="10">
        <v>20396161.241466902</v>
      </c>
      <c r="F26" s="11" t="s">
        <v>3</v>
      </c>
      <c r="G26" s="1"/>
    </row>
    <row r="27" spans="1:7" x14ac:dyDescent="0.25">
      <c r="A27" s="1"/>
      <c r="B27" s="65" t="s">
        <v>84</v>
      </c>
      <c r="C27" s="66"/>
      <c r="D27" s="66"/>
      <c r="E27" s="66"/>
      <c r="F27" s="20"/>
      <c r="G27" s="1"/>
    </row>
    <row r="28" spans="1:7" ht="15" customHeight="1" x14ac:dyDescent="0.25">
      <c r="A28" s="1"/>
      <c r="B28" s="126" t="s">
        <v>80</v>
      </c>
      <c r="C28" s="127"/>
      <c r="D28" s="128"/>
      <c r="E28" s="9">
        <v>0</v>
      </c>
      <c r="F28" s="8" t="s">
        <v>3</v>
      </c>
      <c r="G28" s="1"/>
    </row>
    <row r="29" spans="1:7" x14ac:dyDescent="0.25">
      <c r="A29" s="1"/>
      <c r="B29" s="126" t="s">
        <v>81</v>
      </c>
      <c r="C29" s="127"/>
      <c r="D29" s="128"/>
      <c r="E29" s="9">
        <v>0</v>
      </c>
      <c r="F29" s="8" t="s">
        <v>3</v>
      </c>
      <c r="G29" s="1"/>
    </row>
    <row r="30" spans="1:7" x14ac:dyDescent="0.25">
      <c r="A30" s="1"/>
      <c r="B30" s="135" t="s">
        <v>85</v>
      </c>
      <c r="C30" s="136"/>
      <c r="D30" s="136"/>
      <c r="E30" s="10">
        <v>0</v>
      </c>
      <c r="F30" s="10" t="s">
        <v>3</v>
      </c>
      <c r="G30" s="1"/>
    </row>
    <row r="31" spans="1:7" x14ac:dyDescent="0.25">
      <c r="A31" s="1"/>
      <c r="B31" s="65" t="s">
        <v>142</v>
      </c>
      <c r="C31" s="66"/>
      <c r="D31" s="66"/>
      <c r="E31" s="66"/>
      <c r="F31" s="20"/>
      <c r="G31" s="1"/>
    </row>
    <row r="32" spans="1:7" x14ac:dyDescent="0.25">
      <c r="A32" s="1"/>
      <c r="B32" s="135" t="s">
        <v>143</v>
      </c>
      <c r="C32" s="136"/>
      <c r="D32" s="136"/>
      <c r="E32" s="10">
        <v>31098.633173199138</v>
      </c>
      <c r="F32" s="10" t="s">
        <v>3</v>
      </c>
      <c r="G32" s="1"/>
    </row>
    <row r="33" spans="1:7" x14ac:dyDescent="0.25">
      <c r="A33" s="1"/>
      <c r="B33" s="65" t="s">
        <v>206</v>
      </c>
      <c r="C33" s="66"/>
      <c r="D33" s="66"/>
      <c r="E33" s="66"/>
      <c r="F33" s="20"/>
      <c r="G33" s="1"/>
    </row>
    <row r="34" spans="1:7" ht="15.6" customHeight="1" x14ac:dyDescent="0.25">
      <c r="A34" s="1"/>
      <c r="B34" s="119" t="s">
        <v>205</v>
      </c>
      <c r="C34" s="120"/>
      <c r="D34" s="121"/>
      <c r="E34" s="10">
        <f>'Fane 8. Skattesagen'!G11</f>
        <v>0</v>
      </c>
      <c r="F34" s="11" t="s">
        <v>3</v>
      </c>
      <c r="G34" s="1"/>
    </row>
    <row r="35" spans="1:7" ht="15.6" customHeight="1" x14ac:dyDescent="0.25">
      <c r="A35" s="1"/>
      <c r="B35" s="45" t="s">
        <v>27</v>
      </c>
      <c r="C35" s="46"/>
      <c r="D35" s="66"/>
      <c r="E35" s="42">
        <f>SUM(E24,E26,E30,E32,E34)</f>
        <v>37713158.605803676</v>
      </c>
      <c r="F35" s="44" t="s">
        <v>3</v>
      </c>
      <c r="G35" s="1"/>
    </row>
    <row r="36" spans="1:7" ht="27.75" customHeight="1" x14ac:dyDescent="0.25">
      <c r="A36" s="1"/>
      <c r="B36" s="129" t="s">
        <v>181</v>
      </c>
      <c r="C36" s="130"/>
      <c r="D36" s="130"/>
      <c r="E36" s="130"/>
      <c r="F36" s="13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7hwduAI1/hEEbIPSGzQZ4CJALBjUJ5TJmaac2lrfG0dLojUmkE5ZnvhNp/ysEz86dXby9X2ns/IZ+QdcAWOueA==" saltValue="+/KVGynxesSqIIi087h56w==" spinCount="100000" sheet="1" objects="1" scenarios="1"/>
  <mergeCells count="25">
    <mergeCell ref="B36:F36"/>
    <mergeCell ref="B20:D20"/>
    <mergeCell ref="B21:D21"/>
    <mergeCell ref="B22:D22"/>
    <mergeCell ref="B23:D23"/>
    <mergeCell ref="B24:D24"/>
    <mergeCell ref="B29:D29"/>
    <mergeCell ref="B30:D30"/>
    <mergeCell ref="B32:D32"/>
    <mergeCell ref="B28:D28"/>
    <mergeCell ref="B34:D34"/>
    <mergeCell ref="B3:F4"/>
    <mergeCell ref="B9:D9"/>
    <mergeCell ref="B16:D16"/>
    <mergeCell ref="B14:D14"/>
    <mergeCell ref="B15:D15"/>
    <mergeCell ref="B10:D10"/>
    <mergeCell ref="B11:D11"/>
    <mergeCell ref="B12:D12"/>
    <mergeCell ref="B13:D13"/>
    <mergeCell ref="B17:D17"/>
    <mergeCell ref="B18:D18"/>
    <mergeCell ref="B19:D19"/>
    <mergeCell ref="B25:D25"/>
    <mergeCell ref="B26:D2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9"/>
  <sheetViews>
    <sheetView showGridLines="0" view="pageLayout" zoomScaleNormal="100" workbookViewId="0"/>
  </sheetViews>
  <sheetFormatPr defaultColWidth="9.140625" defaultRowHeight="15" x14ac:dyDescent="0.25"/>
  <cols>
    <col min="1" max="1" width="4.42578125" style="2" customWidth="1"/>
    <col min="2" max="5" width="9.140625" style="2"/>
    <col min="6" max="6" width="23" style="2" customWidth="1"/>
    <col min="7" max="7" width="11.7109375" style="2" bestFit="1" customWidth="1"/>
    <col min="8" max="8" width="2.85546875" style="2" customWidth="1"/>
    <col min="9" max="9" width="3.7109375" style="2" customWidth="1"/>
    <col min="10" max="16384" width="9.140625" style="2"/>
  </cols>
  <sheetData>
    <row r="1" spans="1:9" x14ac:dyDescent="0.25">
      <c r="A1" s="1"/>
      <c r="B1" s="1"/>
      <c r="C1" s="1"/>
      <c r="D1" s="1"/>
      <c r="E1" s="1"/>
      <c r="F1" s="1"/>
      <c r="G1" s="1"/>
      <c r="H1" s="1"/>
      <c r="I1" s="1"/>
    </row>
    <row r="2" spans="1:9" ht="15" customHeight="1" x14ac:dyDescent="0.25">
      <c r="A2" s="1"/>
      <c r="B2" s="122" t="s">
        <v>101</v>
      </c>
      <c r="C2" s="122"/>
      <c r="D2" s="122"/>
      <c r="E2" s="122"/>
      <c r="F2" s="122"/>
      <c r="G2" s="122"/>
      <c r="H2" s="122"/>
      <c r="I2" s="1"/>
    </row>
    <row r="3" spans="1:9" ht="15" customHeight="1" x14ac:dyDescent="0.25">
      <c r="A3" s="1"/>
      <c r="B3" s="122"/>
      <c r="C3" s="122"/>
      <c r="D3" s="122"/>
      <c r="E3" s="122"/>
      <c r="F3" s="122"/>
      <c r="G3" s="122"/>
      <c r="H3" s="122"/>
      <c r="I3" s="1"/>
    </row>
    <row r="4" spans="1:9" ht="15" customHeight="1" x14ac:dyDescent="0.25">
      <c r="A4" s="1"/>
      <c r="B4" s="122"/>
      <c r="C4" s="122"/>
      <c r="D4" s="122"/>
      <c r="E4" s="122"/>
      <c r="F4" s="122"/>
      <c r="G4" s="122"/>
      <c r="H4" s="122"/>
      <c r="I4" s="1"/>
    </row>
    <row r="5" spans="1:9" x14ac:dyDescent="0.25">
      <c r="A5" s="1"/>
      <c r="B5" s="143" t="s">
        <v>49</v>
      </c>
      <c r="C5" s="144"/>
      <c r="D5" s="144"/>
      <c r="E5" s="144"/>
      <c r="F5" s="144"/>
      <c r="G5" s="144"/>
      <c r="H5" s="146"/>
      <c r="I5" s="1"/>
    </row>
    <row r="6" spans="1:9" x14ac:dyDescent="0.25">
      <c r="A6" s="1"/>
      <c r="B6" s="142" t="s">
        <v>38</v>
      </c>
      <c r="C6" s="140"/>
      <c r="D6" s="140"/>
      <c r="E6" s="140"/>
      <c r="F6" s="141"/>
      <c r="G6" s="61">
        <v>8585973</v>
      </c>
      <c r="H6" s="14" t="s">
        <v>3</v>
      </c>
      <c r="I6" s="1"/>
    </row>
    <row r="7" spans="1:9" x14ac:dyDescent="0.25">
      <c r="A7" s="1"/>
      <c r="B7" s="142" t="s">
        <v>39</v>
      </c>
      <c r="C7" s="140"/>
      <c r="D7" s="140"/>
      <c r="E7" s="140"/>
      <c r="F7" s="141"/>
      <c r="G7" s="61">
        <f>G6*'Fane 13. Nøgletal'!C31</f>
        <v>171719.46</v>
      </c>
      <c r="H7" s="14" t="s">
        <v>3</v>
      </c>
      <c r="I7" s="1"/>
    </row>
    <row r="8" spans="1:9" x14ac:dyDescent="0.25">
      <c r="A8" s="1"/>
      <c r="B8" s="65"/>
      <c r="C8" s="66"/>
      <c r="D8" s="66"/>
      <c r="E8" s="66"/>
      <c r="F8" s="66"/>
      <c r="G8" s="62"/>
      <c r="H8" s="20"/>
      <c r="I8" s="1"/>
    </row>
    <row r="9" spans="1:9" x14ac:dyDescent="0.25">
      <c r="A9" s="1"/>
      <c r="B9" s="1"/>
      <c r="C9" s="1"/>
      <c r="D9" s="1"/>
      <c r="E9" s="1"/>
      <c r="F9" s="1"/>
      <c r="G9" s="63"/>
      <c r="H9" s="1"/>
      <c r="I9" s="1"/>
    </row>
    <row r="10" spans="1:9" x14ac:dyDescent="0.25">
      <c r="A10" s="1"/>
      <c r="B10" s="143" t="s">
        <v>50</v>
      </c>
      <c r="C10" s="144"/>
      <c r="D10" s="144"/>
      <c r="E10" s="144"/>
      <c r="F10" s="144"/>
      <c r="G10" s="145"/>
      <c r="H10" s="146"/>
      <c r="I10" s="1"/>
    </row>
    <row r="11" spans="1:9" x14ac:dyDescent="0.25">
      <c r="A11" s="1"/>
      <c r="B11" s="142" t="s">
        <v>40</v>
      </c>
      <c r="C11" s="140"/>
      <c r="D11" s="140"/>
      <c r="E11" s="140"/>
      <c r="F11" s="141"/>
      <c r="G11" s="61">
        <f>(G6-G7)*(1+'Fane 13. Nøgletal'!C9)</f>
        <v>8521114.5599579979</v>
      </c>
      <c r="H11" s="14" t="s">
        <v>3</v>
      </c>
      <c r="I11" s="1"/>
    </row>
    <row r="12" spans="1:9" x14ac:dyDescent="0.25">
      <c r="A12" s="1"/>
      <c r="B12" s="147" t="s">
        <v>41</v>
      </c>
      <c r="C12" s="148"/>
      <c r="D12" s="148"/>
      <c r="E12" s="148"/>
      <c r="F12" s="149"/>
      <c r="G12" s="61">
        <v>0</v>
      </c>
      <c r="H12" s="14" t="s">
        <v>3</v>
      </c>
      <c r="I12" s="1"/>
    </row>
    <row r="13" spans="1:9" x14ac:dyDescent="0.25">
      <c r="A13" s="1"/>
      <c r="B13" s="142" t="s">
        <v>42</v>
      </c>
      <c r="C13" s="140"/>
      <c r="D13" s="140"/>
      <c r="E13" s="140"/>
      <c r="F13" s="141"/>
      <c r="G13" s="61">
        <f>(G11+G12)*'Fane 13. Nøgletal'!C31</f>
        <v>170422.29119915995</v>
      </c>
      <c r="H13" s="14" t="s">
        <v>3</v>
      </c>
      <c r="I13" s="1"/>
    </row>
    <row r="14" spans="1:9" x14ac:dyDescent="0.25">
      <c r="A14" s="1"/>
      <c r="B14" s="65"/>
      <c r="C14" s="66"/>
      <c r="D14" s="66"/>
      <c r="E14" s="66"/>
      <c r="F14" s="66"/>
      <c r="G14" s="62"/>
      <c r="H14" s="20"/>
      <c r="I14" s="1"/>
    </row>
    <row r="15" spans="1:9" x14ac:dyDescent="0.25">
      <c r="A15" s="1"/>
      <c r="B15" s="1"/>
      <c r="C15" s="1"/>
      <c r="D15" s="1"/>
      <c r="E15" s="1"/>
      <c r="F15" s="1"/>
      <c r="G15" s="63"/>
      <c r="H15" s="1"/>
      <c r="I15" s="1"/>
    </row>
    <row r="16" spans="1:9" x14ac:dyDescent="0.25">
      <c r="A16" s="1"/>
      <c r="B16" s="143" t="s">
        <v>51</v>
      </c>
      <c r="C16" s="144"/>
      <c r="D16" s="144"/>
      <c r="E16" s="144"/>
      <c r="F16" s="144"/>
      <c r="G16" s="145"/>
      <c r="H16" s="146"/>
      <c r="I16" s="1"/>
    </row>
    <row r="17" spans="1:9" x14ac:dyDescent="0.25">
      <c r="A17" s="1"/>
      <c r="B17" s="142" t="s">
        <v>43</v>
      </c>
      <c r="C17" s="140"/>
      <c r="D17" s="140"/>
      <c r="E17" s="140"/>
      <c r="F17" s="141"/>
      <c r="G17" s="61">
        <f>(G11+G12-G13)*(1+'Fane 13. Nøgletal'!C11)</f>
        <v>8491818.9681008626</v>
      </c>
      <c r="H17" s="14" t="s">
        <v>3</v>
      </c>
      <c r="I17" s="1"/>
    </row>
    <row r="18" spans="1:9" x14ac:dyDescent="0.25">
      <c r="A18" s="1"/>
      <c r="B18" s="142" t="s">
        <v>119</v>
      </c>
      <c r="C18" s="140"/>
      <c r="D18" s="140"/>
      <c r="E18" s="140"/>
      <c r="F18" s="141"/>
      <c r="G18" s="61">
        <v>-641591.96044849104</v>
      </c>
      <c r="H18" s="14" t="s">
        <v>3</v>
      </c>
      <c r="I18" s="1"/>
    </row>
    <row r="19" spans="1:9" x14ac:dyDescent="0.25">
      <c r="A19" s="1"/>
      <c r="B19" s="147" t="s">
        <v>44</v>
      </c>
      <c r="C19" s="148"/>
      <c r="D19" s="148"/>
      <c r="E19" s="148"/>
      <c r="F19" s="149"/>
      <c r="G19" s="61">
        <v>0</v>
      </c>
      <c r="H19" s="14" t="s">
        <v>3</v>
      </c>
      <c r="I19" s="1"/>
    </row>
    <row r="20" spans="1:9" x14ac:dyDescent="0.25">
      <c r="A20" s="1"/>
      <c r="B20" s="142" t="s">
        <v>45</v>
      </c>
      <c r="C20" s="140"/>
      <c r="D20" s="140"/>
      <c r="E20" s="140"/>
      <c r="F20" s="141"/>
      <c r="G20" s="61">
        <f>SUM(G17:G19)*'Fane 13. Nøgletal'!C31</f>
        <v>157004.54015304742</v>
      </c>
      <c r="H20" s="14" t="s">
        <v>3</v>
      </c>
      <c r="I20" s="1"/>
    </row>
    <row r="21" spans="1:9" x14ac:dyDescent="0.25">
      <c r="A21" s="1"/>
      <c r="B21" s="65"/>
      <c r="C21" s="66"/>
      <c r="D21" s="66"/>
      <c r="E21" s="66"/>
      <c r="F21" s="66"/>
      <c r="G21" s="62"/>
      <c r="H21" s="20"/>
      <c r="I21" s="1"/>
    </row>
    <row r="22" spans="1:9" x14ac:dyDescent="0.25">
      <c r="A22" s="1"/>
      <c r="B22" s="1"/>
      <c r="C22" s="1"/>
      <c r="D22" s="1"/>
      <c r="E22" s="1"/>
      <c r="F22" s="1"/>
      <c r="G22" s="63"/>
      <c r="H22" s="1"/>
      <c r="I22" s="1"/>
    </row>
    <row r="23" spans="1:9" x14ac:dyDescent="0.25">
      <c r="A23" s="1"/>
      <c r="B23" s="143" t="s">
        <v>52</v>
      </c>
      <c r="C23" s="144"/>
      <c r="D23" s="144"/>
      <c r="E23" s="144"/>
      <c r="F23" s="144"/>
      <c r="G23" s="145"/>
      <c r="H23" s="146"/>
      <c r="I23" s="1"/>
    </row>
    <row r="24" spans="1:9" x14ac:dyDescent="0.25">
      <c r="A24" s="1"/>
      <c r="B24" s="142" t="s">
        <v>46</v>
      </c>
      <c r="C24" s="140"/>
      <c r="D24" s="140"/>
      <c r="E24" s="140"/>
      <c r="F24" s="141"/>
      <c r="G24" s="61">
        <f>(G17+G18+G19-G20)*(1+'Fane 13. Nøgletal'!C11)</f>
        <v>7823237.9272000622</v>
      </c>
      <c r="H24" s="14" t="s">
        <v>3</v>
      </c>
      <c r="I24" s="1"/>
    </row>
    <row r="25" spans="1:9" x14ac:dyDescent="0.25">
      <c r="A25" s="1"/>
      <c r="B25" s="147" t="s">
        <v>47</v>
      </c>
      <c r="C25" s="148"/>
      <c r="D25" s="148"/>
      <c r="E25" s="148"/>
      <c r="F25" s="149"/>
      <c r="G25" s="61">
        <v>542070.64538352005</v>
      </c>
      <c r="H25" s="14" t="s">
        <v>3</v>
      </c>
      <c r="I25" s="1"/>
    </row>
    <row r="26" spans="1:9" x14ac:dyDescent="0.25">
      <c r="A26" s="1"/>
      <c r="B26" s="142" t="s">
        <v>48</v>
      </c>
      <c r="C26" s="140"/>
      <c r="D26" s="140"/>
      <c r="E26" s="140"/>
      <c r="F26" s="141"/>
      <c r="G26" s="61">
        <f>(G24+G25)*'Fane 13. Nøgletal'!C31</f>
        <v>167306.17145167166</v>
      </c>
      <c r="H26" s="14" t="s">
        <v>3</v>
      </c>
      <c r="I26" s="1"/>
    </row>
    <row r="27" spans="1:9" x14ac:dyDescent="0.25">
      <c r="A27" s="1"/>
      <c r="B27" s="65"/>
      <c r="C27" s="66"/>
      <c r="D27" s="66"/>
      <c r="E27" s="66"/>
      <c r="F27" s="66"/>
      <c r="G27" s="62"/>
      <c r="H27" s="20"/>
      <c r="I27" s="1"/>
    </row>
    <row r="28" spans="1:9" x14ac:dyDescent="0.25">
      <c r="A28" s="1"/>
      <c r="B28" s="1"/>
      <c r="C28" s="1"/>
      <c r="D28" s="1"/>
      <c r="E28" s="1"/>
      <c r="F28" s="1"/>
      <c r="G28" s="63"/>
      <c r="H28" s="1"/>
      <c r="I28" s="1"/>
    </row>
    <row r="29" spans="1:9" x14ac:dyDescent="0.25">
      <c r="A29" s="1"/>
      <c r="B29" s="143" t="s">
        <v>55</v>
      </c>
      <c r="C29" s="144"/>
      <c r="D29" s="144"/>
      <c r="E29" s="144"/>
      <c r="F29" s="144"/>
      <c r="G29" s="145"/>
      <c r="H29" s="146"/>
      <c r="I29" s="1"/>
    </row>
    <row r="30" spans="1:9" x14ac:dyDescent="0.25">
      <c r="A30" s="1"/>
      <c r="B30" s="142" t="s">
        <v>56</v>
      </c>
      <c r="C30" s="140"/>
      <c r="D30" s="140"/>
      <c r="E30" s="140"/>
      <c r="F30" s="141"/>
      <c r="G30" s="61">
        <f>G24*(1-'Fane 13. Nøgletal'!C31)*(1+'Fane 13. Nøgletal'!C11)+G25*(1-'Fane 13. Nøgletal'!C31)*(1+'Fane 13. Nøgletal'!C12)</f>
        <v>8338036.0835619718</v>
      </c>
      <c r="H30" s="14" t="s">
        <v>3</v>
      </c>
      <c r="I30" s="1"/>
    </row>
    <row r="31" spans="1:9" x14ac:dyDescent="0.25">
      <c r="A31" s="1"/>
      <c r="B31" s="137" t="s">
        <v>115</v>
      </c>
      <c r="C31" s="138"/>
      <c r="D31" s="138"/>
      <c r="E31" s="138"/>
      <c r="F31" s="139"/>
      <c r="G31" s="61">
        <f>G25*(1-'Fane 13. Nøgletal'!C31)*(1+'Fane 13. Nøgletal'!C12)</f>
        <v>541694.44835562399</v>
      </c>
      <c r="H31" s="14" t="s">
        <v>3</v>
      </c>
      <c r="I31" s="1"/>
    </row>
    <row r="32" spans="1:9" x14ac:dyDescent="0.25">
      <c r="A32" s="1"/>
      <c r="B32" s="142" t="s">
        <v>132</v>
      </c>
      <c r="C32" s="140"/>
      <c r="D32" s="140"/>
      <c r="E32" s="140"/>
      <c r="F32" s="141"/>
      <c r="G32" s="61">
        <v>534125.99765952001</v>
      </c>
      <c r="H32" s="14" t="s">
        <v>3</v>
      </c>
      <c r="I32" s="1"/>
    </row>
    <row r="33" spans="1:9" x14ac:dyDescent="0.25">
      <c r="A33" s="1"/>
      <c r="B33" s="142" t="s">
        <v>57</v>
      </c>
      <c r="C33" s="140"/>
      <c r="D33" s="140"/>
      <c r="E33" s="140"/>
      <c r="F33" s="141"/>
      <c r="G33" s="61">
        <f>(G30+G32)*'Fane 13. Nøgletal'!C31</f>
        <v>177443.24162442982</v>
      </c>
      <c r="H33" s="14" t="s">
        <v>3</v>
      </c>
      <c r="I33" s="1"/>
    </row>
    <row r="34" spans="1:9" x14ac:dyDescent="0.25">
      <c r="A34" s="1"/>
      <c r="B34" s="65"/>
      <c r="C34" s="66"/>
      <c r="D34" s="66"/>
      <c r="E34" s="66"/>
      <c r="F34" s="66"/>
      <c r="G34" s="62"/>
      <c r="H34" s="20"/>
      <c r="I34" s="1"/>
    </row>
    <row r="35" spans="1:9" x14ac:dyDescent="0.25">
      <c r="A35" s="1"/>
      <c r="B35" s="1"/>
      <c r="C35" s="1"/>
      <c r="D35" s="1"/>
      <c r="E35" s="1"/>
      <c r="F35" s="1"/>
      <c r="G35" s="63"/>
      <c r="H35" s="1"/>
      <c r="I35" s="1"/>
    </row>
    <row r="36" spans="1:9" x14ac:dyDescent="0.25">
      <c r="A36" s="1"/>
      <c r="B36" s="143" t="s">
        <v>100</v>
      </c>
      <c r="C36" s="144"/>
      <c r="D36" s="144"/>
      <c r="E36" s="144"/>
      <c r="F36" s="144"/>
      <c r="G36" s="145"/>
      <c r="H36" s="146"/>
      <c r="I36" s="1"/>
    </row>
    <row r="37" spans="1:9" x14ac:dyDescent="0.25">
      <c r="A37" s="1"/>
      <c r="B37" s="142" t="s">
        <v>78</v>
      </c>
      <c r="C37" s="140"/>
      <c r="D37" s="140"/>
      <c r="E37" s="140"/>
      <c r="F37" s="141"/>
      <c r="G37" s="61">
        <f>(G30-G31)*(1-'Fane 13. Nøgletal'!C31)*(1+'Fane 13. Nøgletal'!C11)+G31*(1-'Fane 13. Nøgletal'!C31)*(1+'Fane 13. Nøgletal'!C12)+G32*(1-'Fane 13. Nøgletal'!C31)*(1+'Fane 13. Nøgletal'!C13)</f>
        <v>8840685.813207319</v>
      </c>
      <c r="H37" s="14" t="s">
        <v>3</v>
      </c>
      <c r="I37" s="1"/>
    </row>
    <row r="38" spans="1:9" x14ac:dyDescent="0.25">
      <c r="A38" s="1"/>
      <c r="B38" s="137" t="s">
        <v>115</v>
      </c>
      <c r="C38" s="138"/>
      <c r="D38" s="138"/>
      <c r="E38" s="138"/>
      <c r="F38" s="139"/>
      <c r="G38" s="61">
        <f>G31*(1-'Fane 13. Nøgletal'!C31)*(1+'Fane 13. Nøgletal'!C12)</f>
        <v>541318.51240846515</v>
      </c>
      <c r="H38" s="14" t="s">
        <v>3</v>
      </c>
      <c r="I38" s="1"/>
    </row>
    <row r="39" spans="1:9" x14ac:dyDescent="0.25">
      <c r="A39" s="1"/>
      <c r="B39" s="137" t="s">
        <v>136</v>
      </c>
      <c r="C39" s="140"/>
      <c r="D39" s="140"/>
      <c r="E39" s="140"/>
      <c r="F39" s="141"/>
      <c r="G39" s="61">
        <f>G32*(1-'Fane 13. Nøgletal'!C31)*(1+'Fane 13. Nøgletal'!C13)</f>
        <v>529829.48813434679</v>
      </c>
      <c r="H39" s="14" t="s">
        <v>3</v>
      </c>
      <c r="I39" s="1"/>
    </row>
    <row r="40" spans="1:9" x14ac:dyDescent="0.25">
      <c r="A40" s="1"/>
      <c r="B40" s="142" t="s">
        <v>159</v>
      </c>
      <c r="C40" s="140"/>
      <c r="D40" s="140"/>
      <c r="E40" s="140"/>
      <c r="F40" s="141"/>
      <c r="G40" s="61">
        <v>0</v>
      </c>
      <c r="H40" s="14" t="s">
        <v>3</v>
      </c>
      <c r="I40" s="1"/>
    </row>
    <row r="41" spans="1:9" x14ac:dyDescent="0.25">
      <c r="A41" s="1"/>
      <c r="B41" s="142" t="s">
        <v>116</v>
      </c>
      <c r="C41" s="140"/>
      <c r="D41" s="140"/>
      <c r="E41" s="140"/>
      <c r="F41" s="141"/>
      <c r="G41" s="61">
        <f>(G37+G40)*'Fane 13. Nøgletal'!C31</f>
        <v>176813.71626414638</v>
      </c>
      <c r="H41" s="14" t="s">
        <v>3</v>
      </c>
      <c r="I41" s="1"/>
    </row>
    <row r="42" spans="1:9" x14ac:dyDescent="0.25">
      <c r="A42" s="1"/>
      <c r="B42" s="65"/>
      <c r="C42" s="66"/>
      <c r="D42" s="66"/>
      <c r="E42" s="66"/>
      <c r="F42" s="66"/>
      <c r="G42" s="62"/>
      <c r="H42" s="20"/>
      <c r="I42" s="1"/>
    </row>
    <row r="43" spans="1:9" x14ac:dyDescent="0.25">
      <c r="A43" s="1"/>
      <c r="B43" s="1"/>
      <c r="C43" s="1"/>
      <c r="D43" s="1"/>
      <c r="E43" s="1"/>
      <c r="F43" s="1"/>
      <c r="G43" s="63"/>
      <c r="H43" s="1"/>
      <c r="I43" s="1"/>
    </row>
    <row r="44" spans="1:9" x14ac:dyDescent="0.25">
      <c r="A44" s="1"/>
      <c r="B44" s="143" t="s">
        <v>216</v>
      </c>
      <c r="C44" s="144"/>
      <c r="D44" s="144"/>
      <c r="E44" s="144"/>
      <c r="F44" s="144"/>
      <c r="G44" s="145"/>
      <c r="H44" s="146"/>
      <c r="I44" s="1"/>
    </row>
    <row r="45" spans="1:9" x14ac:dyDescent="0.25">
      <c r="A45" s="1"/>
      <c r="B45" s="142" t="s">
        <v>77</v>
      </c>
      <c r="C45" s="140"/>
      <c r="D45" s="140"/>
      <c r="E45" s="140"/>
      <c r="F45" s="141"/>
      <c r="G45" s="61">
        <f>(G37+G40-G41)*(1+'Fane 13. Nøgletal'!C15)</f>
        <v>8972305.9435943514</v>
      </c>
      <c r="H45" s="14" t="s">
        <v>3</v>
      </c>
      <c r="I45" s="1"/>
    </row>
    <row r="46" spans="1:9" x14ac:dyDescent="0.25">
      <c r="A46" s="1"/>
      <c r="B46" s="74" t="s">
        <v>207</v>
      </c>
      <c r="C46" s="75"/>
      <c r="D46" s="75"/>
      <c r="E46" s="75"/>
      <c r="F46" s="76"/>
      <c r="G46" s="61">
        <f>SUM('Fane 2.1. Økonomisk ramme 2023'!C10,'Fane 2.1. Økonomisk ramme 2023'!C14,-'Fane 12. Bortfald'!C13)*(1+'Fane 13. Nøgletal'!C15)</f>
        <v>0</v>
      </c>
      <c r="H46" s="14" t="s">
        <v>3</v>
      </c>
      <c r="I46" s="1"/>
    </row>
    <row r="47" spans="1:9" x14ac:dyDescent="0.25">
      <c r="A47" s="1"/>
      <c r="B47" s="142" t="s">
        <v>208</v>
      </c>
      <c r="C47" s="140"/>
      <c r="D47" s="140"/>
      <c r="E47" s="140"/>
      <c r="F47" s="141"/>
      <c r="G47" s="61">
        <f>(G45+G46)*'Fane 13. Nøgletal'!C31</f>
        <v>179446.11887188704</v>
      </c>
      <c r="H47" s="14" t="s">
        <v>3</v>
      </c>
      <c r="I47" s="1"/>
    </row>
    <row r="48" spans="1:9" x14ac:dyDescent="0.25">
      <c r="A48" s="1"/>
      <c r="B48" s="65"/>
      <c r="C48" s="66"/>
      <c r="D48" s="66"/>
      <c r="E48" s="66"/>
      <c r="F48" s="66"/>
      <c r="G48" s="62"/>
      <c r="H48" s="20"/>
      <c r="I48" s="1"/>
    </row>
    <row r="49" spans="1:9" x14ac:dyDescent="0.25">
      <c r="A49" s="1"/>
      <c r="B49" s="1"/>
      <c r="C49" s="1"/>
      <c r="D49" s="1"/>
      <c r="E49" s="1"/>
      <c r="F49" s="1"/>
      <c r="G49" s="63"/>
      <c r="H49" s="1"/>
      <c r="I49" s="1"/>
    </row>
    <row r="50" spans="1:9" x14ac:dyDescent="0.25">
      <c r="A50" s="1"/>
      <c r="B50" s="1"/>
      <c r="C50" s="1"/>
      <c r="D50" s="1"/>
      <c r="E50" s="1"/>
      <c r="F50" s="1"/>
      <c r="G50" s="63"/>
      <c r="H50" s="1"/>
      <c r="I50" s="1"/>
    </row>
    <row r="51" spans="1:9" x14ac:dyDescent="0.25">
      <c r="A51" s="1"/>
      <c r="B51" s="1"/>
      <c r="C51" s="1"/>
      <c r="D51" s="1"/>
      <c r="E51" s="1"/>
      <c r="F51" s="1"/>
      <c r="G51" s="63"/>
      <c r="H51" s="1"/>
      <c r="I51" s="1"/>
    </row>
    <row r="52" spans="1:9" x14ac:dyDescent="0.25">
      <c r="A52" s="1"/>
      <c r="B52" s="1"/>
      <c r="C52" s="1"/>
      <c r="D52" s="1"/>
      <c r="E52" s="1"/>
      <c r="F52" s="1"/>
      <c r="G52" s="63"/>
      <c r="H52" s="1"/>
      <c r="I52" s="1"/>
    </row>
    <row r="53" spans="1:9" x14ac:dyDescent="0.25">
      <c r="A53" s="1"/>
      <c r="B53" s="143" t="s">
        <v>215</v>
      </c>
      <c r="C53" s="144"/>
      <c r="D53" s="144"/>
      <c r="E53" s="144"/>
      <c r="F53" s="144"/>
      <c r="G53" s="145"/>
      <c r="H53" s="146"/>
      <c r="I53" s="1"/>
    </row>
    <row r="54" spans="1:9" x14ac:dyDescent="0.25">
      <c r="A54" s="1"/>
      <c r="B54" s="142" t="s">
        <v>133</v>
      </c>
      <c r="C54" s="140"/>
      <c r="D54" s="140"/>
      <c r="E54" s="140"/>
      <c r="F54" s="141"/>
      <c r="G54" s="61">
        <f>(G45+G46-G47)*(1+'Fane 13. Nøgletal'!C15)</f>
        <v>9105885.6344825849</v>
      </c>
      <c r="H54" s="14" t="s">
        <v>3</v>
      </c>
      <c r="I54" s="1"/>
    </row>
    <row r="55" spans="1:9" x14ac:dyDescent="0.25">
      <c r="A55" s="1"/>
      <c r="B55" s="142" t="s">
        <v>134</v>
      </c>
      <c r="C55" s="140"/>
      <c r="D55" s="140"/>
      <c r="E55" s="140"/>
      <c r="F55" s="141"/>
      <c r="G55" s="61">
        <f>(G54)*'Fane 13. Nøgletal'!C31</f>
        <v>182117.7126896517</v>
      </c>
      <c r="H55" s="14" t="s">
        <v>3</v>
      </c>
      <c r="I55" s="1"/>
    </row>
    <row r="56" spans="1:9" x14ac:dyDescent="0.25">
      <c r="A56" s="1"/>
      <c r="B56" s="65"/>
      <c r="C56" s="66"/>
      <c r="D56" s="66"/>
      <c r="E56" s="66"/>
      <c r="F56" s="66"/>
      <c r="G56" s="62"/>
      <c r="H56" s="20"/>
      <c r="I56" s="1"/>
    </row>
    <row r="57" spans="1:9" x14ac:dyDescent="0.25">
      <c r="A57" s="1"/>
      <c r="B57" s="1"/>
      <c r="C57" s="1"/>
      <c r="D57" s="1"/>
      <c r="E57" s="1"/>
      <c r="F57" s="1"/>
      <c r="G57" s="63"/>
      <c r="H57" s="1"/>
      <c r="I57" s="1"/>
    </row>
    <row r="58" spans="1:9" x14ac:dyDescent="0.25">
      <c r="A58" s="1"/>
      <c r="B58" s="143" t="s">
        <v>149</v>
      </c>
      <c r="C58" s="144"/>
      <c r="D58" s="144"/>
      <c r="E58" s="144"/>
      <c r="F58" s="144"/>
      <c r="G58" s="145"/>
      <c r="H58" s="146"/>
      <c r="I58" s="1"/>
    </row>
    <row r="59" spans="1:9" x14ac:dyDescent="0.25">
      <c r="A59" s="1"/>
      <c r="B59" s="142" t="s">
        <v>150</v>
      </c>
      <c r="C59" s="140"/>
      <c r="D59" s="140"/>
      <c r="E59" s="140"/>
      <c r="F59" s="141"/>
      <c r="G59" s="61">
        <f>(G54-G55)*(1+'Fane 13. Nøgletal'!C15)</f>
        <v>9241454.0598087627</v>
      </c>
      <c r="H59" s="14" t="s">
        <v>3</v>
      </c>
      <c r="I59" s="1"/>
    </row>
    <row r="60" spans="1:9" x14ac:dyDescent="0.25">
      <c r="A60" s="1"/>
      <c r="B60" s="142" t="s">
        <v>151</v>
      </c>
      <c r="C60" s="140"/>
      <c r="D60" s="140"/>
      <c r="E60" s="140"/>
      <c r="F60" s="141"/>
      <c r="G60" s="61">
        <f>(G59)*'Fane 13. Nøgletal'!C31</f>
        <v>184829.08119617525</v>
      </c>
      <c r="H60" s="14" t="s">
        <v>3</v>
      </c>
      <c r="I60" s="1"/>
    </row>
    <row r="61" spans="1:9" x14ac:dyDescent="0.25">
      <c r="A61" s="1"/>
      <c r="B61" s="65"/>
      <c r="C61" s="66"/>
      <c r="D61" s="66"/>
      <c r="E61" s="66"/>
      <c r="F61" s="66"/>
      <c r="G61" s="62"/>
      <c r="H61" s="20"/>
      <c r="I61" s="1"/>
    </row>
    <row r="62" spans="1:9" x14ac:dyDescent="0.25">
      <c r="A62" s="1"/>
      <c r="B62" s="1"/>
      <c r="C62" s="1"/>
      <c r="D62" s="1"/>
      <c r="E62" s="1"/>
      <c r="F62" s="1"/>
      <c r="G62" s="63"/>
      <c r="H62" s="1"/>
      <c r="I62" s="1"/>
    </row>
    <row r="63" spans="1:9" x14ac:dyDescent="0.25">
      <c r="A63" s="1"/>
      <c r="B63" s="143" t="s">
        <v>182</v>
      </c>
      <c r="C63" s="144"/>
      <c r="D63" s="144"/>
      <c r="E63" s="144"/>
      <c r="F63" s="144"/>
      <c r="G63" s="145"/>
      <c r="H63" s="146"/>
      <c r="I63" s="1"/>
    </row>
    <row r="64" spans="1:9" x14ac:dyDescent="0.25">
      <c r="A64" s="1"/>
      <c r="B64" s="142" t="s">
        <v>183</v>
      </c>
      <c r="C64" s="140"/>
      <c r="D64" s="140"/>
      <c r="E64" s="140"/>
      <c r="F64" s="141"/>
      <c r="G64" s="61">
        <f>(G59-G60)*(1+'Fane 13. Nøgletal'!C15)</f>
        <v>9379040.8278511949</v>
      </c>
      <c r="H64" s="14" t="s">
        <v>3</v>
      </c>
      <c r="I64" s="1"/>
    </row>
    <row r="65" spans="1:9" x14ac:dyDescent="0.25">
      <c r="A65" s="1"/>
      <c r="B65" s="142" t="s">
        <v>184</v>
      </c>
      <c r="C65" s="140"/>
      <c r="D65" s="140"/>
      <c r="E65" s="140"/>
      <c r="F65" s="141"/>
      <c r="G65" s="61">
        <f>(G64)*'Fane 13. Nøgletal'!C31</f>
        <v>187580.81655702391</v>
      </c>
      <c r="H65" s="14" t="s">
        <v>3</v>
      </c>
      <c r="I65" s="1"/>
    </row>
    <row r="66" spans="1:9" x14ac:dyDescent="0.25">
      <c r="A66" s="1"/>
      <c r="B66" s="65"/>
      <c r="C66" s="66"/>
      <c r="D66" s="66"/>
      <c r="E66" s="66"/>
      <c r="F66" s="66"/>
      <c r="G66" s="66"/>
      <c r="H66" s="20"/>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sheetData>
  <sheetProtection algorithmName="SHA-512" hashValue="jRhuC1JNZmrJq5oYkGk0kHO9IJumAeyjenOUG/2z44aqPzoh+bq85vbwX9vn6o6JyxzjbjVA11kbpOwTjR4DnA==" saltValue="l3Qf9UfAYfSBMegDYMPz0Q==" spinCount="100000" sheet="1" objects="1" scenarios="1"/>
  <mergeCells count="40">
    <mergeCell ref="B63:H63"/>
    <mergeCell ref="B64:F64"/>
    <mergeCell ref="B65:F65"/>
    <mergeCell ref="B2:H4"/>
    <mergeCell ref="B5:H5"/>
    <mergeCell ref="B6:F6"/>
    <mergeCell ref="B7:F7"/>
    <mergeCell ref="B11:F11"/>
    <mergeCell ref="B10:H10"/>
    <mergeCell ref="B16:H16"/>
    <mergeCell ref="B23:H23"/>
    <mergeCell ref="B12:F12"/>
    <mergeCell ref="B13:F13"/>
    <mergeCell ref="B17:F17"/>
    <mergeCell ref="B19:F19"/>
    <mergeCell ref="B18:F18"/>
    <mergeCell ref="B20:F20"/>
    <mergeCell ref="B24:F24"/>
    <mergeCell ref="B25:F25"/>
    <mergeCell ref="B26:F26"/>
    <mergeCell ref="B37:F37"/>
    <mergeCell ref="B32:F32"/>
    <mergeCell ref="B33:F33"/>
    <mergeCell ref="B31:F31"/>
    <mergeCell ref="B29:H29"/>
    <mergeCell ref="B30:F30"/>
    <mergeCell ref="B36:H36"/>
    <mergeCell ref="B38:F38"/>
    <mergeCell ref="B39:F39"/>
    <mergeCell ref="B60:F60"/>
    <mergeCell ref="B59:F59"/>
    <mergeCell ref="B58:H58"/>
    <mergeCell ref="B53:H53"/>
    <mergeCell ref="B54:F54"/>
    <mergeCell ref="B55:F55"/>
    <mergeCell ref="B44:H44"/>
    <mergeCell ref="B45:F45"/>
    <mergeCell ref="B47:F47"/>
    <mergeCell ref="B40:F40"/>
    <mergeCell ref="B41:F4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7"/>
  <sheetViews>
    <sheetView showGridLines="0" view="pageLayout" zoomScaleNormal="100" workbookViewId="0"/>
  </sheetViews>
  <sheetFormatPr defaultColWidth="9.140625" defaultRowHeight="15" x14ac:dyDescent="0.25"/>
  <cols>
    <col min="1" max="1" width="4.85546875" style="2" customWidth="1"/>
    <col min="2" max="5" width="9.140625" style="2"/>
    <col min="6" max="6" width="19.85546875" style="2" customWidth="1"/>
    <col min="7" max="7" width="16.85546875" style="2" customWidth="1"/>
    <col min="8" max="8" width="3.28515625" style="2" customWidth="1"/>
    <col min="9" max="9" width="4.85546875" style="2" customWidth="1"/>
    <col min="10" max="16384" width="9.140625" style="2"/>
  </cols>
  <sheetData>
    <row r="1" spans="1:9" ht="14.25" customHeight="1" x14ac:dyDescent="0.25">
      <c r="A1" s="1"/>
      <c r="B1" s="30"/>
      <c r="C1" s="30"/>
      <c r="D1" s="30"/>
      <c r="E1" s="30"/>
      <c r="F1" s="30"/>
      <c r="G1" s="30"/>
      <c r="H1" s="30"/>
      <c r="I1" s="1"/>
    </row>
    <row r="2" spans="1:9" ht="21" customHeight="1" x14ac:dyDescent="0.25">
      <c r="A2" s="1"/>
      <c r="B2" s="122" t="s">
        <v>102</v>
      </c>
      <c r="C2" s="122"/>
      <c r="D2" s="122"/>
      <c r="E2" s="122"/>
      <c r="F2" s="122"/>
      <c r="G2" s="122"/>
      <c r="H2" s="122"/>
      <c r="I2" s="1"/>
    </row>
    <row r="3" spans="1:9" ht="18" customHeight="1" x14ac:dyDescent="0.25">
      <c r="A3" s="1"/>
      <c r="B3" s="122"/>
      <c r="C3" s="122"/>
      <c r="D3" s="122"/>
      <c r="E3" s="122"/>
      <c r="F3" s="122"/>
      <c r="G3" s="122"/>
      <c r="H3" s="122"/>
      <c r="I3" s="1"/>
    </row>
    <row r="4" spans="1:9" ht="14.25" customHeight="1" x14ac:dyDescent="0.25">
      <c r="A4" s="1"/>
      <c r="B4" s="31"/>
      <c r="C4" s="31"/>
      <c r="D4" s="31"/>
      <c r="E4" s="31"/>
      <c r="F4" s="31"/>
      <c r="G4" s="31"/>
      <c r="H4" s="31"/>
      <c r="I4" s="1"/>
    </row>
    <row r="5" spans="1:9" x14ac:dyDescent="0.25">
      <c r="A5" s="1"/>
      <c r="B5" s="143" t="s">
        <v>53</v>
      </c>
      <c r="C5" s="144"/>
      <c r="D5" s="144"/>
      <c r="E5" s="144"/>
      <c r="F5" s="144"/>
      <c r="G5" s="144"/>
      <c r="H5" s="146"/>
      <c r="I5" s="1"/>
    </row>
    <row r="6" spans="1:9" x14ac:dyDescent="0.25">
      <c r="A6" s="1"/>
      <c r="B6" s="142" t="s">
        <v>58</v>
      </c>
      <c r="C6" s="140"/>
      <c r="D6" s="140"/>
      <c r="E6" s="140"/>
      <c r="F6" s="141"/>
      <c r="G6" s="61">
        <v>6879359</v>
      </c>
      <c r="H6" s="14" t="s">
        <v>3</v>
      </c>
      <c r="I6" s="1"/>
    </row>
    <row r="7" spans="1:9" x14ac:dyDescent="0.25">
      <c r="A7" s="1"/>
      <c r="B7" s="142" t="s">
        <v>54</v>
      </c>
      <c r="C7" s="140"/>
      <c r="D7" s="140"/>
      <c r="E7" s="140"/>
      <c r="F7" s="141"/>
      <c r="G7" s="61">
        <f>G6*'Fane 13. Nøgletal'!C20</f>
        <v>62602.166900000004</v>
      </c>
      <c r="H7" s="14" t="s">
        <v>3</v>
      </c>
      <c r="I7" s="1"/>
    </row>
    <row r="8" spans="1:9" x14ac:dyDescent="0.25">
      <c r="A8" s="1"/>
      <c r="B8" s="65"/>
      <c r="C8" s="66"/>
      <c r="D8" s="66"/>
      <c r="E8" s="66"/>
      <c r="F8" s="66"/>
      <c r="G8" s="62"/>
      <c r="H8" s="20"/>
      <c r="I8" s="1"/>
    </row>
    <row r="9" spans="1:9" x14ac:dyDescent="0.25">
      <c r="A9" s="1"/>
      <c r="B9" s="1"/>
      <c r="C9" s="1"/>
      <c r="D9" s="1"/>
      <c r="E9" s="1"/>
      <c r="F9" s="1"/>
      <c r="G9" s="63"/>
      <c r="H9" s="1"/>
      <c r="I9" s="1"/>
    </row>
    <row r="10" spans="1:9" x14ac:dyDescent="0.25">
      <c r="A10" s="1"/>
      <c r="B10" s="143" t="s">
        <v>59</v>
      </c>
      <c r="C10" s="144"/>
      <c r="D10" s="144"/>
      <c r="E10" s="144"/>
      <c r="F10" s="144"/>
      <c r="G10" s="145"/>
      <c r="H10" s="146"/>
      <c r="I10" s="1"/>
    </row>
    <row r="11" spans="1:9" x14ac:dyDescent="0.25">
      <c r="A11" s="1"/>
      <c r="B11" s="142" t="s">
        <v>60</v>
      </c>
      <c r="C11" s="140"/>
      <c r="D11" s="140"/>
      <c r="E11" s="140"/>
      <c r="F11" s="141"/>
      <c r="G11" s="61">
        <f>(G6-G7)*(1+'Fane 13. Nøgletal'!C9)</f>
        <v>6903329.6448803702</v>
      </c>
      <c r="H11" s="14" t="s">
        <v>3</v>
      </c>
      <c r="I11" s="1"/>
    </row>
    <row r="12" spans="1:9" x14ac:dyDescent="0.25">
      <c r="A12" s="1"/>
      <c r="B12" s="147" t="s">
        <v>61</v>
      </c>
      <c r="C12" s="148"/>
      <c r="D12" s="148"/>
      <c r="E12" s="148"/>
      <c r="F12" s="149"/>
      <c r="G12" s="61">
        <v>0</v>
      </c>
      <c r="H12" s="14" t="s">
        <v>3</v>
      </c>
      <c r="I12" s="1"/>
    </row>
    <row r="13" spans="1:9" x14ac:dyDescent="0.25">
      <c r="A13" s="1"/>
      <c r="B13" s="142" t="s">
        <v>62</v>
      </c>
      <c r="C13" s="140"/>
      <c r="D13" s="140"/>
      <c r="E13" s="140"/>
      <c r="F13" s="141"/>
      <c r="G13" s="61">
        <f>G11*'Fane 13. Nøgletal'!C20+G12*'Fane 13. Nøgletal'!C21</f>
        <v>62820.299768411372</v>
      </c>
      <c r="H13" s="14" t="s">
        <v>3</v>
      </c>
      <c r="I13" s="1"/>
    </row>
    <row r="14" spans="1:9" x14ac:dyDescent="0.25">
      <c r="A14" s="1"/>
      <c r="B14" s="65"/>
      <c r="C14" s="66"/>
      <c r="D14" s="66"/>
      <c r="E14" s="66"/>
      <c r="F14" s="66"/>
      <c r="G14" s="62"/>
      <c r="H14" s="20"/>
      <c r="I14" s="1"/>
    </row>
    <row r="15" spans="1:9" x14ac:dyDescent="0.25">
      <c r="A15" s="1"/>
      <c r="B15" s="1"/>
      <c r="C15" s="1"/>
      <c r="D15" s="1"/>
      <c r="E15" s="1"/>
      <c r="F15" s="1"/>
      <c r="G15" s="63"/>
      <c r="H15" s="1"/>
      <c r="I15" s="1"/>
    </row>
    <row r="16" spans="1:9" x14ac:dyDescent="0.25">
      <c r="A16" s="1"/>
      <c r="B16" s="143" t="s">
        <v>63</v>
      </c>
      <c r="C16" s="144"/>
      <c r="D16" s="144"/>
      <c r="E16" s="144"/>
      <c r="F16" s="144"/>
      <c r="G16" s="145"/>
      <c r="H16" s="146"/>
      <c r="I16" s="1"/>
    </row>
    <row r="17" spans="1:9" x14ac:dyDescent="0.25">
      <c r="A17" s="1"/>
      <c r="B17" s="142" t="s">
        <v>64</v>
      </c>
      <c r="C17" s="140"/>
      <c r="D17" s="140"/>
      <c r="E17" s="140"/>
      <c r="F17" s="141"/>
      <c r="G17" s="61">
        <f>(G11+G12-G13)*(1+'Fane 13. Nøgletal'!C11)</f>
        <v>6956113.9530443503</v>
      </c>
      <c r="H17" s="14" t="s">
        <v>3</v>
      </c>
      <c r="I17" s="1"/>
    </row>
    <row r="18" spans="1:9" x14ac:dyDescent="0.25">
      <c r="A18" s="1"/>
      <c r="B18" s="142" t="s">
        <v>120</v>
      </c>
      <c r="C18" s="140"/>
      <c r="D18" s="140"/>
      <c r="E18" s="140"/>
      <c r="F18" s="141"/>
      <c r="G18" s="61">
        <v>59189.626366055796</v>
      </c>
      <c r="H18" s="14" t="s">
        <v>3</v>
      </c>
      <c r="I18" s="1"/>
    </row>
    <row r="19" spans="1:9" x14ac:dyDescent="0.25">
      <c r="A19" s="1"/>
      <c r="B19" s="147" t="s">
        <v>65</v>
      </c>
      <c r="C19" s="148"/>
      <c r="D19" s="148"/>
      <c r="E19" s="148"/>
      <c r="F19" s="149"/>
      <c r="G19" s="61">
        <v>22230.772443779995</v>
      </c>
      <c r="H19" s="14" t="s">
        <v>3</v>
      </c>
      <c r="I19" s="1"/>
    </row>
    <row r="20" spans="1:9" x14ac:dyDescent="0.25">
      <c r="A20" s="1"/>
      <c r="B20" s="142" t="s">
        <v>66</v>
      </c>
      <c r="C20" s="140"/>
      <c r="D20" s="140"/>
      <c r="E20" s="140"/>
      <c r="F20" s="141"/>
      <c r="G20" s="61">
        <f>SUM(G17:G19)*'Fane 13. Nøgletal'!C22</f>
        <v>61226.548861131407</v>
      </c>
      <c r="H20" s="14" t="s">
        <v>3</v>
      </c>
      <c r="I20" s="1"/>
    </row>
    <row r="21" spans="1:9" x14ac:dyDescent="0.25">
      <c r="A21" s="1"/>
      <c r="B21" s="65"/>
      <c r="C21" s="66"/>
      <c r="D21" s="66"/>
      <c r="E21" s="66"/>
      <c r="F21" s="66"/>
      <c r="G21" s="62"/>
      <c r="H21" s="20"/>
      <c r="I21" s="1"/>
    </row>
    <row r="22" spans="1:9" x14ac:dyDescent="0.25">
      <c r="A22" s="1"/>
      <c r="B22" s="1"/>
      <c r="C22" s="1"/>
      <c r="D22" s="1"/>
      <c r="E22" s="1"/>
      <c r="F22" s="1"/>
      <c r="G22" s="63"/>
      <c r="H22" s="1"/>
      <c r="I22" s="1"/>
    </row>
    <row r="23" spans="1:9" x14ac:dyDescent="0.25">
      <c r="A23" s="1"/>
      <c r="B23" s="143" t="s">
        <v>67</v>
      </c>
      <c r="C23" s="144"/>
      <c r="D23" s="144"/>
      <c r="E23" s="144"/>
      <c r="F23" s="144"/>
      <c r="G23" s="145"/>
      <c r="H23" s="146"/>
      <c r="I23" s="1"/>
    </row>
    <row r="24" spans="1:9" x14ac:dyDescent="0.25">
      <c r="A24" s="1"/>
      <c r="B24" s="142" t="s">
        <v>68</v>
      </c>
      <c r="C24" s="140"/>
      <c r="D24" s="140"/>
      <c r="E24" s="140"/>
      <c r="F24" s="141"/>
      <c r="G24" s="61">
        <f>(G17+G18+G19-G20)*(1+'Fane 13. Nøgletal'!C11)</f>
        <v>7094207.4048636369</v>
      </c>
      <c r="H24" s="14" t="s">
        <v>3</v>
      </c>
      <c r="I24" s="1"/>
    </row>
    <row r="25" spans="1:9" x14ac:dyDescent="0.25">
      <c r="A25" s="1"/>
      <c r="B25" s="147" t="s">
        <v>69</v>
      </c>
      <c r="C25" s="148"/>
      <c r="D25" s="148"/>
      <c r="E25" s="148"/>
      <c r="F25" s="149"/>
      <c r="G25" s="61">
        <v>601207.65719298902</v>
      </c>
      <c r="H25" s="14" t="s">
        <v>3</v>
      </c>
      <c r="I25" s="1"/>
    </row>
    <row r="26" spans="1:9" x14ac:dyDescent="0.25">
      <c r="A26" s="1"/>
      <c r="B26" s="142" t="s">
        <v>70</v>
      </c>
      <c r="C26" s="140"/>
      <c r="D26" s="140"/>
      <c r="E26" s="140"/>
      <c r="F26" s="141"/>
      <c r="G26" s="61">
        <f>G24*'Fane 13. Nøgletal'!C22+G25*'Fane 13. Nøgletal'!C23</f>
        <v>78793.901886594525</v>
      </c>
      <c r="H26" s="14" t="s">
        <v>3</v>
      </c>
      <c r="I26" s="1"/>
    </row>
    <row r="27" spans="1:9" x14ac:dyDescent="0.25">
      <c r="A27" s="1"/>
      <c r="B27" s="65"/>
      <c r="C27" s="66"/>
      <c r="D27" s="66"/>
      <c r="E27" s="66"/>
      <c r="F27" s="66"/>
      <c r="G27" s="62"/>
      <c r="H27" s="20"/>
      <c r="I27" s="1"/>
    </row>
    <row r="28" spans="1:9" x14ac:dyDescent="0.25">
      <c r="A28" s="1"/>
      <c r="B28" s="1"/>
      <c r="C28" s="1"/>
      <c r="D28" s="1"/>
      <c r="E28" s="1"/>
      <c r="F28" s="1"/>
      <c r="G28" s="63"/>
      <c r="H28" s="1"/>
      <c r="I28" s="1"/>
    </row>
    <row r="29" spans="1:9" x14ac:dyDescent="0.25">
      <c r="A29" s="1"/>
      <c r="B29" s="143" t="s">
        <v>71</v>
      </c>
      <c r="C29" s="144"/>
      <c r="D29" s="144"/>
      <c r="E29" s="144"/>
      <c r="F29" s="144"/>
      <c r="G29" s="145"/>
      <c r="H29" s="146"/>
      <c r="I29" s="1"/>
    </row>
    <row r="30" spans="1:9" x14ac:dyDescent="0.25">
      <c r="A30" s="1"/>
      <c r="B30" s="142" t="s">
        <v>72</v>
      </c>
      <c r="C30" s="140"/>
      <c r="D30" s="140"/>
      <c r="E30" s="140"/>
      <c r="F30" s="141"/>
      <c r="G30" s="61">
        <f>G24*(1-'Fane 13. Nøgletal'!C22)*(1+'Fane 13. Nøgletal'!C11)+G25*(1-'Fane 13. Nøgletal'!C23)*(1+'Fane 13. Nøgletal'!C12)</f>
        <v>7746977.6311841439</v>
      </c>
      <c r="H30" s="14" t="s">
        <v>3</v>
      </c>
      <c r="I30" s="1"/>
    </row>
    <row r="31" spans="1:9" x14ac:dyDescent="0.25">
      <c r="A31" s="1"/>
      <c r="B31" s="137" t="s">
        <v>117</v>
      </c>
      <c r="C31" s="138"/>
      <c r="D31" s="138"/>
      <c r="E31" s="138"/>
      <c r="F31" s="139"/>
      <c r="G31" s="61">
        <f>G25*(1-'Fane 13. Nøgletal'!C23)*(1+'Fane 13. Nøgletal'!C12)</f>
        <v>595640.78691536374</v>
      </c>
      <c r="H31" s="14" t="s">
        <v>3</v>
      </c>
      <c r="I31" s="1"/>
    </row>
    <row r="32" spans="1:9" x14ac:dyDescent="0.25">
      <c r="A32" s="1"/>
      <c r="B32" s="142" t="s">
        <v>135</v>
      </c>
      <c r="C32" s="140"/>
      <c r="D32" s="140"/>
      <c r="E32" s="140"/>
      <c r="F32" s="141"/>
      <c r="G32" s="61">
        <v>890250.97805280006</v>
      </c>
      <c r="H32" s="14" t="s">
        <v>3</v>
      </c>
      <c r="I32" s="1"/>
    </row>
    <row r="33" spans="1:9" x14ac:dyDescent="0.25">
      <c r="A33" s="1"/>
      <c r="B33" s="142" t="s">
        <v>73</v>
      </c>
      <c r="C33" s="140"/>
      <c r="D33" s="140"/>
      <c r="E33" s="140"/>
      <c r="F33" s="141"/>
      <c r="G33" s="61">
        <f>(G30-G31)*'Fane 13. Nøgletal'!C22+G31*'Fane 13. Nøgletal'!C23+G32*'Fane 13. Nøgletal'!C24</f>
        <v>103614.7307899867</v>
      </c>
      <c r="H33" s="14" t="s">
        <v>3</v>
      </c>
      <c r="I33" s="1"/>
    </row>
    <row r="34" spans="1:9" x14ac:dyDescent="0.25">
      <c r="A34" s="1"/>
      <c r="B34" s="65"/>
      <c r="C34" s="66"/>
      <c r="D34" s="66"/>
      <c r="E34" s="66"/>
      <c r="F34" s="66"/>
      <c r="G34" s="62"/>
      <c r="H34" s="20"/>
      <c r="I34" s="1"/>
    </row>
    <row r="35" spans="1:9" x14ac:dyDescent="0.25">
      <c r="A35" s="1"/>
      <c r="B35" s="1"/>
      <c r="C35" s="1"/>
      <c r="D35" s="1"/>
      <c r="E35" s="1"/>
      <c r="F35" s="1"/>
      <c r="G35" s="63"/>
      <c r="H35" s="1"/>
      <c r="I35" s="1"/>
    </row>
    <row r="36" spans="1:9" x14ac:dyDescent="0.25">
      <c r="A36" s="1"/>
      <c r="B36" s="143" t="s">
        <v>99</v>
      </c>
      <c r="C36" s="144"/>
      <c r="D36" s="144"/>
      <c r="E36" s="144"/>
      <c r="F36" s="144"/>
      <c r="G36" s="145"/>
      <c r="H36" s="146"/>
      <c r="I36" s="1"/>
    </row>
    <row r="37" spans="1:9" x14ac:dyDescent="0.25">
      <c r="A37" s="1"/>
      <c r="B37" s="142" t="s">
        <v>76</v>
      </c>
      <c r="C37" s="140"/>
      <c r="D37" s="140"/>
      <c r="E37" s="140"/>
      <c r="F37" s="141"/>
      <c r="G37" s="61">
        <f>(G30-G31)*(1-'Fane 13. Nøgletal'!C22)*(1+'Fane 13. Nøgletal'!C11)+G31*(1-'Fane 13. Nøgletal'!C23)*(1+'Fane 13. Nøgletal'!C12)+G32*(1-'Fane 13. Nøgletal'!C24)*(1+'Fane 13. Nøgletal'!C13)</f>
        <v>8675383.2671827637</v>
      </c>
      <c r="H37" s="14" t="s">
        <v>3</v>
      </c>
      <c r="I37" s="1"/>
    </row>
    <row r="38" spans="1:9" x14ac:dyDescent="0.25">
      <c r="A38" s="1"/>
      <c r="B38" s="137" t="s">
        <v>117</v>
      </c>
      <c r="C38" s="138"/>
      <c r="D38" s="138"/>
      <c r="E38" s="138"/>
      <c r="F38" s="139"/>
      <c r="G38" s="61">
        <f>G31*(1-'Fane 13. Nøgletal'!C23)*(1+'Fane 13. Nøgletal'!C12)</f>
        <v>590125.46296173672</v>
      </c>
      <c r="H38" s="14" t="s">
        <v>3</v>
      </c>
      <c r="I38" s="1"/>
    </row>
    <row r="39" spans="1:9" x14ac:dyDescent="0.25">
      <c r="A39" s="1"/>
      <c r="B39" s="137" t="s">
        <v>137</v>
      </c>
      <c r="C39" s="138"/>
      <c r="D39" s="138"/>
      <c r="E39" s="138"/>
      <c r="F39" s="139"/>
      <c r="G39" s="61">
        <v>876331.4588854555</v>
      </c>
      <c r="H39" s="14" t="s">
        <v>3</v>
      </c>
      <c r="I39" s="1"/>
    </row>
    <row r="40" spans="1:9" x14ac:dyDescent="0.25">
      <c r="A40" s="1"/>
      <c r="B40" s="142" t="s">
        <v>160</v>
      </c>
      <c r="C40" s="140"/>
      <c r="D40" s="140"/>
      <c r="E40" s="140"/>
      <c r="F40" s="141"/>
      <c r="G40" s="61">
        <v>50168.480146710011</v>
      </c>
      <c r="H40" s="14" t="s">
        <v>3</v>
      </c>
      <c r="I40" s="1"/>
    </row>
    <row r="41" spans="1:9" x14ac:dyDescent="0.25">
      <c r="A41" s="1"/>
      <c r="B41" s="142" t="s">
        <v>141</v>
      </c>
      <c r="C41" s="140"/>
      <c r="D41" s="140"/>
      <c r="E41" s="140"/>
      <c r="F41" s="141"/>
      <c r="G41" s="61">
        <f>(G37-SUM(G38:G39))*'Fane 13. Nøgletal'!C22+G38*'Fane 13. Nøgletal'!C23+(G39)*'Fane 13. Nøgletal'!C24+(G40)*'Fane 13. Nøgletal'!C25</f>
        <v>104318.83097805412</v>
      </c>
      <c r="H41" s="14" t="s">
        <v>3</v>
      </c>
      <c r="I41" s="1"/>
    </row>
    <row r="42" spans="1:9" x14ac:dyDescent="0.25">
      <c r="A42" s="1"/>
      <c r="B42" s="65"/>
      <c r="C42" s="66"/>
      <c r="D42" s="66"/>
      <c r="E42" s="66"/>
      <c r="F42" s="66"/>
      <c r="G42" s="62"/>
      <c r="H42" s="20"/>
      <c r="I42" s="1"/>
    </row>
    <row r="43" spans="1:9" x14ac:dyDescent="0.25">
      <c r="A43" s="1"/>
      <c r="B43" s="1"/>
      <c r="C43" s="1"/>
      <c r="D43" s="1"/>
      <c r="E43" s="1"/>
      <c r="F43" s="1"/>
      <c r="G43" s="63"/>
      <c r="H43" s="1"/>
      <c r="I43" s="1"/>
    </row>
    <row r="44" spans="1:9" x14ac:dyDescent="0.25">
      <c r="A44" s="1"/>
      <c r="B44" s="143" t="s">
        <v>209</v>
      </c>
      <c r="C44" s="144"/>
      <c r="D44" s="144"/>
      <c r="E44" s="144"/>
      <c r="F44" s="144"/>
      <c r="G44" s="145"/>
      <c r="H44" s="146"/>
      <c r="I44" s="1"/>
    </row>
    <row r="45" spans="1:9" x14ac:dyDescent="0.25">
      <c r="A45" s="1"/>
      <c r="B45" s="142" t="s">
        <v>75</v>
      </c>
      <c r="C45" s="140"/>
      <c r="D45" s="140"/>
      <c r="E45" s="140"/>
      <c r="F45" s="141"/>
      <c r="G45" s="61">
        <f>(G37+G40-G41)*(1+'Fane 13. Nøgletal'!C15)</f>
        <v>8928148.8081735298</v>
      </c>
      <c r="H45" s="14" t="s">
        <v>3</v>
      </c>
      <c r="I45" s="1"/>
    </row>
    <row r="46" spans="1:9" x14ac:dyDescent="0.25">
      <c r="A46" s="1"/>
      <c r="B46" s="77" t="s">
        <v>217</v>
      </c>
      <c r="C46" s="75"/>
      <c r="D46" s="75"/>
      <c r="E46" s="75"/>
      <c r="F46" s="76"/>
      <c r="G46" s="61">
        <f>SUM('Fane 2.1. Økonomisk ramme 2023'!C11,'Fane 2.1. Økonomisk ramme 2023'!C15,-'Fane 12. Bortfald'!E13)*(1+'Fane 13. Nøgletal'!C15)</f>
        <v>0</v>
      </c>
      <c r="H46" s="14" t="s">
        <v>3</v>
      </c>
      <c r="I46" s="1"/>
    </row>
    <row r="47" spans="1:9" x14ac:dyDescent="0.25">
      <c r="A47" s="1"/>
      <c r="B47" s="142" t="s">
        <v>74</v>
      </c>
      <c r="C47" s="140"/>
      <c r="D47" s="140"/>
      <c r="E47" s="140"/>
      <c r="F47" s="141"/>
      <c r="G47" s="61">
        <f>(G45+G46)*'Fane 13. Nøgletal'!C26</f>
        <v>0</v>
      </c>
      <c r="H47" s="14" t="s">
        <v>3</v>
      </c>
      <c r="I47" s="1"/>
    </row>
    <row r="48" spans="1:9" x14ac:dyDescent="0.25">
      <c r="A48" s="1"/>
      <c r="B48" s="65"/>
      <c r="C48" s="66"/>
      <c r="D48" s="66"/>
      <c r="E48" s="66"/>
      <c r="F48" s="66"/>
      <c r="G48" s="62"/>
      <c r="H48" s="20"/>
      <c r="I48" s="1"/>
    </row>
    <row r="49" spans="1:9" x14ac:dyDescent="0.25">
      <c r="A49" s="1"/>
      <c r="B49" s="1"/>
      <c r="C49" s="1"/>
      <c r="D49" s="1"/>
      <c r="E49" s="1"/>
      <c r="F49" s="1"/>
      <c r="G49" s="63"/>
      <c r="H49" s="1"/>
      <c r="I49" s="1"/>
    </row>
    <row r="50" spans="1:9" x14ac:dyDescent="0.25">
      <c r="A50" s="1"/>
      <c r="B50" s="1"/>
      <c r="C50" s="1"/>
      <c r="D50" s="1"/>
      <c r="E50" s="1"/>
      <c r="F50" s="1"/>
      <c r="G50" s="63"/>
      <c r="H50" s="1"/>
      <c r="I50" s="1"/>
    </row>
    <row r="51" spans="1:9" x14ac:dyDescent="0.25">
      <c r="A51" s="1"/>
      <c r="B51" s="143" t="s">
        <v>210</v>
      </c>
      <c r="C51" s="144"/>
      <c r="D51" s="144"/>
      <c r="E51" s="144"/>
      <c r="F51" s="144"/>
      <c r="G51" s="145"/>
      <c r="H51" s="146"/>
      <c r="I51" s="1"/>
    </row>
    <row r="52" spans="1:9" x14ac:dyDescent="0.25">
      <c r="A52" s="1"/>
      <c r="B52" s="142" t="s">
        <v>138</v>
      </c>
      <c r="C52" s="140"/>
      <c r="D52" s="140"/>
      <c r="E52" s="140"/>
      <c r="F52" s="141"/>
      <c r="G52" s="61">
        <f>(G45+G46-G47)*(1+'Fane 13. Nøgletal'!C15)</f>
        <v>9245990.9057445079</v>
      </c>
      <c r="H52" s="14" t="s">
        <v>3</v>
      </c>
      <c r="I52" s="1"/>
    </row>
    <row r="53" spans="1:9" x14ac:dyDescent="0.25">
      <c r="A53" s="1"/>
      <c r="B53" s="142" t="s">
        <v>139</v>
      </c>
      <c r="C53" s="140"/>
      <c r="D53" s="140"/>
      <c r="E53" s="140"/>
      <c r="F53" s="141"/>
      <c r="G53" s="61">
        <f>(G52)*'Fane 13. Nøgletal'!C26</f>
        <v>0</v>
      </c>
      <c r="H53" s="14" t="s">
        <v>3</v>
      </c>
      <c r="I53" s="1"/>
    </row>
    <row r="54" spans="1:9" x14ac:dyDescent="0.25">
      <c r="A54" s="1"/>
      <c r="B54" s="65"/>
      <c r="C54" s="66"/>
      <c r="D54" s="66"/>
      <c r="E54" s="66"/>
      <c r="F54" s="66"/>
      <c r="G54" s="62"/>
      <c r="H54" s="20"/>
      <c r="I54" s="1"/>
    </row>
    <row r="55" spans="1:9" x14ac:dyDescent="0.25">
      <c r="A55" s="1"/>
      <c r="B55" s="1"/>
      <c r="C55" s="1"/>
      <c r="D55" s="1"/>
      <c r="E55" s="1"/>
      <c r="F55" s="1"/>
      <c r="G55" s="63"/>
      <c r="H55" s="1"/>
      <c r="I55" s="1"/>
    </row>
    <row r="56" spans="1:9" x14ac:dyDescent="0.25">
      <c r="A56" s="1"/>
      <c r="B56" s="143" t="s">
        <v>152</v>
      </c>
      <c r="C56" s="144"/>
      <c r="D56" s="144"/>
      <c r="E56" s="144"/>
      <c r="F56" s="144"/>
      <c r="G56" s="145"/>
      <c r="H56" s="146"/>
      <c r="I56" s="1"/>
    </row>
    <row r="57" spans="1:9" x14ac:dyDescent="0.25">
      <c r="A57" s="1"/>
      <c r="B57" s="142" t="s">
        <v>153</v>
      </c>
      <c r="C57" s="140"/>
      <c r="D57" s="140"/>
      <c r="E57" s="140"/>
      <c r="F57" s="141"/>
      <c r="G57" s="61">
        <f>(G52-G53)*(1+'Fane 13. Nøgletal'!C15)</f>
        <v>9575148.1819890123</v>
      </c>
      <c r="H57" s="14" t="s">
        <v>3</v>
      </c>
      <c r="I57" s="1"/>
    </row>
    <row r="58" spans="1:9" x14ac:dyDescent="0.25">
      <c r="A58" s="1"/>
      <c r="B58" s="142" t="s">
        <v>154</v>
      </c>
      <c r="C58" s="140"/>
      <c r="D58" s="140"/>
      <c r="E58" s="140"/>
      <c r="F58" s="141"/>
      <c r="G58" s="61">
        <f>(G57)*'Fane 13. Nøgletal'!C26</f>
        <v>0</v>
      </c>
      <c r="H58" s="14" t="s">
        <v>3</v>
      </c>
      <c r="I58" s="1"/>
    </row>
    <row r="59" spans="1:9" x14ac:dyDescent="0.25">
      <c r="A59" s="1"/>
      <c r="B59" s="65"/>
      <c r="C59" s="66"/>
      <c r="D59" s="66"/>
      <c r="E59" s="66"/>
      <c r="F59" s="66"/>
      <c r="G59" s="62"/>
      <c r="H59" s="20"/>
      <c r="I59" s="1"/>
    </row>
    <row r="60" spans="1:9" x14ac:dyDescent="0.25">
      <c r="A60" s="1"/>
      <c r="B60" s="1"/>
      <c r="C60" s="1"/>
      <c r="D60" s="1"/>
      <c r="E60" s="1"/>
      <c r="F60" s="1"/>
      <c r="G60" s="63"/>
      <c r="H60" s="1"/>
      <c r="I60" s="1"/>
    </row>
    <row r="61" spans="1:9" x14ac:dyDescent="0.25">
      <c r="A61" s="1"/>
      <c r="B61" s="143" t="s">
        <v>185</v>
      </c>
      <c r="C61" s="144"/>
      <c r="D61" s="144"/>
      <c r="E61" s="144"/>
      <c r="F61" s="144"/>
      <c r="G61" s="145"/>
      <c r="H61" s="146"/>
      <c r="I61" s="1"/>
    </row>
    <row r="62" spans="1:9" x14ac:dyDescent="0.25">
      <c r="A62" s="1"/>
      <c r="B62" s="142" t="s">
        <v>186</v>
      </c>
      <c r="C62" s="140"/>
      <c r="D62" s="140"/>
      <c r="E62" s="140"/>
      <c r="F62" s="141"/>
      <c r="G62" s="61">
        <f>(G57-G58)*(1+'Fane 13. Nøgletal'!C15)</f>
        <v>9916023.4572678227</v>
      </c>
      <c r="H62" s="14" t="s">
        <v>3</v>
      </c>
      <c r="I62" s="1"/>
    </row>
    <row r="63" spans="1:9" x14ac:dyDescent="0.25">
      <c r="A63" s="1"/>
      <c r="B63" s="142" t="s">
        <v>187</v>
      </c>
      <c r="C63" s="140"/>
      <c r="D63" s="140"/>
      <c r="E63" s="140"/>
      <c r="F63" s="141"/>
      <c r="G63" s="61">
        <f>(G62)*'Fane 13. Nøgletal'!C26</f>
        <v>0</v>
      </c>
      <c r="H63" s="14" t="s">
        <v>3</v>
      </c>
      <c r="I63" s="1"/>
    </row>
    <row r="64" spans="1:9" x14ac:dyDescent="0.25">
      <c r="A64" s="1"/>
      <c r="B64" s="65"/>
      <c r="C64" s="66"/>
      <c r="D64" s="66"/>
      <c r="E64" s="66"/>
      <c r="F64" s="66"/>
      <c r="G64" s="66"/>
      <c r="H64" s="20"/>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sheetData>
  <sheetProtection algorithmName="SHA-512" hashValue="thOkYokaAdzb4+p55Yj7+oGbnchK2N7bMzvZ7l1dpSLDqxVaPQgjw/4T7llO3HUyUnvhoNWmjI1VVOZ6wlv3Gw==" saltValue="5FowAVopEtGBsYR0qwh0Mw==" spinCount="100000" sheet="1" objects="1" scenarios="1"/>
  <mergeCells count="40">
    <mergeCell ref="B61:H61"/>
    <mergeCell ref="B62:F62"/>
    <mergeCell ref="B63:F63"/>
    <mergeCell ref="B2:H3"/>
    <mergeCell ref="B32:F32"/>
    <mergeCell ref="B23:H23"/>
    <mergeCell ref="B40:F40"/>
    <mergeCell ref="B52:F52"/>
    <mergeCell ref="B31:F31"/>
    <mergeCell ref="B39:F39"/>
    <mergeCell ref="B37:F37"/>
    <mergeCell ref="B51:H51"/>
    <mergeCell ref="B47:F47"/>
    <mergeCell ref="B20:F20"/>
    <mergeCell ref="B5:H5"/>
    <mergeCell ref="B6:F6"/>
    <mergeCell ref="B7:F7"/>
    <mergeCell ref="B10:H10"/>
    <mergeCell ref="B11:F11"/>
    <mergeCell ref="B12:F12"/>
    <mergeCell ref="B13:F13"/>
    <mergeCell ref="B16:H16"/>
    <mergeCell ref="B17:F17"/>
    <mergeCell ref="B18:F18"/>
    <mergeCell ref="B24:F24"/>
    <mergeCell ref="B19:F19"/>
    <mergeCell ref="B58:F58"/>
    <mergeCell ref="B57:F57"/>
    <mergeCell ref="B56:H56"/>
    <mergeCell ref="B53:F53"/>
    <mergeCell ref="B25:F25"/>
    <mergeCell ref="B26:F26"/>
    <mergeCell ref="B41:F41"/>
    <mergeCell ref="B44:H44"/>
    <mergeCell ref="B45:F45"/>
    <mergeCell ref="B29:H29"/>
    <mergeCell ref="B30:F30"/>
    <mergeCell ref="B33:F33"/>
    <mergeCell ref="B36:H36"/>
    <mergeCell ref="B38:F3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7"/>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2" t="s">
        <v>86</v>
      </c>
      <c r="C3" s="112"/>
      <c r="D3" s="112"/>
      <c r="E3" s="112"/>
      <c r="F3" s="112"/>
      <c r="G3" s="112"/>
      <c r="H3" s="1"/>
    </row>
    <row r="4" spans="1:8" ht="15" customHeight="1" x14ac:dyDescent="0.25">
      <c r="A4" s="1"/>
      <c r="B4" s="112"/>
      <c r="C4" s="112"/>
      <c r="D4" s="112"/>
      <c r="E4" s="112"/>
      <c r="F4" s="112"/>
      <c r="G4" s="11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43" t="s">
        <v>9</v>
      </c>
      <c r="C8" s="144"/>
      <c r="D8" s="144"/>
      <c r="E8" s="144"/>
      <c r="F8" s="144"/>
      <c r="G8" s="146"/>
      <c r="H8" s="1"/>
    </row>
    <row r="9" spans="1:8" x14ac:dyDescent="0.25">
      <c r="A9" s="1"/>
      <c r="B9" s="88" t="s">
        <v>262</v>
      </c>
      <c r="C9" s="89"/>
      <c r="D9" s="89"/>
      <c r="E9" s="89"/>
      <c r="F9" s="90"/>
      <c r="G9" s="35">
        <v>1.1428834412556177E-2</v>
      </c>
      <c r="H9" s="1"/>
    </row>
    <row r="10" spans="1:8" x14ac:dyDescent="0.25">
      <c r="A10" s="1"/>
      <c r="B10" s="86"/>
      <c r="C10" s="87"/>
      <c r="D10" s="87"/>
      <c r="E10" s="87"/>
      <c r="F10" s="87"/>
      <c r="G10" s="20"/>
      <c r="H10" s="1"/>
    </row>
    <row r="11" spans="1:8" x14ac:dyDescent="0.25">
      <c r="A11" s="1"/>
      <c r="B11" s="151"/>
      <c r="C11" s="151"/>
      <c r="D11" s="151"/>
      <c r="E11" s="151"/>
      <c r="F11" s="151"/>
      <c r="G11" s="151"/>
      <c r="H11" s="1"/>
    </row>
    <row r="12" spans="1:8" ht="39" customHeight="1" x14ac:dyDescent="0.25">
      <c r="A12" s="18"/>
      <c r="B12" s="150" t="s">
        <v>211</v>
      </c>
      <c r="C12" s="150"/>
      <c r="D12" s="150"/>
      <c r="E12" s="150"/>
      <c r="F12" s="150"/>
      <c r="G12" s="150"/>
      <c r="H12" s="18"/>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rnibZq+yPWG46Srl+ih+eqHZaxoCCDumKIw2j//b5u2MgnjXnw3cpz6yIV1Ln2WJGYvtw3/ecxZ6H4sHd7rOfw==" saltValue="MJFyIKREntcKFOToCwWRwg==" spinCount="100000" sheet="1" objects="1" scenarios="1"/>
  <mergeCells count="4">
    <mergeCell ref="B3:G4"/>
    <mergeCell ref="B12:G12"/>
    <mergeCell ref="B8:G8"/>
    <mergeCell ref="B11: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2022-12-01T09:37:41Z</dcterms:modified>
</cp:coreProperties>
</file>