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codeName="Denne_projektmappe" defaultThemeVersion="124226"/>
  <mc:AlternateContent xmlns:mc="http://schemas.openxmlformats.org/markup-compatibility/2006">
    <mc:Choice Requires="x15">
      <x15ac:absPath xmlns:x15ac="http://schemas.microsoft.com/office/spreadsheetml/2010/11/ac" url="E:\VAND\Sagsbehandling\Spildevand\Kalundborg Renseanlæg AS (S055)\ØR2025\"/>
    </mc:Choice>
  </mc:AlternateContent>
  <xr:revisionPtr revIDLastSave="0" documentId="13_ncr:1_{C80682F0-311E-487F-9CAE-2F204BC46CA4}"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ØR2024'!$B$8:$D$40</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9" i="20" l="1"/>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s="1"/>
  <c r="C22" i="30" l="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<sst xmlns="http://schemas.openxmlformats.org/spreadsheetml/2006/main" count="551" uniqueCount="236">
  <si>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</si>
  <si>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</si>
  <si>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</si>
  <si>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</si>
  <si>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</si>
  <si>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</si>
  <si>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</si>
  <si>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</si>
  <si>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</si>
  <si>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</si>
  <si>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</si>
  <si>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</si>
  <si>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</si>
  <si>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</si>
  <si>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</si>
  <si>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</si>
  <si>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</si>
  <si>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</si>
  <si>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</si>
  <si>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</si>
  <si>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</si>
  <si>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</si>
  <si>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</si>
  <si>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</si>
  <si>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</si>
  <si>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</si>
  <si>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</si>
  <si>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</si>
  <si>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</si>
  <si>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</si>
  <si>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</si>
  <si>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</si>
  <si>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</si>
  <si>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</si>
  <si>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</si>
  <si>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</si>
  <si>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</si>
  <si>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</si>
  <si>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</si>
  <si>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</si>
  <si>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</si>
  <si>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</si>
  <si>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</si>
  <si>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</si>
  <si>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</si>
  <si>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</si>
  <si>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</si>
  <si>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</si>
  <si>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</si>
  <si>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</si>
  <si>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</si>
  <si>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</si>
  <si>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</si>
  <si>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</si>
  <si>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</si>
  <si>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</si>
  <si>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</si>
  <si>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</si>
  <si>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</si>
  <si>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</si>
  <si>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</si>
  <si>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</si>
  <si>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</si>
  <si>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</si>
  <si>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</si>
  <si>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</si>
  <si>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</si>
  <si>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</si>
  <si>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</si>
  <si>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</si>
  <si>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</si>
  <si>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</si>
  <si>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</si>
  <si>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</si>
  <si>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</si>
  <si>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</si>
  <si>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</si>
  <si>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</si>
  <si>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</si>
  <si>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</si>
  <si>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</si>
  <si>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</si>
  <si>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</si>
  <si>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</si>
  <si>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</si>
  <si>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</si>
  <si>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</si>
  <si>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</si>
  <si>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</si>
  <si>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</si>
  <si>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</si>
  <si>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</si>
  <si>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</si>
  <si>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</si>
  <si>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</si>
  <si>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</si>
  <si>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</si>
  <si>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</si>
  <si>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</si>
  <si>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</si>
  <si>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</si>
  <si>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</si>
  <si>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</si>
  <si>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</si>
  <si>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</si>
  <si>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</si>
  <si>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</si>
  <si>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</si>
  <si>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</si>
  <si>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</si>
  <si>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</si>
  <si>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</si>
  <si>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</si>
  <si>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</si>
  <si>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</si>
  <si>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</si>
  <si>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</si>
  <si>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</si>
  <si>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</si>
  <si>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</si>
  <si>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</si>
  <si>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</si>
  <si>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</si>
  <si>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</si>
  <si>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</si>
  <si>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</si>
  <si>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</si>
  <si>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</si>
  <si>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</si>
  <si>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</si>
  <si>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</si>
  <si>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</si>
  <si>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</si>
  <si>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</si>
  <si>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</si>
  <si>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</si>
  <si>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</si>
  <si>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</si>
  <si>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</si>
  <si>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</si>
  <si>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</si>
  <si>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</si>
  <si>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</si>
  <si>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</si>
  <si>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</si>
  <si>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</si>
  <si>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</si>
  <si>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</si>
  <si>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</si>
  <si>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</si>
  <si>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</si>
  <si>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</si>
  <si>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</si>
  <si>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</si>
  <si>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</si>
  <si>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</si>
  <si>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</si>
  <si>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</si>
  <si>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</si>
  <si>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</si>
  <si>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</si>
  <si>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</si>
  <si>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</si>
  <si>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</si>
  <si>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</si>
  <si>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</si>
  <si>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</si>
  <si>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</si>
  <si>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</si>
  <si>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</si>
  <si>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</si>
  <si>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</si>
  <si>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</si>
  <si>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</si>
  <si>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</si>
  <si>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</si>
  <si>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</si>
  <si>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</si>
  <si>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</si>
  <si>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</si>
  <si>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</si>
  <si>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</si>
  <si>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</si>
  <si>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</si>
  <si>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</si>
  <si>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</si>
  <si>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</si>
  <si>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</si>
  <si>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</si>
  <si>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</si>
  <si>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</si>
  <si>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</si>
  <si>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</si>
  <si>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</si>
  <si>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</si>
  <si>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</si>
  <si>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</si>
  <si>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</si>
  <si>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</si>
  <si>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</si>
  <si>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</si>
  <si>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</si>
  <si>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</si>
  <si>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</si>
  <si>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</si>
  <si>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</si>
  <si>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</si>
  <si>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</si>
  <si>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</si>
  <si>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</si>
  <si>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</si>
  <si>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</si>
  <si>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</si>
  <si>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Justering af den økonomiske ramme</t>
  </si>
  <si>
    <t>Justering af den økonomiske ramme for stigende el-omkostninger</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</si>
  <si>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</si>
  <si>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</si>
  <si>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</si>
  <si>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</si>
  <si>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</si>
  <si>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</si>
  <si>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</si>
  <si>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</si>
  <si>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</si>
  <si>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</si>
  <si>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</si>
  <si>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</si>
  <si>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</si>
  <si>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Spildevandsafgift</t>
  </si>
  <si>
    <t>Afgift til Forsyningssekretariatet</t>
  </si>
  <si>
    <t>Køb af ydelser og produkter fra andre vandselskaber reguleret af vandsektorloven</t>
  </si>
  <si>
    <t>Ejendomsskatter</t>
  </si>
  <si>
    <t>Til statusmeddelelse for 2025</t>
  </si>
  <si>
    <t>Optimering Havnsø (forøgelser af energieffektivitet)</t>
  </si>
  <si>
    <t>Slamhåndtering</t>
  </si>
  <si>
    <t>Udvidelse i Kalundborg Kommunes Forsyningsområde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</si>
</sst>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1" fontId="8" fillId="8"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95" t="s">
        <v>4</v>
      </c>
      <c r="D6" s="95"/>
      <c r="E6" s="95"/>
      <c r="F6" s="95"/>
      <c r="G6" s="3"/>
    </row>
    <row r="7" spans="1:7" ht="15" customHeight="1" x14ac:dyDescent="0.25">
      <c r="A7" s="1"/>
      <c r="B7" s="3"/>
      <c r="C7" s="95"/>
      <c r="D7" s="95"/>
      <c r="E7" s="95"/>
      <c r="F7" s="95"/>
      <c r="G7" s="3"/>
    </row>
    <row r="8" spans="1:7" ht="15.75" x14ac:dyDescent="0.25">
      <c r="A8" s="1"/>
      <c r="B8" s="4"/>
      <c r="C8" s="100" t="s">
        <v>232</v>
      </c>
      <c r="D8" s="100"/>
      <c r="E8" s="100"/>
      <c r="F8" s="100"/>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9" t="s">
        <v>5</v>
      </c>
      <c r="D11" s="99"/>
      <c r="E11" s="99"/>
      <c r="F11" s="99"/>
      <c r="G11" s="5"/>
    </row>
    <row r="12" spans="1:7" x14ac:dyDescent="0.25">
      <c r="A12" s="1"/>
      <c r="B12" s="1"/>
      <c r="C12" s="1"/>
      <c r="D12" s="1"/>
      <c r="E12" s="1"/>
      <c r="F12" s="1"/>
      <c r="G12" s="5"/>
    </row>
    <row r="13" spans="1:7" x14ac:dyDescent="0.25">
      <c r="A13" s="1"/>
      <c r="B13" s="6" t="s">
        <v>6</v>
      </c>
      <c r="C13" s="101" t="s">
        <v>127</v>
      </c>
      <c r="D13" s="102"/>
      <c r="E13" s="102"/>
      <c r="F13" s="103"/>
      <c r="G13" s="5"/>
    </row>
    <row r="14" spans="1:7" x14ac:dyDescent="0.25">
      <c r="A14" s="1"/>
      <c r="B14" s="6" t="s">
        <v>16</v>
      </c>
      <c r="C14" s="92" t="s">
        <v>186</v>
      </c>
      <c r="D14" s="93"/>
      <c r="E14" s="93"/>
      <c r="F14" s="94"/>
      <c r="G14" s="5"/>
    </row>
    <row r="15" spans="1:7" x14ac:dyDescent="0.25">
      <c r="A15" s="1"/>
      <c r="B15" s="6" t="s">
        <v>30</v>
      </c>
      <c r="C15" s="92" t="s">
        <v>149</v>
      </c>
      <c r="D15" s="93"/>
      <c r="E15" s="93"/>
      <c r="F15" s="94"/>
      <c r="G15" s="5"/>
    </row>
    <row r="16" spans="1:7" x14ac:dyDescent="0.25">
      <c r="A16" s="1"/>
      <c r="B16" s="6" t="s">
        <v>31</v>
      </c>
      <c r="C16" s="92" t="s">
        <v>151</v>
      </c>
      <c r="D16" s="93"/>
      <c r="E16" s="93"/>
      <c r="F16" s="94"/>
      <c r="G16" s="5"/>
    </row>
    <row r="17" spans="1:8" x14ac:dyDescent="0.25">
      <c r="A17" s="1"/>
      <c r="B17" s="6" t="s">
        <v>61</v>
      </c>
      <c r="C17" s="92" t="s">
        <v>152</v>
      </c>
      <c r="D17" s="93"/>
      <c r="E17" s="93"/>
      <c r="F17" s="94"/>
      <c r="G17" s="5"/>
    </row>
    <row r="18" spans="1:8" x14ac:dyDescent="0.25">
      <c r="A18" s="1"/>
      <c r="B18" s="6" t="s">
        <v>53</v>
      </c>
      <c r="C18" s="89" t="s">
        <v>45</v>
      </c>
      <c r="D18" s="90"/>
      <c r="E18" s="90"/>
      <c r="F18" s="91"/>
      <c r="G18" s="5"/>
    </row>
    <row r="19" spans="1:8" x14ac:dyDescent="0.25">
      <c r="A19" s="1"/>
      <c r="B19" s="6" t="s">
        <v>54</v>
      </c>
      <c r="C19" s="89" t="s">
        <v>46</v>
      </c>
      <c r="D19" s="90"/>
      <c r="E19" s="90"/>
      <c r="F19" s="91"/>
      <c r="G19" s="5"/>
    </row>
    <row r="20" spans="1:8" x14ac:dyDescent="0.25">
      <c r="A20" s="1"/>
      <c r="B20" s="6" t="s">
        <v>7</v>
      </c>
      <c r="C20" s="89" t="s">
        <v>10</v>
      </c>
      <c r="D20" s="90"/>
      <c r="E20" s="90"/>
      <c r="F20" s="91"/>
      <c r="G20" s="5"/>
    </row>
    <row r="21" spans="1:8" x14ac:dyDescent="0.25">
      <c r="A21" s="1"/>
      <c r="B21" s="6" t="s">
        <v>55</v>
      </c>
      <c r="C21" s="96" t="s">
        <v>12</v>
      </c>
      <c r="D21" s="97"/>
      <c r="E21" s="97"/>
      <c r="F21" s="98"/>
      <c r="G21" s="5"/>
    </row>
    <row r="22" spans="1:8" x14ac:dyDescent="0.25">
      <c r="A22" s="1"/>
      <c r="B22" s="6" t="s">
        <v>39</v>
      </c>
      <c r="C22" s="83" t="s">
        <v>153</v>
      </c>
      <c r="D22" s="84"/>
      <c r="E22" s="84"/>
      <c r="F22" s="85"/>
      <c r="G22" s="5"/>
    </row>
    <row r="23" spans="1:8" x14ac:dyDescent="0.25">
      <c r="A23" s="1"/>
      <c r="B23" s="6" t="s">
        <v>8</v>
      </c>
      <c r="C23" s="83" t="s">
        <v>112</v>
      </c>
      <c r="D23" s="84"/>
      <c r="E23" s="84"/>
      <c r="F23" s="85"/>
      <c r="G23" s="5"/>
    </row>
    <row r="24" spans="1:8" x14ac:dyDescent="0.25">
      <c r="A24" s="1"/>
      <c r="B24" s="6" t="s">
        <v>9</v>
      </c>
      <c r="C24" s="83" t="s">
        <v>154</v>
      </c>
      <c r="D24" s="84"/>
      <c r="E24" s="84"/>
      <c r="F24" s="85"/>
      <c r="G24" s="5"/>
    </row>
    <row r="25" spans="1:8" x14ac:dyDescent="0.25">
      <c r="A25" s="1"/>
      <c r="B25" s="6" t="s">
        <v>97</v>
      </c>
      <c r="C25" s="83" t="s">
        <v>91</v>
      </c>
      <c r="D25" s="84"/>
      <c r="E25" s="84"/>
      <c r="F25" s="85"/>
      <c r="G25" s="1"/>
    </row>
    <row r="26" spans="1:8" x14ac:dyDescent="0.25">
      <c r="A26" s="1"/>
      <c r="B26" s="6" t="s">
        <v>98</v>
      </c>
      <c r="C26" s="83" t="s">
        <v>40</v>
      </c>
      <c r="D26" s="84"/>
      <c r="E26" s="84"/>
      <c r="F26" s="85"/>
      <c r="G26" s="1"/>
    </row>
    <row r="27" spans="1:8" x14ac:dyDescent="0.25">
      <c r="A27" s="1"/>
      <c r="B27" s="6" t="s">
        <v>99</v>
      </c>
      <c r="C27" s="83" t="s">
        <v>41</v>
      </c>
      <c r="D27" s="84"/>
      <c r="E27" s="84"/>
      <c r="F27" s="85"/>
      <c r="G27" s="1"/>
    </row>
    <row r="28" spans="1:8" x14ac:dyDescent="0.25">
      <c r="A28" s="1"/>
      <c r="B28" s="6" t="s">
        <v>15</v>
      </c>
      <c r="C28" s="83" t="s">
        <v>42</v>
      </c>
      <c r="D28" s="84"/>
      <c r="E28" s="84"/>
      <c r="F28" s="85"/>
      <c r="G28" s="1"/>
      <c r="H28" s="2" t="s">
        <v>150</v>
      </c>
    </row>
    <row r="29" spans="1:8" x14ac:dyDescent="0.25">
      <c r="A29" s="1"/>
      <c r="B29" s="6" t="s">
        <v>33</v>
      </c>
      <c r="C29" s="83" t="s">
        <v>68</v>
      </c>
      <c r="D29" s="84"/>
      <c r="E29" s="84"/>
      <c r="F29" s="85"/>
      <c r="G29" s="1"/>
    </row>
    <row r="30" spans="1:8" x14ac:dyDescent="0.25">
      <c r="A30" s="1"/>
      <c r="B30" s="6" t="s">
        <v>34</v>
      </c>
      <c r="C30" s="83" t="s">
        <v>32</v>
      </c>
      <c r="D30" s="84"/>
      <c r="E30" s="84"/>
      <c r="F30" s="85"/>
      <c r="G30" s="1"/>
    </row>
    <row r="31" spans="1:8" x14ac:dyDescent="0.25">
      <c r="A31" s="1"/>
      <c r="B31" s="6" t="s">
        <v>100</v>
      </c>
      <c r="C31" s="86" t="s">
        <v>52</v>
      </c>
      <c r="D31" s="87"/>
      <c r="E31" s="87"/>
      <c r="F31" s="88"/>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0DTQjl/OXBlEemZmHUCjTpA1szBx3Kb8kwBXpo7En1ey3uLPVK2H4oFkBwo5/uY4KMk+sYnyS5UPbY8pD3i5Fw==" saltValue="NGBfrveZikLpfdgwH3mRiQ==" spinCount="100000" sheet="1" objects="1" scenarios="1"/>
  <mergeCells count="22">
    <mergeCell ref="C14:F14"/>
    <mergeCell ref="C6:F7"/>
    <mergeCell ref="C21:F21"/>
    <mergeCell ref="C22:F22"/>
    <mergeCell ref="C11:F11"/>
    <mergeCell ref="C8:F8"/>
    <mergeCell ref="C15:F15"/>
    <mergeCell ref="C16:F16"/>
    <mergeCell ref="C19:F19"/>
    <mergeCell ref="C13:F13"/>
    <mergeCell ref="C17:F17"/>
    <mergeCell ref="C20:F20"/>
    <mergeCell ref="C30:F30"/>
    <mergeCell ref="C31:F31"/>
    <mergeCell ref="C18:F18"/>
    <mergeCell ref="C25:F25"/>
    <mergeCell ref="C26:F26"/>
    <mergeCell ref="C29:F29"/>
    <mergeCell ref="C27:F27"/>
    <mergeCell ref="C28:F28"/>
    <mergeCell ref="C24:F24"/>
    <mergeCell ref="C23:F23"/>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58</v>
      </c>
      <c r="C3" s="104"/>
      <c r="D3" s="104"/>
      <c r="E3" s="1"/>
    </row>
    <row r="4" spans="1:5" ht="15" customHeight="1" x14ac:dyDescent="0.25">
      <c r="A4" s="1"/>
      <c r="B4" s="104"/>
      <c r="C4" s="104"/>
      <c r="D4" s="10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8" t="s">
        <v>165</v>
      </c>
      <c r="C8" s="109"/>
      <c r="D8" s="110"/>
      <c r="E8" s="1"/>
    </row>
    <row r="9" spans="1:5" ht="15" customHeight="1" x14ac:dyDescent="0.25">
      <c r="A9" s="1"/>
      <c r="B9" s="27" t="s">
        <v>28</v>
      </c>
      <c r="C9" s="67" t="s">
        <v>166</v>
      </c>
      <c r="D9" s="11"/>
      <c r="E9" s="1"/>
    </row>
    <row r="10" spans="1:5" ht="15" customHeight="1" x14ac:dyDescent="0.25">
      <c r="A10" s="1"/>
      <c r="B10" s="71" t="s">
        <v>228</v>
      </c>
      <c r="C10" s="72">
        <v>3344046</v>
      </c>
      <c r="D10" s="14" t="s">
        <v>3</v>
      </c>
      <c r="E10" s="1"/>
    </row>
    <row r="11" spans="1:5" ht="15" customHeight="1" x14ac:dyDescent="0.25">
      <c r="A11" s="1"/>
      <c r="B11" s="71" t="s">
        <v>229</v>
      </c>
      <c r="C11" s="72">
        <v>175120</v>
      </c>
      <c r="D11" s="14" t="s">
        <v>3</v>
      </c>
      <c r="E11" s="1"/>
    </row>
    <row r="12" spans="1:5" ht="25.5" x14ac:dyDescent="0.25">
      <c r="A12" s="1"/>
      <c r="B12" s="71" t="s">
        <v>230</v>
      </c>
      <c r="C12" s="72">
        <v>438240</v>
      </c>
      <c r="D12" s="14" t="s">
        <v>3</v>
      </c>
      <c r="E12" s="1"/>
    </row>
    <row r="13" spans="1:5" x14ac:dyDescent="0.25">
      <c r="A13" s="1"/>
      <c r="B13" s="71" t="s">
        <v>231</v>
      </c>
      <c r="C13" s="72">
        <v>269373</v>
      </c>
      <c r="D13" s="14" t="s">
        <v>3</v>
      </c>
      <c r="E13" s="1"/>
    </row>
    <row r="14" spans="1:5" x14ac:dyDescent="0.25">
      <c r="A14" s="1"/>
      <c r="B14" s="71"/>
      <c r="C14" s="72"/>
      <c r="D14" s="14" t="s">
        <v>3</v>
      </c>
      <c r="E14" s="1"/>
    </row>
    <row r="15" spans="1:5" x14ac:dyDescent="0.25">
      <c r="A15" s="1"/>
      <c r="B15" s="71"/>
      <c r="C15" s="72"/>
      <c r="D15" s="14" t="s">
        <v>3</v>
      </c>
      <c r="E15" s="1"/>
    </row>
    <row r="16" spans="1:5" x14ac:dyDescent="0.25">
      <c r="A16" s="1"/>
      <c r="B16" s="71"/>
      <c r="C16" s="72"/>
      <c r="D16" s="14" t="s">
        <v>3</v>
      </c>
      <c r="E16" s="1"/>
    </row>
    <row r="17" spans="1:5" x14ac:dyDescent="0.25">
      <c r="A17" s="1"/>
      <c r="B17" s="71"/>
      <c r="C17" s="72"/>
      <c r="D17" s="14" t="s">
        <v>3</v>
      </c>
      <c r="E17" s="1"/>
    </row>
    <row r="18" spans="1:5" x14ac:dyDescent="0.25">
      <c r="A18" s="1"/>
      <c r="B18" s="71"/>
      <c r="C18" s="72"/>
      <c r="D18" s="14" t="s">
        <v>3</v>
      </c>
      <c r="E18" s="1"/>
    </row>
    <row r="19" spans="1:5" x14ac:dyDescent="0.25">
      <c r="A19" s="1"/>
      <c r="B19" s="71"/>
      <c r="C19" s="72"/>
      <c r="D19" s="14" t="s">
        <v>3</v>
      </c>
      <c r="E19" s="1"/>
    </row>
    <row r="20" spans="1:5" x14ac:dyDescent="0.25">
      <c r="A20" s="1"/>
      <c r="B20" s="33" t="s">
        <v>167</v>
      </c>
      <c r="C20" s="12">
        <f>SUM(C10:C19)</f>
        <v>4226779</v>
      </c>
      <c r="D20" s="13" t="s">
        <v>3</v>
      </c>
      <c r="E20" s="1"/>
    </row>
    <row r="21" spans="1:5" x14ac:dyDescent="0.25">
      <c r="A21" s="1"/>
      <c r="B21" s="33" t="s">
        <v>168</v>
      </c>
      <c r="C21" s="12">
        <f>C20*(1+'Fane 15. Nøgletal'!C10)^2</f>
        <v>4805829.5055825096</v>
      </c>
      <c r="D21" s="13" t="s">
        <v>3</v>
      </c>
      <c r="E21" s="1"/>
    </row>
    <row r="22" spans="1:5" x14ac:dyDescent="0.25">
      <c r="A22" s="1"/>
      <c r="B22" s="16"/>
      <c r="C22" s="15"/>
      <c r="D22" s="15"/>
      <c r="E22" s="1"/>
    </row>
    <row r="23" spans="1:5" x14ac:dyDescent="0.25">
      <c r="A23" s="1"/>
      <c r="B23" s="16"/>
      <c r="C23" s="15"/>
      <c r="D23" s="15"/>
      <c r="E23" s="1"/>
    </row>
    <row r="24" spans="1:5" x14ac:dyDescent="0.25">
      <c r="A24" s="1"/>
      <c r="B24" s="108" t="s">
        <v>60</v>
      </c>
      <c r="C24" s="109"/>
      <c r="D24" s="110"/>
      <c r="E24" s="1"/>
    </row>
    <row r="25" spans="1:5" x14ac:dyDescent="0.25">
      <c r="A25" s="1"/>
      <c r="B25" s="37" t="s">
        <v>72</v>
      </c>
      <c r="C25" s="9">
        <v>0</v>
      </c>
      <c r="D25" s="14" t="s">
        <v>3</v>
      </c>
      <c r="E25" s="1"/>
    </row>
    <row r="26" spans="1:5" x14ac:dyDescent="0.25">
      <c r="A26" s="1"/>
      <c r="B26" s="37" t="s">
        <v>83</v>
      </c>
      <c r="C26" s="9">
        <v>0</v>
      </c>
      <c r="D26" s="14" t="s">
        <v>3</v>
      </c>
      <c r="E26" s="1"/>
    </row>
    <row r="27" spans="1:5" x14ac:dyDescent="0.25">
      <c r="A27" s="1"/>
      <c r="B27" s="37" t="s">
        <v>148</v>
      </c>
      <c r="C27" s="9">
        <v>0</v>
      </c>
      <c r="D27" s="14" t="s">
        <v>3</v>
      </c>
      <c r="E27" s="1"/>
    </row>
    <row r="28" spans="1:5" x14ac:dyDescent="0.25">
      <c r="A28" s="1"/>
      <c r="B28" s="34" t="s">
        <v>169</v>
      </c>
      <c r="C28" s="9">
        <v>0</v>
      </c>
      <c r="D28" s="36" t="s">
        <v>3</v>
      </c>
      <c r="E28" s="1"/>
    </row>
    <row r="29" spans="1:5" x14ac:dyDescent="0.25">
      <c r="A29" s="1"/>
      <c r="B29" s="108"/>
      <c r="C29" s="109"/>
      <c r="D29" s="110"/>
      <c r="E29" s="1"/>
    </row>
    <row r="30" spans="1:5" x14ac:dyDescent="0.25">
      <c r="A30" s="1"/>
      <c r="B30" s="1"/>
      <c r="C30" s="1"/>
      <c r="D30" s="1"/>
      <c r="E30" s="1"/>
    </row>
    <row r="31" spans="1:5" x14ac:dyDescent="0.25">
      <c r="A31" s="1"/>
      <c r="B31" s="1"/>
      <c r="C31" s="1"/>
      <c r="D31" s="1"/>
      <c r="E31" s="1"/>
    </row>
    <row r="32" spans="1:5" x14ac:dyDescent="0.25">
      <c r="A32" s="1"/>
      <c r="B32" s="108" t="s">
        <v>47</v>
      </c>
      <c r="C32" s="109"/>
      <c r="D32" s="110"/>
      <c r="E32" s="1"/>
    </row>
    <row r="33" spans="1:5" x14ac:dyDescent="0.25">
      <c r="A33" s="1"/>
      <c r="B33" s="37" t="s">
        <v>72</v>
      </c>
      <c r="C33" s="9">
        <v>0</v>
      </c>
      <c r="D33" s="14" t="s">
        <v>3</v>
      </c>
      <c r="E33" s="1"/>
    </row>
    <row r="34" spans="1:5" x14ac:dyDescent="0.25">
      <c r="A34" s="1"/>
      <c r="B34" s="37" t="s">
        <v>83</v>
      </c>
      <c r="C34" s="9">
        <v>0</v>
      </c>
      <c r="D34" s="14" t="s">
        <v>3</v>
      </c>
      <c r="E34" s="1"/>
    </row>
    <row r="35" spans="1:5" x14ac:dyDescent="0.25">
      <c r="A35" s="1"/>
      <c r="B35" s="37" t="s">
        <v>148</v>
      </c>
      <c r="C35" s="9">
        <v>0</v>
      </c>
      <c r="D35" s="14" t="s">
        <v>3</v>
      </c>
      <c r="E35" s="1"/>
    </row>
    <row r="36" spans="1:5" x14ac:dyDescent="0.25">
      <c r="A36" s="1"/>
      <c r="B36" s="34" t="s">
        <v>169</v>
      </c>
      <c r="C36" s="9">
        <v>0</v>
      </c>
      <c r="D36" s="36" t="s">
        <v>3</v>
      </c>
      <c r="E36" s="1"/>
    </row>
    <row r="37" spans="1:5" x14ac:dyDescent="0.25">
      <c r="A37" s="1"/>
      <c r="B37" s="108"/>
      <c r="C37" s="109"/>
      <c r="D37" s="110"/>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vKBXbv9PZpxRKycSha6z3ejJ6k/u8cGE2MkkOuNNzQjgTvfELD0PFIy2fk2MEoEsix84DydtHt3Ni4JSKIWhRQ==" saltValue="AZS2BzXXB45VZJfPCALwPw=="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201</v>
      </c>
      <c r="C3" s="107"/>
      <c r="D3" s="107"/>
      <c r="E3" s="1"/>
    </row>
    <row r="4" spans="1:5" ht="15" customHeight="1" x14ac:dyDescent="0.25">
      <c r="A4" s="1"/>
      <c r="B4" s="107"/>
      <c r="C4" s="107"/>
      <c r="D4" s="107"/>
      <c r="E4" s="1"/>
    </row>
    <row r="5" spans="1:5" ht="15" customHeight="1" x14ac:dyDescent="0.25">
      <c r="A5" s="1"/>
      <c r="B5" s="107"/>
      <c r="C5" s="107"/>
      <c r="D5" s="107"/>
      <c r="E5" s="1"/>
    </row>
    <row r="6" spans="1:5" ht="15" customHeight="1" x14ac:dyDescent="0.25">
      <c r="A6" s="1"/>
      <c r="B6" s="75"/>
      <c r="C6" s="75"/>
      <c r="D6" s="75"/>
      <c r="E6" s="1"/>
    </row>
    <row r="7" spans="1:5" x14ac:dyDescent="0.25">
      <c r="A7" s="1"/>
      <c r="B7" s="1"/>
      <c r="C7" s="1"/>
      <c r="D7" s="1"/>
      <c r="E7" s="1"/>
    </row>
    <row r="8" spans="1:5" x14ac:dyDescent="0.25">
      <c r="A8" s="1"/>
      <c r="B8" s="108" t="s">
        <v>77</v>
      </c>
      <c r="C8" s="109"/>
      <c r="D8" s="110"/>
      <c r="E8" s="1"/>
    </row>
    <row r="9" spans="1:5" x14ac:dyDescent="0.25">
      <c r="A9" s="1"/>
      <c r="B9" s="65" t="s">
        <v>204</v>
      </c>
      <c r="C9" s="9">
        <v>-217088.42956162244</v>
      </c>
      <c r="D9" s="14" t="s">
        <v>3</v>
      </c>
      <c r="E9" s="1"/>
    </row>
    <row r="10" spans="1:5" x14ac:dyDescent="0.25">
      <c r="A10" s="1"/>
      <c r="B10" s="33"/>
      <c r="C10" s="28"/>
      <c r="D10" s="19"/>
      <c r="E10" s="1"/>
    </row>
    <row r="11" spans="1:5" ht="53.25" customHeight="1" x14ac:dyDescent="0.25">
      <c r="A11" s="1"/>
      <c r="B11" s="119" t="s">
        <v>212</v>
      </c>
      <c r="C11" s="120"/>
      <c r="D11" s="121"/>
      <c r="E11" s="1"/>
    </row>
    <row r="12" spans="1:5" x14ac:dyDescent="0.25">
      <c r="A12" s="1"/>
      <c r="B12" s="1"/>
      <c r="C12" s="1"/>
      <c r="D12" s="1"/>
      <c r="E12" s="1"/>
    </row>
    <row r="13" spans="1:5" x14ac:dyDescent="0.25">
      <c r="A13" s="1"/>
      <c r="B13" s="108" t="s">
        <v>78</v>
      </c>
      <c r="C13" s="109"/>
      <c r="D13" s="110"/>
      <c r="E13" s="1"/>
    </row>
    <row r="14" spans="1:5" x14ac:dyDescent="0.25">
      <c r="A14" s="1"/>
      <c r="B14" s="65" t="s">
        <v>202</v>
      </c>
      <c r="C14" s="9">
        <v>-370476.5</v>
      </c>
      <c r="D14" s="14" t="s">
        <v>3</v>
      </c>
      <c r="E14" s="1"/>
    </row>
    <row r="15" spans="1:5" x14ac:dyDescent="0.25">
      <c r="A15" s="1"/>
      <c r="B15" s="65" t="s">
        <v>203</v>
      </c>
      <c r="C15" s="9">
        <v>-370476.5</v>
      </c>
      <c r="D15" s="14" t="s">
        <v>3</v>
      </c>
      <c r="E15" s="1"/>
    </row>
    <row r="16" spans="1:5" x14ac:dyDescent="0.25">
      <c r="A16" s="1"/>
      <c r="B16" s="33"/>
      <c r="C16" s="28"/>
      <c r="D16" s="19"/>
      <c r="E16" s="1"/>
    </row>
    <row r="17" spans="1:5" ht="29.25" customHeight="1" x14ac:dyDescent="0.25">
      <c r="A17" s="1"/>
      <c r="B17" s="119" t="s">
        <v>121</v>
      </c>
      <c r="C17" s="120"/>
      <c r="D17" s="121"/>
      <c r="E17" s="1"/>
    </row>
    <row r="18" spans="1:5" x14ac:dyDescent="0.25">
      <c r="A18" s="1"/>
      <c r="B18" s="1"/>
      <c r="C18" s="1"/>
      <c r="D18" s="1"/>
      <c r="E18" s="1"/>
    </row>
    <row r="19" spans="1:5" x14ac:dyDescent="0.25">
      <c r="A19" s="1"/>
      <c r="B19" s="76" t="s">
        <v>205</v>
      </c>
      <c r="C19" s="77"/>
      <c r="D19" s="78"/>
      <c r="E19" s="1"/>
    </row>
    <row r="20" spans="1:5" x14ac:dyDescent="0.25">
      <c r="A20" s="1"/>
      <c r="B20" s="65" t="s">
        <v>206</v>
      </c>
      <c r="C20" s="9">
        <v>41132121.962340027</v>
      </c>
      <c r="D20" s="14" t="s">
        <v>3</v>
      </c>
      <c r="E20" s="1"/>
    </row>
    <row r="21" spans="1:5" x14ac:dyDescent="0.25">
      <c r="A21" s="1"/>
      <c r="B21" s="65" t="s">
        <v>207</v>
      </c>
      <c r="C21" s="9">
        <v>41414640</v>
      </c>
      <c r="D21" s="14" t="s">
        <v>3</v>
      </c>
      <c r="E21" s="1"/>
    </row>
    <row r="22" spans="1:5" x14ac:dyDescent="0.25">
      <c r="A22" s="1"/>
      <c r="B22" s="65" t="s">
        <v>29</v>
      </c>
      <c r="C22" s="9">
        <v>0</v>
      </c>
      <c r="D22" s="14" t="s">
        <v>3</v>
      </c>
      <c r="E22" s="1"/>
    </row>
    <row r="23" spans="1:5" x14ac:dyDescent="0.25">
      <c r="A23" s="1"/>
      <c r="B23" s="82" t="s">
        <v>208</v>
      </c>
      <c r="C23" s="57">
        <f>C20-C21-C22</f>
        <v>-282518.03765997291</v>
      </c>
      <c r="D23" s="17" t="s">
        <v>3</v>
      </c>
      <c r="E23" s="1"/>
    </row>
    <row r="24" spans="1:5" x14ac:dyDescent="0.25">
      <c r="A24" s="1"/>
      <c r="B24" s="33"/>
      <c r="C24" s="28"/>
      <c r="D24" s="19"/>
      <c r="E24" s="1"/>
    </row>
    <row r="25" spans="1:5" x14ac:dyDescent="0.25">
      <c r="A25" s="1"/>
      <c r="B25" s="1"/>
      <c r="C25" s="1"/>
      <c r="D25" s="1"/>
      <c r="E25" s="1"/>
    </row>
    <row r="26" spans="1:5" x14ac:dyDescent="0.25">
      <c r="A26" s="1"/>
      <c r="B26" s="108" t="s">
        <v>209</v>
      </c>
      <c r="C26" s="109"/>
      <c r="D26" s="110"/>
      <c r="E26" s="1"/>
    </row>
    <row r="27" spans="1:5" x14ac:dyDescent="0.25">
      <c r="A27" s="1"/>
      <c r="B27" s="82" t="s">
        <v>210</v>
      </c>
      <c r="C27" s="57">
        <f>IF(AND(C15&lt;0,C23&gt;0,ABS(SUM(C14:C15))&lt;C23),ABS(C14),IF(AND(C15&lt;0,C23&gt;0,ABS(SUM(C14:C15))&gt;C23),SUM(C14,C23),C15))</f>
        <v>-370476.5</v>
      </c>
      <c r="D27" s="17" t="s">
        <v>3</v>
      </c>
      <c r="E27" s="1"/>
    </row>
    <row r="28" spans="1:5" x14ac:dyDescent="0.25">
      <c r="A28" s="1"/>
      <c r="B28" s="108"/>
      <c r="C28" s="109"/>
      <c r="D28" s="110"/>
      <c r="E28" s="1"/>
    </row>
    <row r="29" spans="1:5" x14ac:dyDescent="0.25">
      <c r="A29" s="1"/>
      <c r="B29" s="1"/>
      <c r="C29" s="1"/>
      <c r="D29" s="1"/>
      <c r="E29" s="1"/>
    </row>
    <row r="30" spans="1:5" x14ac:dyDescent="0.25">
      <c r="A30" s="1"/>
      <c r="B30" s="108" t="s">
        <v>211</v>
      </c>
      <c r="C30" s="109"/>
      <c r="D30" s="110"/>
      <c r="E30" s="1"/>
    </row>
    <row r="31" spans="1:5" x14ac:dyDescent="0.25">
      <c r="A31" s="1"/>
      <c r="B31" s="66" t="s">
        <v>69</v>
      </c>
      <c r="C31" s="58">
        <f>IF(AND(C9&gt;0,(C9+C23)&gt;0),0,IF(AND(C9&gt;0,(C9+C23)&lt;0),(C9+C23),IF(AND(C9&lt;0,C23&lt;0),C23,0)))</f>
        <v>-282518.03765997291</v>
      </c>
      <c r="D31" s="14" t="s">
        <v>3</v>
      </c>
      <c r="E31" s="1"/>
    </row>
    <row r="32" spans="1:5" x14ac:dyDescent="0.25">
      <c r="A32" s="1"/>
      <c r="B32" s="66" t="s">
        <v>49</v>
      </c>
      <c r="C32" s="9">
        <v>2</v>
      </c>
      <c r="D32" s="14" t="s">
        <v>20</v>
      </c>
      <c r="E32" s="1"/>
    </row>
    <row r="33" spans="1:5" x14ac:dyDescent="0.25">
      <c r="A33" s="1"/>
      <c r="B33" s="67" t="s">
        <v>70</v>
      </c>
      <c r="C33" s="57">
        <f>C31/C32</f>
        <v>-141259.01882998645</v>
      </c>
      <c r="D33" s="17" t="s">
        <v>3</v>
      </c>
      <c r="E33" s="1"/>
    </row>
    <row r="34" spans="1:5" x14ac:dyDescent="0.25">
      <c r="A34" s="1"/>
      <c r="B34" s="116"/>
      <c r="C34" s="117"/>
      <c r="D34" s="118"/>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djCFU5S9k8EnXTmRnwWUhOxybv2cFZL6tMY9E3QVnSJb5bwoNCUbJPpi6HCmIxXKUcCoNHyrWaj1rwlJRtic3A==" saltValue="+sAF243YuCa8jA5pRnYBJw=="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7" t="s">
        <v>101</v>
      </c>
      <c r="C3" s="107"/>
      <c r="D3" s="107"/>
      <c r="E3" s="1"/>
    </row>
    <row r="4" spans="1:5" ht="15" customHeight="1" x14ac:dyDescent="0.25">
      <c r="A4" s="1"/>
      <c r="B4" s="107"/>
      <c r="C4" s="107"/>
      <c r="D4" s="107"/>
      <c r="E4" s="1"/>
    </row>
    <row r="5" spans="1:5" x14ac:dyDescent="0.25">
      <c r="A5" s="1"/>
      <c r="B5" s="107"/>
      <c r="C5" s="107"/>
      <c r="D5" s="107"/>
      <c r="E5" s="1"/>
    </row>
    <row r="6" spans="1:5" x14ac:dyDescent="0.25">
      <c r="A6" s="1"/>
      <c r="B6" s="1"/>
      <c r="C6" s="1"/>
      <c r="D6" s="1"/>
      <c r="E6" s="1"/>
    </row>
    <row r="7" spans="1:5" x14ac:dyDescent="0.25">
      <c r="A7" s="1"/>
      <c r="B7" s="1"/>
      <c r="C7" s="1"/>
      <c r="D7" s="1"/>
      <c r="E7" s="1"/>
    </row>
    <row r="8" spans="1:5" x14ac:dyDescent="0.25">
      <c r="A8" s="1"/>
      <c r="B8" s="108" t="s">
        <v>120</v>
      </c>
      <c r="C8" s="109"/>
      <c r="D8" s="110"/>
      <c r="E8" s="1"/>
    </row>
    <row r="9" spans="1:5" ht="15" customHeight="1" x14ac:dyDescent="0.25">
      <c r="A9" s="1"/>
      <c r="B9" s="122" t="s">
        <v>102</v>
      </c>
      <c r="C9" s="123"/>
      <c r="D9" s="124"/>
      <c r="E9" s="1"/>
    </row>
    <row r="10" spans="1:5" x14ac:dyDescent="0.25">
      <c r="A10" s="1"/>
      <c r="B10" s="68" t="s">
        <v>103</v>
      </c>
      <c r="C10" s="9"/>
      <c r="D10" s="9" t="s">
        <v>3</v>
      </c>
      <c r="E10" s="1"/>
    </row>
    <row r="11" spans="1:5" x14ac:dyDescent="0.25">
      <c r="A11" s="1"/>
      <c r="B11" s="68" t="s">
        <v>104</v>
      </c>
      <c r="C11" s="9"/>
      <c r="D11" s="9" t="s">
        <v>3</v>
      </c>
      <c r="E11" s="1"/>
    </row>
    <row r="12" spans="1:5" x14ac:dyDescent="0.25">
      <c r="A12" s="1"/>
      <c r="B12" s="68" t="s">
        <v>105</v>
      </c>
      <c r="C12" s="9"/>
      <c r="D12" s="9" t="s">
        <v>3</v>
      </c>
      <c r="E12" s="1"/>
    </row>
    <row r="13" spans="1:5" x14ac:dyDescent="0.25">
      <c r="A13" s="1"/>
      <c r="B13" s="68" t="s">
        <v>106</v>
      </c>
      <c r="C13" s="9"/>
      <c r="D13" s="9" t="s">
        <v>3</v>
      </c>
      <c r="E13" s="1"/>
    </row>
    <row r="14" spans="1:5" x14ac:dyDescent="0.25">
      <c r="A14" s="1"/>
      <c r="B14" s="68" t="s">
        <v>107</v>
      </c>
      <c r="C14" s="9"/>
      <c r="D14" s="9" t="s">
        <v>3</v>
      </c>
      <c r="E14" s="1"/>
    </row>
    <row r="15" spans="1:5" x14ac:dyDescent="0.25">
      <c r="A15" s="1"/>
      <c r="B15" s="68" t="s">
        <v>108</v>
      </c>
      <c r="C15" s="9"/>
      <c r="D15" s="9" t="s">
        <v>3</v>
      </c>
      <c r="E15" s="1"/>
    </row>
    <row r="16" spans="1:5" x14ac:dyDescent="0.25">
      <c r="A16" s="1"/>
      <c r="B16" s="68" t="s">
        <v>109</v>
      </c>
      <c r="C16" s="9"/>
      <c r="D16" s="9" t="s">
        <v>3</v>
      </c>
      <c r="E16" s="1"/>
    </row>
    <row r="17" spans="1:5" x14ac:dyDescent="0.25">
      <c r="A17" s="1"/>
      <c r="B17" s="68" t="s">
        <v>110</v>
      </c>
      <c r="C17" s="9"/>
      <c r="D17" s="9" t="s">
        <v>3</v>
      </c>
      <c r="E17" s="1"/>
    </row>
    <row r="18" spans="1:5" x14ac:dyDescent="0.25">
      <c r="A18" s="1"/>
      <c r="B18" s="76" t="s">
        <v>111</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ITvAozjor7XdRSqjzHDOxmnVERWZuzlwpdQzdoOln9vN5s2/KXzp+qY1Sczi5fb6MlplsD11UUmzKI3wFzws2w==" saltValue="bAMZv5lLvW13I9mWTDJ4vQ=="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170</v>
      </c>
      <c r="C3" s="107"/>
      <c r="D3" s="107"/>
      <c r="E3" s="1"/>
    </row>
    <row r="4" spans="1:5" ht="15" customHeight="1" x14ac:dyDescent="0.25">
      <c r="A4" s="1"/>
      <c r="B4" s="107"/>
      <c r="C4" s="107"/>
      <c r="D4" s="107"/>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8" t="s">
        <v>171</v>
      </c>
      <c r="C8" s="109"/>
      <c r="D8" s="110"/>
      <c r="E8" s="1"/>
    </row>
    <row r="9" spans="1:5" ht="26.25" x14ac:dyDescent="0.25">
      <c r="A9" s="1"/>
      <c r="B9" s="79" t="s">
        <v>217</v>
      </c>
      <c r="C9" s="7">
        <v>1202405.0778218107</v>
      </c>
      <c r="D9" s="8" t="s">
        <v>3</v>
      </c>
      <c r="E9" s="1"/>
    </row>
    <row r="10" spans="1:5" ht="14.25" customHeight="1" x14ac:dyDescent="0.25">
      <c r="A10" s="1"/>
      <c r="B10" s="65" t="s">
        <v>172</v>
      </c>
      <c r="C10" s="7">
        <v>0</v>
      </c>
      <c r="D10" s="8" t="s">
        <v>3</v>
      </c>
      <c r="E10" s="1"/>
    </row>
    <row r="11" spans="1:5" ht="14.25" customHeight="1" x14ac:dyDescent="0.25">
      <c r="A11" s="1"/>
      <c r="B11" s="82" t="s">
        <v>48</v>
      </c>
      <c r="C11" s="10">
        <f>C10-C9</f>
        <v>-1202405.0778218107</v>
      </c>
      <c r="D11" s="11" t="s">
        <v>3</v>
      </c>
      <c r="E11" s="1"/>
    </row>
    <row r="12" spans="1:5" ht="14.25" customHeight="1" x14ac:dyDescent="0.25">
      <c r="A12" s="1"/>
      <c r="B12" s="108" t="s">
        <v>219</v>
      </c>
      <c r="C12" s="109"/>
      <c r="D12" s="110"/>
      <c r="E12" s="1"/>
    </row>
    <row r="13" spans="1:5" ht="26.25" x14ac:dyDescent="0.25">
      <c r="A13" s="1"/>
      <c r="B13" s="79" t="s">
        <v>218</v>
      </c>
      <c r="C13" s="7">
        <v>0</v>
      </c>
      <c r="D13" s="8" t="s">
        <v>3</v>
      </c>
      <c r="E13" s="1"/>
    </row>
    <row r="14" spans="1:5" ht="14.25" customHeight="1" x14ac:dyDescent="0.25">
      <c r="A14" s="1"/>
      <c r="B14" s="65" t="s">
        <v>173</v>
      </c>
      <c r="C14" s="7">
        <v>0</v>
      </c>
      <c r="D14" s="8" t="s">
        <v>3</v>
      </c>
      <c r="E14" s="1"/>
    </row>
    <row r="15" spans="1:5" ht="14.25" customHeight="1" x14ac:dyDescent="0.25">
      <c r="A15" s="1"/>
      <c r="B15" s="82" t="s">
        <v>48</v>
      </c>
      <c r="C15" s="10">
        <f>C14-C13</f>
        <v>0</v>
      </c>
      <c r="D15" s="11" t="s">
        <v>3</v>
      </c>
      <c r="E15" s="1"/>
    </row>
    <row r="16" spans="1:5" ht="14.25" customHeight="1" x14ac:dyDescent="0.25">
      <c r="A16" s="1"/>
      <c r="B16" s="33" t="s">
        <v>174</v>
      </c>
      <c r="C16" s="12">
        <f>C11+C15</f>
        <v>-1202405.0778218107</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jL7yE3qnKJYJz3G+iuiTbqCyWS+E3wpkPja+p43ZLM1efyVHS2ffNyxaleIjetg47jI0ZDr22qIHHb1KPSaMqQ==" saltValue="NlSymyl3bpQZqAQhfpCMDg=="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4" t="s">
        <v>113</v>
      </c>
      <c r="C3" s="104"/>
      <c r="D3" s="104"/>
      <c r="E3" s="104"/>
      <c r="F3" s="104"/>
      <c r="G3" s="104"/>
      <c r="H3" s="104"/>
      <c r="I3" s="104"/>
      <c r="J3" s="104"/>
      <c r="K3" s="104"/>
      <c r="L3" s="1"/>
    </row>
    <row r="4" spans="1:12" ht="15" customHeight="1" x14ac:dyDescent="0.25">
      <c r="A4" s="1"/>
      <c r="B4" s="104"/>
      <c r="C4" s="104"/>
      <c r="D4" s="104"/>
      <c r="E4" s="104"/>
      <c r="F4" s="104"/>
      <c r="G4" s="104"/>
      <c r="H4" s="104"/>
      <c r="I4" s="104"/>
      <c r="J4" s="104"/>
      <c r="K4" s="10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8" t="s">
        <v>86</v>
      </c>
      <c r="C8" s="109"/>
      <c r="D8" s="109"/>
      <c r="E8" s="109"/>
      <c r="F8" s="109"/>
      <c r="G8" s="109"/>
      <c r="H8" s="109"/>
      <c r="I8" s="109"/>
      <c r="J8" s="109"/>
      <c r="K8" s="110"/>
      <c r="L8" s="1"/>
    </row>
    <row r="9" spans="1:12" ht="39.75" customHeight="1" x14ac:dyDescent="0.25">
      <c r="A9" s="1"/>
      <c r="B9" s="18" t="s">
        <v>0</v>
      </c>
      <c r="C9" s="18" t="s">
        <v>1</v>
      </c>
      <c r="D9" s="125" t="s">
        <v>96</v>
      </c>
      <c r="E9" s="126"/>
      <c r="F9" s="125" t="s">
        <v>2</v>
      </c>
      <c r="G9" s="126"/>
      <c r="H9" s="125" t="s">
        <v>95</v>
      </c>
      <c r="I9" s="126"/>
      <c r="J9" s="125" t="s">
        <v>26</v>
      </c>
      <c r="K9" s="126"/>
      <c r="L9" s="1"/>
    </row>
    <row r="10" spans="1:12" x14ac:dyDescent="0.25">
      <c r="A10" s="1"/>
      <c r="B10" s="68" t="s">
        <v>224</v>
      </c>
      <c r="C10" s="42">
        <v>0</v>
      </c>
      <c r="D10" s="9">
        <v>0</v>
      </c>
      <c r="E10" s="14" t="s">
        <v>3</v>
      </c>
      <c r="F10" s="9">
        <f>IFERROR(D10/C10,0)</f>
        <v>0</v>
      </c>
      <c r="G10" s="14" t="s">
        <v>3</v>
      </c>
      <c r="H10" s="38">
        <v>0</v>
      </c>
      <c r="I10" s="14" t="s">
        <v>3</v>
      </c>
      <c r="J10" s="38">
        <v>0</v>
      </c>
      <c r="K10" s="14" t="s">
        <v>3</v>
      </c>
      <c r="L10" s="1"/>
    </row>
    <row r="11" spans="1:12" x14ac:dyDescent="0.25">
      <c r="A11" s="1"/>
      <c r="B11" s="76" t="s">
        <v>221</v>
      </c>
      <c r="C11" s="77"/>
      <c r="D11" s="78"/>
      <c r="E11" s="78"/>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MN8WFz9fTNwvxWIh41R/c0v8XsBokLFjuq2lSUOPRW7bK0ycMxywX40G4kREP5nJE8I+UCmq6baloxD6UfkHIw==" saltValue="QK/M2M5zcliMyt6gXTZ74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114</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80" t="s">
        <v>17</v>
      </c>
      <c r="C9" s="82" t="s">
        <v>11</v>
      </c>
      <c r="D9" s="81"/>
      <c r="E9" s="82"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t="s">
        <v>235</v>
      </c>
      <c r="C11" s="21">
        <v>178014</v>
      </c>
      <c r="D11" s="14" t="s">
        <v>3</v>
      </c>
      <c r="E11" s="9">
        <v>443994</v>
      </c>
      <c r="F11" s="14" t="s">
        <v>3</v>
      </c>
      <c r="G11" s="1"/>
    </row>
    <row r="12" spans="1:7" x14ac:dyDescent="0.25">
      <c r="A12" s="1"/>
      <c r="B12" s="24"/>
      <c r="C12" s="21"/>
      <c r="D12" s="14" t="s">
        <v>3</v>
      </c>
      <c r="E12" s="9"/>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139</v>
      </c>
      <c r="C19" s="12">
        <f>SUM(C10:C18)</f>
        <v>178014</v>
      </c>
      <c r="D19" s="13" t="s">
        <v>3</v>
      </c>
      <c r="E19" s="12">
        <f>SUM(E10:E18)</f>
        <v>443994</v>
      </c>
      <c r="F19" s="13" t="s">
        <v>3</v>
      </c>
      <c r="G19" s="1"/>
    </row>
    <row r="20" spans="1:7" x14ac:dyDescent="0.25">
      <c r="A20" s="1"/>
      <c r="B20" s="33" t="s">
        <v>175</v>
      </c>
      <c r="C20" s="12">
        <f>C19*(1+'Fane 15. Nøgletal'!C10)</f>
        <v>189816.32820000002</v>
      </c>
      <c r="D20" s="13" t="s">
        <v>3</v>
      </c>
      <c r="E20" s="12">
        <f>E19*(1+'Fane 15. Nøgletal'!C10)</f>
        <v>473430.80220000003</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PCDdIs5H49XUSUq86HYOwL7uV0nuqVbno1NMbysTazDfNt7ZxTLMN+ECtQwJ2sVIm4TM8+L+5iCSOXShJNCdFw==" saltValue="20DM6myyFZ50mAZcMAtRO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115</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8" t="s">
        <v>176</v>
      </c>
      <c r="C8" s="109"/>
      <c r="D8" s="109"/>
      <c r="E8" s="109"/>
      <c r="F8" s="110"/>
      <c r="G8" s="1"/>
    </row>
    <row r="9" spans="1:7" x14ac:dyDescent="0.25">
      <c r="A9" s="1"/>
      <c r="B9" s="80" t="s">
        <v>17</v>
      </c>
      <c r="C9" s="82" t="s">
        <v>11</v>
      </c>
      <c r="D9" s="81"/>
      <c r="E9" s="82" t="s">
        <v>27</v>
      </c>
      <c r="F9" s="32"/>
      <c r="G9" s="1"/>
    </row>
    <row r="10" spans="1:7" x14ac:dyDescent="0.25">
      <c r="A10" s="1"/>
      <c r="B10" s="24" t="s">
        <v>233</v>
      </c>
      <c r="C10" s="21">
        <v>585172.30000000005</v>
      </c>
      <c r="D10" s="14" t="s">
        <v>3</v>
      </c>
      <c r="E10" s="9">
        <v>0</v>
      </c>
      <c r="F10" s="14" t="s">
        <v>3</v>
      </c>
      <c r="G10" s="1"/>
    </row>
    <row r="11" spans="1:7" x14ac:dyDescent="0.25">
      <c r="A11" s="1"/>
      <c r="B11" s="24" t="s">
        <v>234</v>
      </c>
      <c r="C11" s="21">
        <v>599521.94999999995</v>
      </c>
      <c r="D11" s="14" t="s">
        <v>3</v>
      </c>
      <c r="E11" s="9">
        <v>0</v>
      </c>
      <c r="F11" s="14" t="s">
        <v>3</v>
      </c>
      <c r="G11" s="1"/>
    </row>
    <row r="12" spans="1:7" x14ac:dyDescent="0.25">
      <c r="A12" s="1"/>
      <c r="B12" s="24"/>
      <c r="C12" s="21"/>
      <c r="D12" s="14" t="s">
        <v>3</v>
      </c>
      <c r="E12" s="9"/>
      <c r="F12" s="14" t="s">
        <v>3</v>
      </c>
      <c r="G12" s="1"/>
    </row>
    <row r="13" spans="1:7" x14ac:dyDescent="0.25">
      <c r="A13" s="1"/>
      <c r="B13" s="33" t="s">
        <v>177</v>
      </c>
      <c r="C13" s="12">
        <f>SUM(C10:C12)</f>
        <v>1184694.25</v>
      </c>
      <c r="D13" s="13" t="s">
        <v>3</v>
      </c>
      <c r="E13" s="12">
        <f>SUM(E10:E12)</f>
        <v>0</v>
      </c>
      <c r="F13" s="13" t="s">
        <v>3</v>
      </c>
      <c r="G13" s="1"/>
    </row>
    <row r="14" spans="1:7" x14ac:dyDescent="0.25">
      <c r="A14" s="1"/>
      <c r="B14" s="33" t="s">
        <v>178</v>
      </c>
      <c r="C14" s="12">
        <f>C13*(1+'Fane 15. Nøgletal'!C10)^2</f>
        <v>1346992.2562177826</v>
      </c>
      <c r="D14" s="13" t="s">
        <v>3</v>
      </c>
      <c r="E14" s="12">
        <f>E13*(1+'Fane 15. Nøgletal'!C10)^2</f>
        <v>0</v>
      </c>
      <c r="F14" s="13" t="s">
        <v>3</v>
      </c>
      <c r="G14" s="1"/>
    </row>
    <row r="15" spans="1:7" x14ac:dyDescent="0.25">
      <c r="A15" s="1"/>
      <c r="B15" s="1"/>
      <c r="C15" s="1"/>
      <c r="D15" s="1"/>
      <c r="E15" s="1"/>
      <c r="F15" s="1"/>
      <c r="G15" s="1"/>
    </row>
    <row r="16" spans="1:7" x14ac:dyDescent="0.25">
      <c r="A16" s="1"/>
      <c r="B16" s="127"/>
      <c r="C16" s="127"/>
      <c r="D16" s="127"/>
      <c r="E16" s="127"/>
      <c r="F16" s="127"/>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27"/>
      <c r="C29" s="127"/>
      <c r="D29" s="127"/>
      <c r="E29" s="127"/>
      <c r="F29" s="127"/>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YwtSFR0vL/vL3KRV4Q8wz4I13cbT0FPqfGIPl+dqDe++v14Peo6j5XWnFJp4M32AiusdZ+MNi1A4CxI55wZUUg==" saltValue="1ffpRQz7gv4n1hd3hZ2yKA=="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116</v>
      </c>
      <c r="C3" s="107"/>
      <c r="D3" s="107"/>
      <c r="E3" s="1"/>
    </row>
    <row r="4" spans="1:5" ht="15" customHeight="1" x14ac:dyDescent="0.25">
      <c r="A4" s="1"/>
      <c r="B4" s="107"/>
      <c r="C4" s="107"/>
      <c r="D4" s="107"/>
      <c r="E4" s="1"/>
    </row>
    <row r="5" spans="1:5" x14ac:dyDescent="0.25">
      <c r="A5" s="1"/>
      <c r="B5" s="107"/>
      <c r="C5" s="107"/>
      <c r="D5" s="107"/>
      <c r="E5" s="1"/>
    </row>
    <row r="6" spans="1:5" x14ac:dyDescent="0.25">
      <c r="A6" s="1"/>
      <c r="B6" s="1"/>
      <c r="C6" s="1"/>
      <c r="D6" s="1"/>
      <c r="E6" s="1"/>
    </row>
    <row r="7" spans="1:5" x14ac:dyDescent="0.25">
      <c r="A7" s="1"/>
      <c r="B7" s="1"/>
      <c r="C7" s="1"/>
      <c r="D7" s="1"/>
      <c r="E7" s="1"/>
    </row>
    <row r="8" spans="1:5" ht="14.25" customHeight="1" x14ac:dyDescent="0.25">
      <c r="A8" s="1"/>
      <c r="B8" s="108" t="s">
        <v>73</v>
      </c>
      <c r="C8" s="109"/>
      <c r="D8" s="110"/>
      <c r="E8" s="1"/>
    </row>
    <row r="9" spans="1:5" x14ac:dyDescent="0.25">
      <c r="A9" s="1"/>
      <c r="B9" s="68" t="s">
        <v>179</v>
      </c>
      <c r="C9" s="9">
        <f>279595.219164682*(1+'Fane 15. Nøgletal'!C9)</f>
        <v>302186.51287318836</v>
      </c>
      <c r="D9" s="14" t="s">
        <v>3</v>
      </c>
      <c r="E9" s="1"/>
    </row>
    <row r="10" spans="1:5" x14ac:dyDescent="0.25">
      <c r="A10" s="1"/>
      <c r="B10" s="64" t="s">
        <v>10</v>
      </c>
      <c r="C10" s="9">
        <f>-C9*'Fane 5. Individuelt eff. krav'!C9</f>
        <v>-6043.730257463767</v>
      </c>
      <c r="D10" s="14" t="s">
        <v>3</v>
      </c>
      <c r="E10" s="1"/>
    </row>
    <row r="11" spans="1:5" x14ac:dyDescent="0.25">
      <c r="A11" s="1"/>
      <c r="B11" s="64" t="s">
        <v>22</v>
      </c>
      <c r="C11" s="9">
        <f>-C9*'Fane 15. Nøgletal'!C21</f>
        <v>-6043.730257463767</v>
      </c>
      <c r="D11" s="14" t="s">
        <v>3</v>
      </c>
      <c r="E11" s="1"/>
    </row>
    <row r="12" spans="1:5" x14ac:dyDescent="0.25">
      <c r="A12" s="1"/>
      <c r="B12" s="76" t="s">
        <v>74</v>
      </c>
      <c r="C12" s="12">
        <f>SUM(C9:C11)*(1+'Fane 15. Nøgletal'!C9)^2</f>
        <v>338873.011496544</v>
      </c>
      <c r="D12" s="13" t="s">
        <v>3</v>
      </c>
      <c r="E12" s="1"/>
    </row>
    <row r="13" spans="1:5" x14ac:dyDescent="0.25">
      <c r="A13" s="1"/>
      <c r="B13" s="1"/>
      <c r="C13" s="1"/>
      <c r="D13" s="1"/>
      <c r="E13" s="1"/>
    </row>
    <row r="14" spans="1:5" ht="15" customHeight="1" x14ac:dyDescent="0.25">
      <c r="A14" s="1"/>
      <c r="B14" s="108" t="s">
        <v>84</v>
      </c>
      <c r="C14" s="109"/>
      <c r="D14" s="110"/>
      <c r="E14" s="1"/>
    </row>
    <row r="15" spans="1:5" x14ac:dyDescent="0.25">
      <c r="A15" s="1"/>
      <c r="B15" s="68" t="s">
        <v>179</v>
      </c>
      <c r="C15" s="9">
        <v>289548.80896694516</v>
      </c>
      <c r="D15" s="14" t="s">
        <v>3</v>
      </c>
      <c r="E15" s="1"/>
    </row>
    <row r="16" spans="1:5" x14ac:dyDescent="0.25">
      <c r="A16" s="1"/>
      <c r="B16" s="64" t="s">
        <v>10</v>
      </c>
      <c r="C16" s="9">
        <f>-C15*'Fane 5. Individuelt eff. krav'!C9</f>
        <v>-5790.9761793389034</v>
      </c>
      <c r="D16" s="14" t="s">
        <v>3</v>
      </c>
      <c r="E16" s="1"/>
    </row>
    <row r="17" spans="1:5" x14ac:dyDescent="0.25">
      <c r="A17" s="1"/>
      <c r="B17" s="64" t="s">
        <v>22</v>
      </c>
      <c r="C17" s="9">
        <f>-C15*'Fane 15. Nøgletal'!C21</f>
        <v>-5790.9761793389034</v>
      </c>
      <c r="D17" s="14" t="s">
        <v>3</v>
      </c>
      <c r="E17" s="1"/>
    </row>
    <row r="18" spans="1:5" x14ac:dyDescent="0.25">
      <c r="A18" s="1"/>
      <c r="B18" s="76" t="s">
        <v>85</v>
      </c>
      <c r="C18" s="12">
        <f>SUM(C15:C17)*(1+'Fane 15. Nøgletal'!C10)^3</f>
        <v>337001.04184497159</v>
      </c>
      <c r="D18" s="13" t="s">
        <v>3</v>
      </c>
      <c r="E18" s="1"/>
    </row>
    <row r="19" spans="1:5" x14ac:dyDescent="0.25">
      <c r="A19" s="1"/>
      <c r="B19" s="1"/>
      <c r="C19" s="1"/>
      <c r="D19" s="1"/>
      <c r="E19" s="1"/>
    </row>
    <row r="20" spans="1:5" ht="15" customHeight="1" x14ac:dyDescent="0.25">
      <c r="A20" s="1"/>
      <c r="B20" s="108" t="s">
        <v>140</v>
      </c>
      <c r="C20" s="109"/>
      <c r="D20" s="110"/>
      <c r="E20" s="1"/>
    </row>
    <row r="21" spans="1:5" x14ac:dyDescent="0.25">
      <c r="A21" s="1"/>
      <c r="B21" s="68" t="s">
        <v>179</v>
      </c>
      <c r="C21" s="9">
        <v>289548.80896694516</v>
      </c>
      <c r="D21" s="14" t="s">
        <v>3</v>
      </c>
      <c r="E21" s="1"/>
    </row>
    <row r="22" spans="1:5" x14ac:dyDescent="0.25">
      <c r="A22" s="1"/>
      <c r="B22" s="64" t="s">
        <v>10</v>
      </c>
      <c r="C22" s="9">
        <f>-C21*'Fane 5. Individuelt eff. krav'!C9</f>
        <v>-5790.9761793389034</v>
      </c>
      <c r="D22" s="14" t="s">
        <v>3</v>
      </c>
      <c r="E22" s="1"/>
    </row>
    <row r="23" spans="1:5" x14ac:dyDescent="0.25">
      <c r="A23" s="1"/>
      <c r="B23" s="64" t="s">
        <v>22</v>
      </c>
      <c r="C23" s="9">
        <f>-C21*'Fane 15. Nøgletal'!C21</f>
        <v>-5790.9761793389034</v>
      </c>
      <c r="D23" s="14" t="s">
        <v>3</v>
      </c>
      <c r="E23" s="1"/>
    </row>
    <row r="24" spans="1:5" x14ac:dyDescent="0.25">
      <c r="A24" s="1"/>
      <c r="B24" s="76" t="s">
        <v>141</v>
      </c>
      <c r="C24" s="12">
        <f>SUM(C21:C23)*(1+'Fane 15. Nøgletal'!C10)^4</f>
        <v>359344.21091929317</v>
      </c>
      <c r="D24" s="13" t="s">
        <v>3</v>
      </c>
      <c r="E24" s="1"/>
    </row>
    <row r="25" spans="1:5" x14ac:dyDescent="0.25">
      <c r="A25" s="1"/>
      <c r="B25" s="1"/>
      <c r="C25" s="1"/>
      <c r="D25" s="1"/>
      <c r="E25" s="1"/>
    </row>
    <row r="26" spans="1:5" ht="15" customHeight="1" x14ac:dyDescent="0.25">
      <c r="A26" s="1"/>
      <c r="B26" s="108" t="s">
        <v>180</v>
      </c>
      <c r="C26" s="109"/>
      <c r="D26" s="110"/>
      <c r="E26" s="1"/>
    </row>
    <row r="27" spans="1:5" ht="14.25" customHeight="1" x14ac:dyDescent="0.25">
      <c r="A27" s="1"/>
      <c r="B27" s="68" t="s">
        <v>179</v>
      </c>
      <c r="C27" s="9">
        <v>289548.80896694516</v>
      </c>
      <c r="D27" s="14" t="s">
        <v>3</v>
      </c>
      <c r="E27" s="1"/>
    </row>
    <row r="28" spans="1:5" x14ac:dyDescent="0.25">
      <c r="A28" s="1"/>
      <c r="B28" s="64" t="s">
        <v>10</v>
      </c>
      <c r="C28" s="9">
        <f>-C27*'Fane 5. Individuelt eff. krav'!C9</f>
        <v>-5790.9761793389034</v>
      </c>
      <c r="D28" s="14" t="s">
        <v>3</v>
      </c>
      <c r="E28" s="1"/>
    </row>
    <row r="29" spans="1:5" x14ac:dyDescent="0.25">
      <c r="A29" s="1"/>
      <c r="B29" s="64" t="s">
        <v>22</v>
      </c>
      <c r="C29" s="9">
        <f>-C27*'Fane 15. Nøgletal'!C21</f>
        <v>-5790.9761793389034</v>
      </c>
      <c r="D29" s="14" t="s">
        <v>3</v>
      </c>
      <c r="E29" s="1"/>
    </row>
    <row r="30" spans="1:5" x14ac:dyDescent="0.25">
      <c r="A30" s="1"/>
      <c r="B30" s="76" t="s">
        <v>181</v>
      </c>
      <c r="C30" s="12">
        <f>SUM(C27:C29)*(1+'Fane 15. Nøgletal'!C10)^5</f>
        <v>383168.73210324231</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C2MgQFAFj8p8Qy/Mevayco5TVDcug5UmZE44zePx3Eyqv+uszNNz3gNTyQddcslLHq3dSS2tXHvgYU7C3+Dw/A==" saltValue="caeh4/vOXzjFkESIU2ImAg=="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117</v>
      </c>
      <c r="C3" s="107"/>
      <c r="D3" s="107"/>
      <c r="E3" s="107"/>
      <c r="F3" s="107"/>
      <c r="G3" s="1"/>
    </row>
    <row r="4" spans="1:7" ht="15" customHeight="1" x14ac:dyDescent="0.25">
      <c r="A4" s="1"/>
      <c r="B4" s="107"/>
      <c r="C4" s="107"/>
      <c r="D4" s="107"/>
      <c r="E4" s="107"/>
      <c r="F4" s="107"/>
      <c r="G4" s="1"/>
    </row>
    <row r="5" spans="1:7" x14ac:dyDescent="0.25">
      <c r="A5" s="1"/>
      <c r="B5" s="107"/>
      <c r="C5" s="107"/>
      <c r="D5" s="107"/>
      <c r="E5" s="107"/>
      <c r="F5" s="107"/>
      <c r="G5" s="1"/>
    </row>
    <row r="6" spans="1:7" x14ac:dyDescent="0.25">
      <c r="A6" s="1"/>
      <c r="B6" s="1"/>
      <c r="C6" s="1"/>
      <c r="D6" s="1"/>
      <c r="E6" s="1"/>
      <c r="F6" s="1"/>
      <c r="G6" s="1"/>
    </row>
    <row r="7" spans="1:7" x14ac:dyDescent="0.25">
      <c r="A7" s="1"/>
      <c r="B7" s="1"/>
      <c r="C7" s="1"/>
      <c r="D7" s="1"/>
      <c r="E7" s="1"/>
      <c r="F7" s="1"/>
      <c r="G7" s="1"/>
    </row>
    <row r="8" spans="1:7" x14ac:dyDescent="0.25">
      <c r="A8" s="1"/>
      <c r="B8" s="108" t="s">
        <v>66</v>
      </c>
      <c r="C8" s="109"/>
      <c r="D8" s="109"/>
      <c r="E8" s="109"/>
      <c r="F8" s="110"/>
      <c r="G8" s="1"/>
    </row>
    <row r="9" spans="1:7" ht="15" customHeight="1" x14ac:dyDescent="0.25">
      <c r="A9" s="1"/>
      <c r="B9" s="31" t="s">
        <v>67</v>
      </c>
      <c r="C9" s="27" t="s">
        <v>11</v>
      </c>
      <c r="D9" s="32"/>
      <c r="E9" s="27" t="s">
        <v>27</v>
      </c>
      <c r="F9" s="32"/>
      <c r="G9" s="1"/>
    </row>
    <row r="10" spans="1:7" ht="26.25" x14ac:dyDescent="0.25">
      <c r="A10" s="1"/>
      <c r="B10" s="70" t="s">
        <v>222</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U24X4H/9vDdY7F6ZJQD9LAQTQL0c2FQNVU+vN9o1QJAW1eaia67RVi4cNOGmr+SdEx0xuLOk7uhecB7v4/CnAw==" saltValue="9xFJfosdyKoSOA3R4k4NRw=="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118</v>
      </c>
      <c r="C3" s="107"/>
      <c r="D3" s="107"/>
      <c r="E3" s="107"/>
      <c r="F3" s="107"/>
      <c r="G3" s="1"/>
    </row>
    <row r="4" spans="1:7" ht="15" customHeight="1" x14ac:dyDescent="0.25">
      <c r="A4" s="1"/>
      <c r="B4" s="107"/>
      <c r="C4" s="107"/>
      <c r="D4" s="107"/>
      <c r="E4" s="107"/>
      <c r="F4" s="107"/>
      <c r="G4" s="1"/>
    </row>
    <row r="5" spans="1:7" x14ac:dyDescent="0.25">
      <c r="A5" s="1"/>
      <c r="B5" s="107"/>
      <c r="C5" s="107"/>
      <c r="D5" s="107"/>
      <c r="E5" s="107"/>
      <c r="F5" s="107"/>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08" t="s">
        <v>183</v>
      </c>
      <c r="C8" s="109"/>
      <c r="D8" s="109"/>
      <c r="E8" s="109"/>
      <c r="F8" s="110"/>
      <c r="G8" s="1"/>
    </row>
    <row r="9" spans="1:7" x14ac:dyDescent="0.25">
      <c r="A9" s="1"/>
      <c r="B9" s="31" t="s">
        <v>18</v>
      </c>
      <c r="C9" s="128" t="s">
        <v>11</v>
      </c>
      <c r="D9" s="129"/>
      <c r="E9" s="128" t="s">
        <v>27</v>
      </c>
      <c r="F9" s="129"/>
      <c r="G9" s="1"/>
    </row>
    <row r="10" spans="1:7" x14ac:dyDescent="0.25">
      <c r="A10" s="1"/>
      <c r="B10" s="70" t="s">
        <v>223</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216</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7"/>
      <c r="C14" s="127"/>
      <c r="D14" s="127"/>
      <c r="E14" s="127"/>
      <c r="F14" s="127"/>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7"/>
      <c r="C21" s="127"/>
      <c r="D21" s="127"/>
      <c r="E21" s="127"/>
      <c r="F21" s="127"/>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7"/>
      <c r="C27" s="127"/>
      <c r="D27" s="127"/>
      <c r="E27" s="127"/>
      <c r="F27" s="127"/>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sNeuGDhxSepLy8zgXfkfcsl7V94/FlMCMskGoqwMiDm++ZAPUogD0eJfwy+zBJUpy17NCrdX7yE5n4WXFi1EoA==" saltValue="YOJtCozBqcImWhNqNsUC4w=="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155</v>
      </c>
      <c r="C3" s="104"/>
      <c r="D3" s="104"/>
      <c r="E3" s="1"/>
    </row>
    <row r="4" spans="1:5" ht="15" customHeight="1" x14ac:dyDescent="0.25">
      <c r="A4" s="1"/>
      <c r="B4" s="104"/>
      <c r="C4" s="104"/>
      <c r="D4" s="10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44568855.055671319</v>
      </c>
      <c r="D9" s="8" t="s">
        <v>3</v>
      </c>
      <c r="E9" s="1"/>
    </row>
    <row r="10" spans="1:5" ht="17.25" customHeight="1" x14ac:dyDescent="0.25">
      <c r="A10" s="1"/>
      <c r="B10" s="64" t="s">
        <v>35</v>
      </c>
      <c r="C10" s="7">
        <f>'Fane 11.1. Varige tillæg'!C20</f>
        <v>189816.32820000002</v>
      </c>
      <c r="D10" s="8" t="s">
        <v>3</v>
      </c>
      <c r="E10" s="1"/>
    </row>
    <row r="11" spans="1:5" ht="17.25" customHeight="1" x14ac:dyDescent="0.25">
      <c r="A11" s="1"/>
      <c r="B11" s="64" t="s">
        <v>36</v>
      </c>
      <c r="C11" s="9">
        <f>'Fane 11.1. Varige tillæg'!E20</f>
        <v>473430.80220000003</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3645136.7732437626</v>
      </c>
      <c r="D16" s="8" t="s">
        <v>3</v>
      </c>
      <c r="E16" s="1"/>
    </row>
    <row r="17" spans="1:5" ht="17.25" customHeight="1" x14ac:dyDescent="0.25">
      <c r="A17" s="1"/>
      <c r="B17" s="64" t="s">
        <v>10</v>
      </c>
      <c r="C17" s="38">
        <f>-SUM(C9,C10:C16)*'Fane 5. Individuelt eff. krav'!C9</f>
        <v>-977544.77918630152</v>
      </c>
      <c r="D17" s="8" t="s">
        <v>3</v>
      </c>
      <c r="E17" s="1"/>
    </row>
    <row r="18" spans="1:5" ht="17.25" customHeight="1" x14ac:dyDescent="0.25">
      <c r="A18" s="1"/>
      <c r="B18" s="64" t="s">
        <v>22</v>
      </c>
      <c r="C18" s="38">
        <f>-'Fane 4.1. Gen. krav - drift'!C17</f>
        <v>-614262.65588333621</v>
      </c>
      <c r="D18" s="8" t="s">
        <v>3</v>
      </c>
      <c r="E18" s="1"/>
    </row>
    <row r="19" spans="1:5" ht="17.25" customHeight="1" x14ac:dyDescent="0.25">
      <c r="A19" s="1"/>
      <c r="B19" s="64" t="s">
        <v>23</v>
      </c>
      <c r="C19" s="38">
        <f>-'Fane 4.2. Gen. krav - anlæg'!C17</f>
        <v>0</v>
      </c>
      <c r="D19" s="8" t="s">
        <v>3</v>
      </c>
      <c r="E19" s="43"/>
    </row>
    <row r="20" spans="1:5" ht="17.25" customHeight="1" x14ac:dyDescent="0.25">
      <c r="A20" s="1"/>
      <c r="B20" s="82" t="s">
        <v>21</v>
      </c>
      <c r="C20" s="10">
        <f>SUM(C9:C19)</f>
        <v>47285431.524245441</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4805829.5055825096</v>
      </c>
      <c r="D22" s="11" t="s">
        <v>3</v>
      </c>
      <c r="E22" s="1"/>
    </row>
    <row r="23" spans="1:5" ht="15" customHeight="1" x14ac:dyDescent="0.25">
      <c r="A23" s="1"/>
      <c r="B23" s="33" t="s">
        <v>42</v>
      </c>
      <c r="C23" s="28"/>
      <c r="D23" s="19"/>
      <c r="E23" s="1"/>
    </row>
    <row r="24" spans="1:5" ht="15" customHeight="1" x14ac:dyDescent="0.25">
      <c r="A24" s="1"/>
      <c r="B24" s="82" t="s">
        <v>42</v>
      </c>
      <c r="C24" s="10">
        <f>'Fane 12. Periodevise driftsomk.'!C12</f>
        <v>338873.011496544</v>
      </c>
      <c r="D24" s="11" t="s">
        <v>3</v>
      </c>
      <c r="E24" s="1"/>
    </row>
    <row r="25" spans="1:5" ht="15" customHeight="1" x14ac:dyDescent="0.25">
      <c r="A25" s="1"/>
      <c r="B25" s="41" t="s">
        <v>41</v>
      </c>
      <c r="C25" s="39"/>
      <c r="D25" s="40"/>
      <c r="E25" s="1"/>
    </row>
    <row r="26" spans="1:5" ht="15" customHeight="1" x14ac:dyDescent="0.25">
      <c r="A26" s="1"/>
      <c r="B26" s="64" t="s">
        <v>89</v>
      </c>
      <c r="C26" s="38">
        <f>'Fane 11.2. Engangstillæg'!C14</f>
        <v>1346992.2562177826</v>
      </c>
      <c r="D26" s="8" t="s">
        <v>3</v>
      </c>
      <c r="E26" s="1"/>
    </row>
    <row r="27" spans="1:5" ht="15" customHeight="1" x14ac:dyDescent="0.25">
      <c r="A27" s="1"/>
      <c r="B27" s="64" t="s">
        <v>38</v>
      </c>
      <c r="C27" s="38">
        <f>'Fane 11.2. Engangstillæg'!E14</f>
        <v>0</v>
      </c>
      <c r="D27" s="8" t="s">
        <v>3</v>
      </c>
      <c r="E27" s="1"/>
    </row>
    <row r="28" spans="1:5" ht="15" customHeight="1" x14ac:dyDescent="0.25">
      <c r="A28" s="1"/>
      <c r="B28" s="64" t="s">
        <v>92</v>
      </c>
      <c r="C28" s="38">
        <f>-C26*('Fane 15. Nøgletal'!C21+'Fane 5. Individuelt eff. krav'!C9)</f>
        <v>-53879.690248711304</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1293112.5659690714</v>
      </c>
      <c r="D30" s="11" t="s">
        <v>3</v>
      </c>
      <c r="E30" s="1"/>
    </row>
    <row r="31" spans="1:5" x14ac:dyDescent="0.25">
      <c r="A31" s="1"/>
      <c r="B31" s="33" t="s">
        <v>69</v>
      </c>
      <c r="C31" s="28"/>
      <c r="D31" s="19"/>
      <c r="E31" s="1"/>
    </row>
    <row r="32" spans="1:5" x14ac:dyDescent="0.25">
      <c r="A32" s="1"/>
      <c r="B32" s="31" t="s">
        <v>79</v>
      </c>
      <c r="C32" s="62">
        <f>'Fane 7. Kontrol af ØR2023'!C27</f>
        <v>-370476.5</v>
      </c>
      <c r="D32" s="11" t="s">
        <v>3</v>
      </c>
      <c r="E32" s="1"/>
    </row>
    <row r="33" spans="1:5" ht="15" customHeight="1" x14ac:dyDescent="0.25">
      <c r="A33" s="1"/>
      <c r="B33" s="33" t="s">
        <v>154</v>
      </c>
      <c r="C33" s="28"/>
      <c r="D33" s="19"/>
      <c r="E33" s="1"/>
    </row>
    <row r="34" spans="1:5" x14ac:dyDescent="0.25">
      <c r="A34" s="1"/>
      <c r="B34" s="31" t="s">
        <v>154</v>
      </c>
      <c r="C34" s="10">
        <f>'Fane 9. Korrektion af ØR2023'!C16</f>
        <v>-1202405.0778218107</v>
      </c>
      <c r="D34" s="11" t="s">
        <v>3</v>
      </c>
      <c r="E34" s="1"/>
    </row>
    <row r="35" spans="1:5" x14ac:dyDescent="0.25">
      <c r="A35" s="1"/>
      <c r="B35" s="30" t="s">
        <v>75</v>
      </c>
      <c r="C35" s="28"/>
      <c r="D35" s="19"/>
      <c r="E35" s="1"/>
    </row>
    <row r="36" spans="1:5" x14ac:dyDescent="0.25">
      <c r="A36" s="1"/>
      <c r="B36" s="67" t="s">
        <v>76</v>
      </c>
      <c r="C36" s="10">
        <f>'Fane 8. Skattesagen'!C14</f>
        <v>0</v>
      </c>
      <c r="D36" s="11" t="s">
        <v>3</v>
      </c>
      <c r="E36" s="1"/>
    </row>
    <row r="37" spans="1:5" x14ac:dyDescent="0.25">
      <c r="A37" s="1"/>
      <c r="B37" s="33" t="s">
        <v>71</v>
      </c>
      <c r="C37" s="45">
        <f>SUM(C34,C32,C24,C30,C22,C20,C36)</f>
        <v>52150365.029471755</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XybZAk6uSwVqxzxtA1fi7dZHtmke/m/M8lDh7LbnxnvACTkUDZ9viIAWR/ccNpywZKvSTSFdHTFed0Ec+h07Lw==" saltValue="CshD59iBEN28jcQk1ILC0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7" t="s">
        <v>119</v>
      </c>
      <c r="C3" s="107"/>
      <c r="D3" s="1"/>
    </row>
    <row r="4" spans="1:4" ht="15" customHeight="1" x14ac:dyDescent="0.25">
      <c r="A4" s="1"/>
      <c r="B4" s="107"/>
      <c r="C4" s="107"/>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226</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215</v>
      </c>
      <c r="C15" s="60">
        <v>0</v>
      </c>
      <c r="D15" s="1"/>
    </row>
    <row r="16" spans="1:4" x14ac:dyDescent="0.25">
      <c r="A16" s="1"/>
      <c r="B16" s="59" t="s">
        <v>227</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2GcUEK9SToLAskkrHPthx3rY3HYqHRnyrcqs2cEKRS/lu9B6Cwztx1wz+TXBvTt/g1Ez4eTYNK0hCeI+mixVvA==" saltValue="xP9anQaXOQrFJ87+mmUCf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156</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47285431.524245441</v>
      </c>
      <c r="D9" s="8" t="s">
        <v>3</v>
      </c>
      <c r="E9" s="1"/>
    </row>
    <row r="10" spans="1:5" ht="15" customHeight="1" x14ac:dyDescent="0.25">
      <c r="A10" s="1"/>
      <c r="B10" s="26" t="s">
        <v>19</v>
      </c>
      <c r="C10" s="7">
        <f>C9*'Fane 15. Nøgletal'!C10</f>
        <v>3135024.1100574727</v>
      </c>
      <c r="D10" s="8" t="s">
        <v>3</v>
      </c>
      <c r="E10" s="1"/>
    </row>
    <row r="11" spans="1:5" ht="15" customHeight="1" x14ac:dyDescent="0.25">
      <c r="A11" s="1"/>
      <c r="B11" s="26" t="s">
        <v>10</v>
      </c>
      <c r="C11" s="9">
        <f>-SUM(C9:C10)*'Fane 5. Individuelt eff. krav'!C9</f>
        <v>-1008409.1126860583</v>
      </c>
      <c r="D11" s="8" t="s">
        <v>3</v>
      </c>
      <c r="E11" s="1"/>
    </row>
    <row r="12" spans="1:5" ht="15" customHeight="1" x14ac:dyDescent="0.25">
      <c r="A12" s="1"/>
      <c r="B12" s="26" t="s">
        <v>22</v>
      </c>
      <c r="C12" s="9">
        <f>-'Fane 4.1. Gen. krav - drift'!C22</f>
        <v>-641888.50456903351</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48770158.017047822</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5124456.0018026298</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driftsomk.'!C18</f>
        <v>337001.04184497159</v>
      </c>
      <c r="D18" s="11" t="s">
        <v>3</v>
      </c>
      <c r="E18" s="1"/>
    </row>
    <row r="19" spans="1:5" x14ac:dyDescent="0.25">
      <c r="A19" s="1"/>
      <c r="B19" s="33" t="s">
        <v>69</v>
      </c>
      <c r="C19" s="28"/>
      <c r="D19" s="19"/>
      <c r="E19" s="1"/>
    </row>
    <row r="20" spans="1:5" ht="15" customHeight="1" x14ac:dyDescent="0.25">
      <c r="A20" s="1"/>
      <c r="B20" s="31" t="s">
        <v>79</v>
      </c>
      <c r="C20" s="10">
        <f>'Fane 7. Kontrol af ØR2023'!C33</f>
        <v>-141259.01882998645</v>
      </c>
      <c r="D20" s="11" t="s">
        <v>3</v>
      </c>
      <c r="E20" s="1"/>
    </row>
    <row r="21" spans="1:5" x14ac:dyDescent="0.25">
      <c r="A21" s="1"/>
      <c r="B21" s="30" t="s">
        <v>75</v>
      </c>
      <c r="C21" s="28"/>
      <c r="D21" s="19"/>
      <c r="E21" s="1"/>
    </row>
    <row r="22" spans="1:5" x14ac:dyDescent="0.25">
      <c r="A22" s="1"/>
      <c r="B22" s="67" t="s">
        <v>76</v>
      </c>
      <c r="C22" s="10">
        <f>'Fane 8. Skattesagen'!C15</f>
        <v>0</v>
      </c>
      <c r="D22" s="11" t="s">
        <v>3</v>
      </c>
      <c r="E22" s="1"/>
    </row>
    <row r="23" spans="1:5" x14ac:dyDescent="0.25">
      <c r="A23" s="1"/>
      <c r="B23" s="33" t="s">
        <v>81</v>
      </c>
      <c r="C23" s="12">
        <f>SUM(C14,C16,C18,C20,C22)</f>
        <v>54090356.041865438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8CLMX6FdxCfEnoHdXH9G0KkMxO13i+zn7maFgSFs+2HBmy+L9/WPAMeFc31HO8LXV96NP/hxrKOkzu/eh20w0g==" saltValue="4WqdhomBKgOyhkjWXHfcM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157</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48770158.017047822</v>
      </c>
      <c r="D9" s="8" t="s">
        <v>3</v>
      </c>
      <c r="E9" s="1"/>
    </row>
    <row r="10" spans="1:5" ht="15" customHeight="1" x14ac:dyDescent="0.25">
      <c r="A10" s="1"/>
      <c r="B10" s="26" t="s">
        <v>19</v>
      </c>
      <c r="C10" s="7">
        <f>SUM(C9:C9)*'Fane 15. Nøgletal'!C10</f>
        <v>3233461.4765302707</v>
      </c>
      <c r="D10" s="8" t="s">
        <v>3</v>
      </c>
      <c r="E10" s="1"/>
    </row>
    <row r="11" spans="1:5" ht="15" customHeight="1" x14ac:dyDescent="0.25">
      <c r="A11" s="1"/>
      <c r="B11" s="26" t="s">
        <v>10</v>
      </c>
      <c r="C11" s="9">
        <f>-SUM(C9:C10)*'Fane 5. Individuelt eff. krav'!C9</f>
        <v>-1040072.3898715619</v>
      </c>
      <c r="D11" s="8" t="s">
        <v>3</v>
      </c>
      <c r="E11" s="1"/>
    </row>
    <row r="12" spans="1:5" ht="15" customHeight="1" x14ac:dyDescent="0.25">
      <c r="A12" s="1"/>
      <c r="B12" s="26" t="s">
        <v>22</v>
      </c>
      <c r="C12" s="9">
        <f>-'Fane 4.1. Gen. krav - drift'!C27</f>
        <v>-670756.79817352118</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50292790.305533007</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5464207.4347221442</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driftsomk.'!C24</f>
        <v>359344.21091929317</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-141259.01882998645</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55975082.932344452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xNTr86ilsyGvX9ywtO7+V0orGIz5CxTh7z1aU4MZAO3t/4/m9Vyyru7NAYSDEvtgrsGgVmma7BPwcqoeDaQJpg==" saltValue="MTHu5RioFPIvsn82SMZ2P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158</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50292790.305533007</v>
      </c>
      <c r="D9" s="8" t="s">
        <v>3</v>
      </c>
      <c r="E9" s="1"/>
    </row>
    <row r="10" spans="1:5" ht="15" customHeight="1" x14ac:dyDescent="0.25">
      <c r="A10" s="1"/>
      <c r="B10" s="26" t="s">
        <v>19</v>
      </c>
      <c r="C10" s="7">
        <f>SUM(C9:C9)*'Fane 15. Nøgletal'!C10</f>
        <v>3334411.9972568383</v>
      </c>
      <c r="D10" s="8" t="s">
        <v>3</v>
      </c>
      <c r="E10" s="1"/>
    </row>
    <row r="11" spans="1:5" ht="15" customHeight="1" x14ac:dyDescent="0.25">
      <c r="A11" s="1"/>
      <c r="B11" s="26" t="s">
        <v>10</v>
      </c>
      <c r="C11" s="9">
        <f>-SUM(C9:C10)*'Fane 5. Individuelt eff. krav'!C9</f>
        <v>-1072544.046055797</v>
      </c>
      <c r="D11" s="8" t="s">
        <v>3</v>
      </c>
      <c r="E11" s="1"/>
    </row>
    <row r="12" spans="1:5" ht="15" customHeight="1" x14ac:dyDescent="0.25">
      <c r="A12" s="1"/>
      <c r="B12" s="26" t="s">
        <v>22</v>
      </c>
      <c r="C12" s="9">
        <f>-'Fane 4.1. Gen. krav - drift'!C32</f>
        <v>-700923.41441457719</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51853734.842319474</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5826484.3876442229</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driftsomk.'!C30</f>
        <v>383168.73210324231</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58063387.962066941</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trlb+C1zL2LUBnECo3pJsdqP0tSWyH5q9g6qC2s1aidTqFNf+DYe5Ddzr8VXRwjwdjGDOcGdoLFQt3rvplFpmQ==" saltValue="MkXPnmMSZj1ncDXQDn3sF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7" t="s">
        <v>161</v>
      </c>
      <c r="C3" s="107"/>
      <c r="D3" s="107"/>
      <c r="E3" s="1"/>
    </row>
    <row r="4" spans="1:5" ht="15" customHeight="1" x14ac:dyDescent="0.25">
      <c r="A4" s="1"/>
      <c r="B4" s="107"/>
      <c r="C4" s="107"/>
      <c r="D4" s="107"/>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38643507.784393229</v>
      </c>
      <c r="D9" s="8" t="s">
        <v>3</v>
      </c>
      <c r="E9" s="1"/>
    </row>
    <row r="10" spans="1:5" ht="15" customHeight="1" x14ac:dyDescent="0.25">
      <c r="A10" s="1"/>
      <c r="B10" s="64" t="s">
        <v>35</v>
      </c>
      <c r="C10" s="7">
        <v>2900278.1639999999</v>
      </c>
      <c r="D10" s="8" t="s">
        <v>3</v>
      </c>
      <c r="E10" s="1"/>
    </row>
    <row r="11" spans="1:5" ht="15" customHeight="1" x14ac:dyDescent="0.25">
      <c r="A11" s="1"/>
      <c r="B11" s="64" t="s">
        <v>36</v>
      </c>
      <c r="C11" s="9">
        <v>1078622.1880000001</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3443890.5774205728</v>
      </c>
      <c r="D16" s="8" t="s">
        <v>3</v>
      </c>
      <c r="E16" s="1"/>
    </row>
    <row r="17" spans="1:5" ht="15" customHeight="1" x14ac:dyDescent="0.25">
      <c r="A17" s="1"/>
      <c r="B17" s="64" t="s">
        <v>10</v>
      </c>
      <c r="C17" s="38">
        <v>-921325.97427627596</v>
      </c>
      <c r="D17" s="8" t="s">
        <v>3</v>
      </c>
      <c r="E17" s="1"/>
    </row>
    <row r="18" spans="1:5" ht="15" customHeight="1" x14ac:dyDescent="0.25">
      <c r="A18" s="1"/>
      <c r="B18" s="64" t="s">
        <v>22</v>
      </c>
      <c r="C18" s="38">
        <v>-576117.68386620551</v>
      </c>
      <c r="D18" s="8" t="s">
        <v>3</v>
      </c>
      <c r="E18" s="1"/>
    </row>
    <row r="19" spans="1:5" ht="15" customHeight="1" x14ac:dyDescent="0.25">
      <c r="A19" s="1"/>
      <c r="B19" s="64" t="s">
        <v>23</v>
      </c>
      <c r="C19" s="38">
        <v>0</v>
      </c>
      <c r="D19" s="8" t="s">
        <v>3</v>
      </c>
      <c r="E19" s="43"/>
    </row>
    <row r="20" spans="1:5" ht="15" customHeight="1" x14ac:dyDescent="0.25">
      <c r="A20" s="1"/>
      <c r="B20" s="82" t="s">
        <v>21</v>
      </c>
      <c r="C20" s="10">
        <v>44568855.055671319</v>
      </c>
      <c r="D20" s="11" t="s">
        <v>3</v>
      </c>
      <c r="E20" s="1"/>
    </row>
    <row r="21" spans="1:5" ht="15" customHeight="1" x14ac:dyDescent="0.25">
      <c r="A21" s="1"/>
      <c r="B21" s="33" t="s">
        <v>12</v>
      </c>
      <c r="C21" s="28"/>
      <c r="D21" s="19"/>
      <c r="E21" s="1"/>
    </row>
    <row r="22" spans="1:5" ht="15" customHeight="1" x14ac:dyDescent="0.25">
      <c r="A22" s="1"/>
      <c r="B22" s="31" t="s">
        <v>12</v>
      </c>
      <c r="C22" s="10">
        <v>4286680.5020793602</v>
      </c>
      <c r="D22" s="11" t="s">
        <v>3</v>
      </c>
      <c r="E22" s="1"/>
    </row>
    <row r="23" spans="1:5" ht="15" customHeight="1" x14ac:dyDescent="0.25">
      <c r="A23" s="1"/>
      <c r="B23" s="33" t="s">
        <v>42</v>
      </c>
      <c r="C23" s="28"/>
      <c r="D23" s="19"/>
      <c r="E23" s="1"/>
    </row>
    <row r="24" spans="1:5" ht="15" customHeight="1" x14ac:dyDescent="0.25">
      <c r="A24" s="1"/>
      <c r="B24" s="82" t="s">
        <v>42</v>
      </c>
      <c r="C24" s="10">
        <v>313539.05578880868</v>
      </c>
      <c r="D24" s="11" t="s">
        <v>3</v>
      </c>
      <c r="E24" s="1"/>
    </row>
    <row r="25" spans="1:5" x14ac:dyDescent="0.25">
      <c r="A25" s="1"/>
      <c r="B25" s="41" t="s">
        <v>41</v>
      </c>
      <c r="C25" s="39"/>
      <c r="D25" s="40"/>
      <c r="E25" s="1"/>
    </row>
    <row r="26" spans="1:5" ht="15" customHeight="1" x14ac:dyDescent="0.25">
      <c r="A26" s="1"/>
      <c r="B26" s="64" t="s">
        <v>89</v>
      </c>
      <c r="C26" s="38">
        <v>0</v>
      </c>
      <c r="D26" s="8" t="s">
        <v>3</v>
      </c>
      <c r="E26" s="1"/>
    </row>
    <row r="27" spans="1:5" ht="15" customHeight="1" x14ac:dyDescent="0.25">
      <c r="A27" s="1"/>
      <c r="B27" s="64" t="s">
        <v>38</v>
      </c>
      <c r="C27" s="38">
        <v>0</v>
      </c>
      <c r="D27" s="8" t="s">
        <v>3</v>
      </c>
      <c r="E27" s="1"/>
    </row>
    <row r="28" spans="1:5" ht="15" customHeight="1" x14ac:dyDescent="0.25">
      <c r="A28" s="1"/>
      <c r="B28" s="64" t="s">
        <v>92</v>
      </c>
      <c r="C28" s="38">
        <v>0</v>
      </c>
      <c r="D28" s="8" t="s">
        <v>3</v>
      </c>
      <c r="E28" s="1"/>
    </row>
    <row r="29" spans="1:5" ht="15" customHeight="1" x14ac:dyDescent="0.25">
      <c r="A29" s="1"/>
      <c r="B29" s="64" t="s">
        <v>93</v>
      </c>
      <c r="C29" s="38">
        <v>0</v>
      </c>
      <c r="D29" s="8" t="s">
        <v>3</v>
      </c>
      <c r="E29" s="1"/>
    </row>
    <row r="30" spans="1:5" ht="15" customHeight="1" x14ac:dyDescent="0.25">
      <c r="A30" s="1"/>
      <c r="B30" s="67" t="s">
        <v>43</v>
      </c>
      <c r="C30" s="10">
        <v>0</v>
      </c>
      <c r="D30" s="11" t="s">
        <v>3</v>
      </c>
      <c r="E30" s="1"/>
    </row>
    <row r="31" spans="1:5" ht="15" customHeight="1" x14ac:dyDescent="0.25">
      <c r="A31" s="1"/>
      <c r="B31" s="33" t="s">
        <v>69</v>
      </c>
      <c r="C31" s="28"/>
      <c r="D31" s="19"/>
      <c r="E31" s="1"/>
    </row>
    <row r="32" spans="1:5" ht="15" customHeight="1" x14ac:dyDescent="0.25">
      <c r="A32" s="1"/>
      <c r="B32" s="31" t="s">
        <v>79</v>
      </c>
      <c r="C32" s="10">
        <v>-370476.5</v>
      </c>
      <c r="D32" s="11" t="s">
        <v>3</v>
      </c>
      <c r="E32" s="1"/>
    </row>
    <row r="33" spans="1:5" x14ac:dyDescent="0.25">
      <c r="A33" s="1"/>
      <c r="B33" s="33" t="s">
        <v>128</v>
      </c>
      <c r="C33" s="28"/>
      <c r="D33" s="19"/>
      <c r="E33" s="1"/>
    </row>
    <row r="34" spans="1:5" ht="15.4" customHeight="1" x14ac:dyDescent="0.25">
      <c r="A34" s="1"/>
      <c r="B34" s="31" t="s">
        <v>128</v>
      </c>
      <c r="C34" s="10">
        <v>-793280.46562534268</v>
      </c>
      <c r="D34" s="11" t="s">
        <v>3</v>
      </c>
      <c r="E34" s="1"/>
    </row>
    <row r="35" spans="1:5" ht="15.4" customHeight="1" x14ac:dyDescent="0.25">
      <c r="A35" s="1"/>
      <c r="B35" s="30" t="s">
        <v>75</v>
      </c>
      <c r="C35" s="28"/>
      <c r="D35" s="19"/>
      <c r="E35" s="1"/>
    </row>
    <row r="36" spans="1:5" x14ac:dyDescent="0.25">
      <c r="A36" s="1"/>
      <c r="B36" s="67" t="s">
        <v>76</v>
      </c>
      <c r="C36" s="10">
        <v>0</v>
      </c>
      <c r="D36" s="11" t="s">
        <v>3</v>
      </c>
      <c r="E36" s="1"/>
    </row>
    <row r="37" spans="1:5" x14ac:dyDescent="0.25">
      <c r="A37" s="1"/>
      <c r="B37" s="30" t="s">
        <v>213</v>
      </c>
      <c r="C37" s="28"/>
      <c r="D37" s="19"/>
      <c r="E37" s="1"/>
    </row>
    <row r="38" spans="1:5" x14ac:dyDescent="0.25">
      <c r="A38" s="1"/>
      <c r="B38" s="67" t="s">
        <v>214</v>
      </c>
      <c r="C38" s="10">
        <v>1675085.7172961724</v>
      </c>
      <c r="D38" s="11" t="s">
        <v>3</v>
      </c>
      <c r="E38" s="1"/>
    </row>
    <row r="39" spans="1:5" x14ac:dyDescent="0.25">
      <c r="A39" s="1"/>
      <c r="B39" s="33" t="s">
        <v>65</v>
      </c>
      <c r="C39" s="45">
        <v>49680403.365210325</v>
      </c>
      <c r="D39" s="30" t="s">
        <v>3</v>
      </c>
      <c r="E39" s="1"/>
    </row>
    <row r="40" spans="1:5" ht="30" customHeight="1" x14ac:dyDescent="0.25">
      <c r="A40" s="1"/>
      <c r="B40" s="106" t="s">
        <v>225</v>
      </c>
      <c r="C40" s="106"/>
      <c r="D40" s="106"/>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G1+ITphalkLjdL3ua7/b74m69fGpFs5FC6WybDEc36Z+f/jx89QluyPkY8w24FZm1IYQharFN3+UpyMl5cdQfw==" saltValue="I5P+rwyhFAiMJ6ZTz3Rg1Q==" spinCount="100000" sheet="1" objects="1" scenarios="1"/>
  <mergeCells count="2">
    <mergeCell ref="B40:D40"/>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7" t="s">
        <v>56</v>
      </c>
      <c r="C3" s="107"/>
      <c r="D3" s="107"/>
      <c r="E3" s="1"/>
    </row>
    <row r="4" spans="1:5" ht="15" customHeight="1" x14ac:dyDescent="0.25">
      <c r="A4" s="1"/>
      <c r="B4" s="107"/>
      <c r="C4" s="107"/>
      <c r="D4" s="107"/>
      <c r="E4" s="1"/>
    </row>
    <row r="5" spans="1:5" ht="15" customHeight="1" x14ac:dyDescent="0.25">
      <c r="A5" s="1"/>
      <c r="B5" s="107"/>
      <c r="C5" s="107"/>
      <c r="D5" s="107"/>
      <c r="E5" s="1"/>
    </row>
    <row r="6" spans="1:5" ht="15" customHeight="1" x14ac:dyDescent="0.25">
      <c r="A6" s="1"/>
      <c r="B6" s="75"/>
      <c r="C6" s="75"/>
      <c r="D6" s="75"/>
      <c r="E6" s="1"/>
    </row>
    <row r="7" spans="1:5" x14ac:dyDescent="0.25">
      <c r="A7" s="1"/>
      <c r="B7" s="1"/>
      <c r="C7" s="1"/>
      <c r="D7" s="1"/>
      <c r="E7" s="1"/>
    </row>
    <row r="8" spans="1:5" x14ac:dyDescent="0.25">
      <c r="A8" s="1"/>
      <c r="B8" s="108" t="s">
        <v>123</v>
      </c>
      <c r="C8" s="109"/>
      <c r="D8" s="110"/>
      <c r="E8" s="1"/>
    </row>
    <row r="9" spans="1:5" x14ac:dyDescent="0.25">
      <c r="A9" s="1"/>
      <c r="B9" s="65" t="s">
        <v>88</v>
      </c>
      <c r="C9" s="23">
        <v>25671263.553659074</v>
      </c>
      <c r="D9" s="14" t="s">
        <v>3</v>
      </c>
      <c r="E9" s="1"/>
    </row>
    <row r="10" spans="1:5" x14ac:dyDescent="0.25">
      <c r="A10" s="1"/>
      <c r="B10" s="65" t="s">
        <v>125</v>
      </c>
      <c r="C10" s="23">
        <f>('Fane 3. Omkostninger i ØR2024'!C10+'Fane 3. Omkostninger i ØR2024'!C12+'Fane 3. Omkostninger i ØR2024'!C14)*(1+'Fane 15. Nøgletal'!C9)</f>
        <v>3134620.6396511998</v>
      </c>
      <c r="D10" s="14" t="s">
        <v>3</v>
      </c>
      <c r="E10" s="1"/>
    </row>
    <row r="11" spans="1:5" x14ac:dyDescent="0.25">
      <c r="A11" s="1"/>
      <c r="B11" s="65" t="s">
        <v>131</v>
      </c>
      <c r="C11" s="23">
        <f>C9*'Fane 15. Nøgletal'!C21+C10*'Fane 15. Nøgletal'!C21</f>
        <v>576117.68386620551</v>
      </c>
      <c r="D11" s="14" t="s">
        <v>3</v>
      </c>
      <c r="E11" s="1"/>
    </row>
    <row r="12" spans="1:5" x14ac:dyDescent="0.25">
      <c r="A12" s="1"/>
      <c r="B12" s="33"/>
      <c r="C12" s="28"/>
      <c r="D12" s="19"/>
      <c r="E12" s="1"/>
    </row>
    <row r="13" spans="1:5" x14ac:dyDescent="0.25">
      <c r="A13" s="1"/>
      <c r="B13" s="1"/>
      <c r="C13" s="1"/>
      <c r="D13" s="1"/>
      <c r="E13" s="1"/>
    </row>
    <row r="14" spans="1:5" x14ac:dyDescent="0.25">
      <c r="A14" s="1"/>
      <c r="B14" s="108" t="s">
        <v>124</v>
      </c>
      <c r="C14" s="109"/>
      <c r="D14" s="110"/>
      <c r="E14" s="1"/>
    </row>
    <row r="15" spans="1:5" x14ac:dyDescent="0.25">
      <c r="A15" s="1"/>
      <c r="B15" s="65" t="s">
        <v>133</v>
      </c>
      <c r="C15" s="23">
        <f>(C9+C10-C11)*(1+'Fane 15. Nøgletal'!C9)</f>
        <v>30510731.643407151</v>
      </c>
      <c r="D15" s="14" t="s">
        <v>3</v>
      </c>
      <c r="E15" s="1"/>
    </row>
    <row r="16" spans="1:5" x14ac:dyDescent="0.25">
      <c r="A16" s="1"/>
      <c r="B16" s="65" t="s">
        <v>184</v>
      </c>
      <c r="C16" s="73">
        <f>('Fane 2.1. Økonomisk ramme 2025'!C10+'Fane 2.1. Økonomisk ramme 2025'!C12+'Fane 2.1. Økonomisk ramme 2025'!C14)*(1+'Fane 15. Nøgletal'!C10)</f>
        <v>202401.15075966003</v>
      </c>
      <c r="D16" s="14" t="s">
        <v>3</v>
      </c>
      <c r="E16" s="1"/>
    </row>
    <row r="17" spans="1:5" x14ac:dyDescent="0.25">
      <c r="A17" s="1"/>
      <c r="B17" s="65" t="s">
        <v>132</v>
      </c>
      <c r="C17" s="23">
        <f>C15*'Fane 15. Nøgletal'!C21+C16*'Fane 15. Nøgletal'!C21</f>
        <v>614262.65588333621</v>
      </c>
      <c r="D17" s="14" t="s">
        <v>3</v>
      </c>
      <c r="E17" s="1"/>
    </row>
    <row r="18" spans="1:5" x14ac:dyDescent="0.25">
      <c r="A18" s="1"/>
      <c r="B18" s="33"/>
      <c r="C18" s="28"/>
      <c r="D18" s="19"/>
      <c r="E18" s="1"/>
    </row>
    <row r="19" spans="1:5" x14ac:dyDescent="0.25">
      <c r="A19" s="1"/>
      <c r="B19" s="1"/>
      <c r="C19" s="63"/>
      <c r="D19" s="1"/>
      <c r="E19" s="1"/>
    </row>
    <row r="20" spans="1:5" x14ac:dyDescent="0.25">
      <c r="A20" s="1"/>
      <c r="B20" s="108" t="s">
        <v>145</v>
      </c>
      <c r="C20" s="109"/>
      <c r="D20" s="110"/>
      <c r="E20" s="1"/>
    </row>
    <row r="21" spans="1:5" x14ac:dyDescent="0.25">
      <c r="A21" s="1"/>
      <c r="B21" s="65" t="s">
        <v>189</v>
      </c>
      <c r="C21" s="23">
        <f>(C15+C16-C17)*(1+'Fane 15. Nøgletal'!C10)</f>
        <v>32094425.228451673</v>
      </c>
      <c r="D21" s="14" t="s">
        <v>3</v>
      </c>
      <c r="E21" s="1"/>
    </row>
    <row r="22" spans="1:5" x14ac:dyDescent="0.25">
      <c r="A22" s="1"/>
      <c r="B22" s="65" t="s">
        <v>196</v>
      </c>
      <c r="C22" s="23">
        <f>C21*'Fane 15. Nøgletal'!C21</f>
        <v>641888.50456903351</v>
      </c>
      <c r="D22" s="14" t="s">
        <v>3</v>
      </c>
      <c r="E22" s="1"/>
    </row>
    <row r="23" spans="1:5" x14ac:dyDescent="0.25">
      <c r="A23" s="1"/>
      <c r="B23" s="33"/>
      <c r="C23" s="28"/>
      <c r="D23" s="19"/>
      <c r="E23" s="1"/>
    </row>
    <row r="24" spans="1:5" x14ac:dyDescent="0.25">
      <c r="A24" s="1"/>
      <c r="B24" s="1"/>
      <c r="C24" s="1"/>
      <c r="D24" s="1"/>
      <c r="E24" s="1"/>
    </row>
    <row r="25" spans="1:5" x14ac:dyDescent="0.25">
      <c r="A25" s="1"/>
      <c r="B25" s="108" t="s">
        <v>187</v>
      </c>
      <c r="C25" s="109"/>
      <c r="D25" s="110"/>
      <c r="E25" s="1"/>
    </row>
    <row r="26" spans="1:5" x14ac:dyDescent="0.25">
      <c r="A26" s="1"/>
      <c r="B26" s="65" t="s">
        <v>190</v>
      </c>
      <c r="C26" s="23">
        <f>(C21-C22)*(1+'Fane 15. Nøgletal'!C10)</f>
        <v>33537839.908676058</v>
      </c>
      <c r="D26" s="14" t="s">
        <v>3</v>
      </c>
      <c r="E26" s="1"/>
    </row>
    <row r="27" spans="1:5" x14ac:dyDescent="0.25">
      <c r="A27" s="1"/>
      <c r="B27" s="65" t="s">
        <v>194</v>
      </c>
      <c r="C27" s="23">
        <f>C26*'Fane 15. Nøgletal'!C21</f>
        <v>670756.79817352118</v>
      </c>
      <c r="D27" s="14" t="s">
        <v>3</v>
      </c>
      <c r="E27" s="1"/>
    </row>
    <row r="28" spans="1:5" x14ac:dyDescent="0.25">
      <c r="A28" s="1"/>
      <c r="B28" s="33"/>
      <c r="C28" s="28"/>
      <c r="D28" s="19"/>
      <c r="E28" s="1"/>
    </row>
    <row r="29" spans="1:5" x14ac:dyDescent="0.25">
      <c r="A29" s="1"/>
      <c r="B29" s="1"/>
      <c r="C29" s="1"/>
      <c r="D29" s="1"/>
      <c r="E29" s="1"/>
    </row>
    <row r="30" spans="1:5" x14ac:dyDescent="0.25">
      <c r="A30" s="1"/>
      <c r="B30" s="108" t="s">
        <v>188</v>
      </c>
      <c r="C30" s="109"/>
      <c r="D30" s="110"/>
      <c r="E30" s="1"/>
    </row>
    <row r="31" spans="1:5" x14ac:dyDescent="0.25">
      <c r="A31" s="1"/>
      <c r="B31" s="65" t="s">
        <v>191</v>
      </c>
      <c r="C31" s="23">
        <f>(C26-C27)*(1+'Fane 15. Nøgletal'!C10)</f>
        <v>35046170.720728859</v>
      </c>
      <c r="D31" s="14" t="s">
        <v>3</v>
      </c>
      <c r="E31" s="1"/>
    </row>
    <row r="32" spans="1:5" x14ac:dyDescent="0.25">
      <c r="A32" s="1"/>
      <c r="B32" s="65" t="s">
        <v>195</v>
      </c>
      <c r="C32" s="23">
        <f>C31*'Fane 15. Nøgletal'!C21</f>
        <v>700923.41441457719</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NdNuokzTgxcgNne0QfhPWjHOGH46BbtykV7Rb/dbNQ0W9IjtMulv09IVCtDCZf1GXAUfkudmHIzN+gRocsj5rQ==" saltValue="6buqqE5SywXWVFFnMHeHSg=="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1" t="s">
        <v>57</v>
      </c>
      <c r="C3" s="111"/>
      <c r="D3" s="111"/>
      <c r="E3" s="1"/>
    </row>
    <row r="4" spans="1:5" ht="15" customHeight="1" x14ac:dyDescent="0.25">
      <c r="A4" s="1"/>
      <c r="B4" s="111"/>
      <c r="C4" s="111"/>
      <c r="D4" s="111"/>
      <c r="E4" s="1"/>
    </row>
    <row r="5" spans="1:5" ht="15" customHeight="1" x14ac:dyDescent="0.25">
      <c r="A5" s="1"/>
      <c r="B5" s="111"/>
      <c r="C5" s="111"/>
      <c r="D5" s="111"/>
      <c r="E5" s="1"/>
    </row>
    <row r="6" spans="1:5" ht="15" customHeight="1" x14ac:dyDescent="0.35">
      <c r="A6" s="1"/>
      <c r="B6" s="69"/>
      <c r="C6" s="69"/>
      <c r="D6" s="69"/>
      <c r="E6" s="1"/>
    </row>
    <row r="7" spans="1:5" x14ac:dyDescent="0.25">
      <c r="A7" s="1"/>
      <c r="B7" s="1"/>
      <c r="C7" s="1"/>
      <c r="D7" s="1"/>
      <c r="E7" s="1"/>
    </row>
    <row r="8" spans="1:5" x14ac:dyDescent="0.25">
      <c r="A8" s="1"/>
      <c r="B8" s="108" t="s">
        <v>147</v>
      </c>
      <c r="C8" s="109"/>
      <c r="D8" s="110"/>
      <c r="E8" s="1"/>
    </row>
    <row r="9" spans="1:5" x14ac:dyDescent="0.25">
      <c r="A9" s="1"/>
      <c r="B9" s="65" t="s">
        <v>134</v>
      </c>
      <c r="C9" s="23">
        <v>18086467.555374753</v>
      </c>
      <c r="D9" s="14" t="s">
        <v>3</v>
      </c>
      <c r="E9" s="1"/>
    </row>
    <row r="10" spans="1:5" x14ac:dyDescent="0.25">
      <c r="A10" s="1"/>
      <c r="B10" s="65" t="s">
        <v>126</v>
      </c>
      <c r="C10" s="23">
        <f>('Fane 3. Omkostninger i ØR2024'!C11+'Fane 3. Omkostninger i ØR2024'!C13+'Fane 3. Omkostninger i ØR2024'!C15)*(1+'Fane 15. Nøgletal'!C9)</f>
        <v>1165774.8607904001</v>
      </c>
      <c r="D10" s="14" t="s">
        <v>3</v>
      </c>
      <c r="E10" s="1"/>
    </row>
    <row r="11" spans="1:5" x14ac:dyDescent="0.25">
      <c r="A11" s="1"/>
      <c r="B11" s="65" t="s">
        <v>135</v>
      </c>
      <c r="C11" s="73">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08" t="s">
        <v>146</v>
      </c>
      <c r="C14" s="109"/>
      <c r="D14" s="110"/>
      <c r="E14" s="1"/>
    </row>
    <row r="15" spans="1:5" x14ac:dyDescent="0.25">
      <c r="A15" s="1"/>
      <c r="B15" s="65" t="s">
        <v>136</v>
      </c>
      <c r="C15" s="23">
        <f>(C9+C10-C11)*(1+'Fane 15. Nøgletal'!C9)</f>
        <v>20807823.603391297</v>
      </c>
      <c r="D15" s="14" t="s">
        <v>3</v>
      </c>
      <c r="E15" s="1"/>
    </row>
    <row r="16" spans="1:5" x14ac:dyDescent="0.25">
      <c r="A16" s="1"/>
      <c r="B16" s="65" t="s">
        <v>185</v>
      </c>
      <c r="C16" s="73">
        <f>('Fane 2.1. Økonomisk ramme 2025'!C11+'Fane 2.1. Økonomisk ramme 2025'!C13+'Fane 2.1. Økonomisk ramme 2025'!C15)*(1+'Fane 15. Nøgletal'!C10)</f>
        <v>504819.26438586006</v>
      </c>
      <c r="D16" s="14" t="s">
        <v>3</v>
      </c>
      <c r="E16" s="1"/>
    </row>
    <row r="17" spans="1:5" x14ac:dyDescent="0.25">
      <c r="A17" s="1"/>
      <c r="B17" s="65" t="s">
        <v>137</v>
      </c>
      <c r="C17" s="73">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08" t="s">
        <v>82</v>
      </c>
      <c r="C20" s="109"/>
      <c r="D20" s="110"/>
      <c r="E20" s="1"/>
    </row>
    <row r="21" spans="1:5" x14ac:dyDescent="0.25">
      <c r="A21" s="1"/>
      <c r="B21" s="65" t="s">
        <v>192</v>
      </c>
      <c r="C21" s="23">
        <f>(C15+C16-C17)*(1+'Fane 15. Nøgletal'!C10)</f>
        <v>22725671.089910783</v>
      </c>
      <c r="D21" s="14" t="s">
        <v>3</v>
      </c>
      <c r="E21" s="1"/>
    </row>
    <row r="22" spans="1:5" x14ac:dyDescent="0.25">
      <c r="A22" s="1"/>
      <c r="B22" s="65" t="s">
        <v>197</v>
      </c>
      <c r="C22" s="73">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08" t="s">
        <v>138</v>
      </c>
      <c r="C25" s="109"/>
      <c r="D25" s="110"/>
      <c r="E25" s="1"/>
    </row>
    <row r="26" spans="1:5" x14ac:dyDescent="0.25">
      <c r="A26" s="1"/>
      <c r="B26" s="65" t="s">
        <v>193</v>
      </c>
      <c r="C26" s="23">
        <f>(C21-C22)*(1+'Fane 15. Nøgletal'!C10)</f>
        <v>24232383.083171867</v>
      </c>
      <c r="D26" s="14" t="s">
        <v>3</v>
      </c>
      <c r="E26" s="1"/>
    </row>
    <row r="27" spans="1:5" x14ac:dyDescent="0.25">
      <c r="A27" s="1"/>
      <c r="B27" s="65" t="s">
        <v>198</v>
      </c>
      <c r="C27" s="73">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08" t="s">
        <v>163</v>
      </c>
      <c r="C30" s="109"/>
      <c r="D30" s="110"/>
      <c r="E30" s="1"/>
    </row>
    <row r="31" spans="1:5" x14ac:dyDescent="0.25">
      <c r="A31" s="1"/>
      <c r="B31" s="65" t="s">
        <v>200</v>
      </c>
      <c r="C31" s="23">
        <f>(C26-C27)*(1+'Fane 15. Nøgletal'!C10)</f>
        <v>25838990.081586163</v>
      </c>
      <c r="D31" s="14" t="s">
        <v>3</v>
      </c>
      <c r="E31" s="1"/>
    </row>
    <row r="32" spans="1:5" x14ac:dyDescent="0.25">
      <c r="A32" s="1"/>
      <c r="B32" s="65" t="s">
        <v>199</v>
      </c>
      <c r="C32" s="73">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Hz8Nee25TQb/HcPV+68Tm9AGpKxcbr8ULNR2fRWqixwTDdZMSLY8rjaSdLA4eGsfOCYkxY6GHX8huQBOcNKww==" saltValue="gEMk6OtRGGvHrRQeopEwJA=="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4" t="s">
        <v>44</v>
      </c>
      <c r="C3" s="104"/>
      <c r="D3" s="1"/>
    </row>
    <row r="4" spans="1:4" ht="15" customHeight="1" x14ac:dyDescent="0.25">
      <c r="A4" s="1"/>
      <c r="B4" s="104"/>
      <c r="C4" s="10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08" t="s">
        <v>10</v>
      </c>
      <c r="C8" s="110"/>
      <c r="D8" s="1"/>
    </row>
    <row r="9" spans="1:4" x14ac:dyDescent="0.25">
      <c r="A9" s="1"/>
      <c r="B9" s="65" t="s">
        <v>164</v>
      </c>
      <c r="C9" s="22">
        <v>0.02</v>
      </c>
      <c r="D9" s="1"/>
    </row>
    <row r="10" spans="1:4" x14ac:dyDescent="0.25">
      <c r="A10" s="1"/>
      <c r="B10" s="33"/>
      <c r="C10" s="19"/>
      <c r="D10" s="1"/>
    </row>
    <row r="11" spans="1:4" x14ac:dyDescent="0.25">
      <c r="A11" s="1"/>
      <c r="B11" s="112" t="s">
        <v>220</v>
      </c>
      <c r="C11" s="113"/>
      <c r="D11" s="1"/>
    </row>
    <row r="12" spans="1:4" x14ac:dyDescent="0.25">
      <c r="A12" s="1"/>
      <c r="B12" s="114"/>
      <c r="C12" s="115"/>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CdWzhu1OrBn5a5DpZIrWYNd82yJgyTyL5rwQBbnNdQ+T21Vp/FNmSzVh5jt+tpJarqpNywqhM7mVw3jCA2Vf1A==" saltValue="PboID9N4hZvrabv31jPCjw=="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2024-05-06T07:45:39Z</cp:lastPrinted>
  <dcterms:created xsi:type="dcterms:W3CDTF">2016-06-02T08:51:18Z</dcterms:created>
  <dcterms:modified xsi:type="dcterms:W3CDTF">2024-09-30T08:46:26Z</dcterms:modified>
</cp:coreProperties>
</file>