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andcenter Syd AS (S09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s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4" i="36" s="1"/>
  <c r="C17" i="21"/>
  <c r="C18" i="21" s="1"/>
  <c r="G46" i="30" s="1"/>
  <c r="E30" i="21" l="1"/>
  <c r="G61" i="36" s="1"/>
  <c r="C30" i="21"/>
  <c r="G60" i="30" s="1"/>
  <c r="E24" i="21"/>
  <c r="G55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7" i="36" l="1"/>
  <c r="G11" i="36" l="1"/>
  <c r="G14" i="36" l="1"/>
  <c r="G18" i="36" l="1"/>
  <c r="G20" i="36" s="1"/>
  <c r="G16" i="30"/>
  <c r="G20" i="30" s="1"/>
  <c r="G24" i="36" l="1"/>
  <c r="G26" i="36" s="1"/>
  <c r="G22" i="30"/>
  <c r="G30" i="36" l="1"/>
  <c r="G26" i="30"/>
  <c r="G32" i="36" l="1"/>
  <c r="F11" i="11"/>
  <c r="C10" i="37" s="1"/>
  <c r="C14" i="37" s="1"/>
  <c r="C15" i="37" s="1"/>
  <c r="G11" i="11"/>
  <c r="G36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4" i="37" s="1"/>
  <c r="E15" i="37" s="1"/>
  <c r="C11" i="2" l="1"/>
  <c r="G37" i="36" s="1"/>
  <c r="G34" i="30"/>
  <c r="E18" i="27" s="1"/>
  <c r="G43" i="36" l="1"/>
  <c r="G38" i="36"/>
  <c r="G42" i="36" s="1"/>
  <c r="G38" i="30"/>
  <c r="E20" i="27"/>
  <c r="E33" i="27" s="1"/>
  <c r="C9" i="2" l="1"/>
  <c r="C16" i="2" s="1"/>
  <c r="G40" i="30"/>
  <c r="G44" i="30" s="1"/>
  <c r="G47" i="30" s="1"/>
  <c r="G53" i="30" s="1"/>
  <c r="G45" i="36"/>
  <c r="G54" i="36" s="1"/>
  <c r="C19" i="2"/>
  <c r="G56" i="36" l="1"/>
  <c r="C15" i="15"/>
  <c r="G60" i="36" l="1"/>
  <c r="G62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<sst xmlns="http://schemas.openxmlformats.org/spreadsheetml/2006/main" count="712" uniqueCount="287">
  <si>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</si>
  <si>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</si>
  <si>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</si>
  <si>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</si>
  <si>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</si>
  <si>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</si>
  <si>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</si>
  <si>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</si>
  <si>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</si>
  <si>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</si>
  <si>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</si>
  <si>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</si>
  <si>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</si>
  <si>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</si>
  <si>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</si>
  <si>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</si>
  <si>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</si>
  <si>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</si>
  <si>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</si>
  <si>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</si>
  <si>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</si>
  <si>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</si>
  <si>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</si>
  <si>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</si>
  <si>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</si>
  <si>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</si>
  <si>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</si>
  <si>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</si>
  <si>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</si>
  <si>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</si>
  <si>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</si>
  <si>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</si>
  <si>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</si>
  <si>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</si>
  <si>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</si>
  <si>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</si>
  <si>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</si>
  <si>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</si>
  <si>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</si>
  <si>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</si>
  <si>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</si>
  <si>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</si>
  <si>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</si>
  <si>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</si>
  <si>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</si>
  <si>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</si>
  <si>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</si>
  <si>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</si>
  <si>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</si>
  <si>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</si>
  <si>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</si>
  <si>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</si>
  <si>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</si>
  <si>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</si>
  <si>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</si>
  <si>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</si>
  <si>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</si>
  <si>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</si>
  <si>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</si>
  <si>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</si>
  <si>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</si>
  <si>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</si>
  <si>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</si>
  <si>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</si>
  <si>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</si>
  <si>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</si>
  <si>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</si>
  <si>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</si>
  <si>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</si>
  <si>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</si>
  <si>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</si>
  <si>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</si>
  <si>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</si>
  <si>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</si>
  <si>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</si>
  <si>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</si>
  <si>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</si>
  <si>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</si>
  <si>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</si>
  <si>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</si>
  <si>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</si>
  <si>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</si>
  <si>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</si>
  <si>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</si>
  <si>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</si>
  <si>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</si>
  <si>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</si>
  <si>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</si>
  <si>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</si>
  <si>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</si>
  <si>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</si>
  <si>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</si>
  <si>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</si>
  <si>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</si>
  <si>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</si>
  <si>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</si>
  <si>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</si>
  <si>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</si>
  <si>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</si>
  <si>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</si>
  <si>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</si>
  <si>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</si>
  <si>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</si>
  <si>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</si>
  <si>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</si>
  <si>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</si>
  <si>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</si>
  <si>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</si>
  <si>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</si>
  <si>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</si>
  <si>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</si>
  <si>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</si>
  <si>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</si>
  <si>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</si>
  <si>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</si>
  <si>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</si>
  <si>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</si>
  <si>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</si>
  <si>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</si>
  <si>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</si>
  <si>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</si>
  <si>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</si>
  <si>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</si>
  <si>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</si>
  <si>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</si>
  <si>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</si>
  <si>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</si>
  <si>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</si>
  <si>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</si>
  <si>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</si>
  <si>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</si>
  <si>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</si>
  <si>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</si>
  <si>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</si>
  <si>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</si>
  <si>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</si>
  <si>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</si>
  <si>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</si>
  <si>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</si>
  <si>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</si>
  <si>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</si>
  <si>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</si>
  <si>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</si>
  <si>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</si>
  <si>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</si>
  <si>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</si>
  <si>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</si>
  <si>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</si>
  <si>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</si>
  <si>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</si>
  <si>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</si>
  <si>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</si>
  <si>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</si>
  <si>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</si>
  <si>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</si>
  <si>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</si>
  <si>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</si>
  <si>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</si>
  <si>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</si>
  <si>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</si>
  <si>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</si>
  <si>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</si>
  <si>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</si>
  <si>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</si>
  <si>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</si>
  <si>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</si>
  <si>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</si>
  <si>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</si>
  <si>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</si>
  <si>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</si>
  <si>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</si>
  <si>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</si>
  <si>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</si>
  <si>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</si>
  <si>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</si>
  <si>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</si>
  <si>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</si>
  <si>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</si>
  <si>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</si>
  <si>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</si>
  <si>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</si>
  <si>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</si>
  <si>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</si>
  <si>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</si>
  <si>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</si>
  <si>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</si>
  <si>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</si>
  <si>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</si>
  <si>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</si>
  <si>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</si>
  <si>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</si>
  <si>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</si>
  <si>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</si>
  <si>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</si>
  <si>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</si>
  <si>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</si>
  <si>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</si>
  <si>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</si>
  <si>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</si>
  <si>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</si>
  <si>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</si>
  <si>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</si>
  <si>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</si>
  <si>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</si>
  <si>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</si>
  <si>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</si>
  <si>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</si>
  <si>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</si>
  <si>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</si>
  <si>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</si>
  <si>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</si>
  <si>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</si>
  <si>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</si>
  <si>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</si>
  <si>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</si>
  <si>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</si>
  <si>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</si>
  <si>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</si>
  <si>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</si>
  <si>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</si>
  <si>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</si>
  <si>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</si>
  <si>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</si>
  <si>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</si>
  <si>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</si>
  <si>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</si>
  <si>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</si>
  <si>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</si>
  <si>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</si>
  <si>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</si>
  <si>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</si>
  <si>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</si>
  <si>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</si>
  <si>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</si>
  <si>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</si>
  <si>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</si>
  <si>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</si>
  <si>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</si>
  <si>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</si>
  <si>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</si>
  <si>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</si>
  <si>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</si>
  <si>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</si>
  <si>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</si>
  <si>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</si>
  <si>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</si>
  <si>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</si>
  <si>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</si>
  <si>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</si>
  <si>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</si>
  <si>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</si>
  <si>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</si>
  <si>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</si>
  <si>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</si>
  <si>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</si>
  <si>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</si>
  <si>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</si>
  <si>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</si>
  <si>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</si>
  <si>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</si>
  <si>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</si>
  <si>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</si>
  <si>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</si>
  <si>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</si>
  <si>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</si>
  <si>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</si>
  <si>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</si>
  <si>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</si>
  <si>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</si>
  <si>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</si>
  <si>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</si>
  <si>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</si>
  <si>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</si>
  <si>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</si>
  <si>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</si>
  <si>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</si>
  <si>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</si>
  <si>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</si>
  <si>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</si>
  <si>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</si>
  <si>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</si>
  <si>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</si>
  <si>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</si>
  <si>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Flytning af ledninger</t>
  </si>
  <si>
    <t xml:space="preserve">Udvidelse af forsyningsområde </t>
  </si>
  <si>
    <t>Separeringer, klimasikring, overvågning mm.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</si>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</sst>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169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246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248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249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250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196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dwZOz0nU/EDBXgVXhaEntmlQg74ytiXqDJXDww1PVoFFJHm5+kCy++AeFHyKVYsTAii8DMoYqIlqS43xH/ELg==" saltValue="hLNFPDmggMCZtcm00K+so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209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245</v>
      </c>
      <c r="D9" s="11"/>
      <c r="E9" s="1"/>
      <c r="F9" s="1"/>
    </row>
    <row r="10" spans="1:6" ht="15" customHeight="1" x14ac:dyDescent="0.25">
      <c r="A10" s="1"/>
      <c r="B10" s="65" t="s">
        <v>263</v>
      </c>
      <c r="C10" s="9">
        <v>5942575</v>
      </c>
      <c r="D10" s="14" t="s">
        <v>3</v>
      </c>
      <c r="E10" s="1"/>
      <c r="F10" s="1"/>
    </row>
    <row r="11" spans="1:6" x14ac:dyDescent="0.25">
      <c r="A11" s="1"/>
      <c r="B11" s="65" t="s">
        <v>264</v>
      </c>
      <c r="C11" s="9">
        <v>327369</v>
      </c>
      <c r="D11" s="14" t="s">
        <v>3</v>
      </c>
      <c r="E11" s="1"/>
      <c r="F11" s="1"/>
    </row>
    <row r="12" spans="1:6" x14ac:dyDescent="0.25">
      <c r="A12" s="1"/>
      <c r="B12" s="65" t="s">
        <v>265</v>
      </c>
      <c r="C12" s="9">
        <v>1298409</v>
      </c>
      <c r="D12" s="14" t="s">
        <v>3</v>
      </c>
      <c r="E12" s="1"/>
      <c r="F12" s="1"/>
    </row>
    <row r="13" spans="1:6" x14ac:dyDescent="0.25">
      <c r="A13" s="1"/>
      <c r="B13" s="65" t="s">
        <v>266</v>
      </c>
      <c r="C13" s="9">
        <v>524687</v>
      </c>
      <c r="D13" s="14" t="s">
        <v>3</v>
      </c>
      <c r="E13" s="1"/>
      <c r="F13" s="1"/>
    </row>
    <row r="14" spans="1:6" x14ac:dyDescent="0.25">
      <c r="A14" s="1"/>
      <c r="B14" s="38" t="s">
        <v>210</v>
      </c>
      <c r="C14" s="12">
        <f>SUM(C10:C13)</f>
        <v>8093040</v>
      </c>
      <c r="D14" s="13" t="s">
        <v>3</v>
      </c>
      <c r="E14" s="1"/>
      <c r="F14" s="1"/>
    </row>
    <row r="15" spans="1:6" x14ac:dyDescent="0.25">
      <c r="A15" s="1"/>
      <c r="B15" s="38" t="s">
        <v>211</v>
      </c>
      <c r="C15" s="12">
        <f>C14*(1+'Fane 14. Nøgletal'!C14)^2</f>
        <v>8146542.1972056013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5" t="s">
        <v>142</v>
      </c>
      <c r="C18" s="96"/>
      <c r="D18" s="97"/>
      <c r="E18" s="1"/>
      <c r="F18" s="1"/>
    </row>
    <row r="19" spans="1:6" x14ac:dyDescent="0.25">
      <c r="A19" s="1"/>
      <c r="B19" s="65" t="s">
        <v>116</v>
      </c>
      <c r="C19" s="9">
        <v>354000</v>
      </c>
      <c r="D19" s="14" t="s">
        <v>3</v>
      </c>
      <c r="E19" s="1"/>
      <c r="F19" s="1"/>
    </row>
    <row r="20" spans="1:6" x14ac:dyDescent="0.25">
      <c r="A20" s="1"/>
      <c r="B20" s="65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5" t="s">
        <v>212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5"/>
      <c r="C23" s="96"/>
      <c r="D23" s="97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5" t="s">
        <v>115</v>
      </c>
      <c r="C26" s="96"/>
      <c r="D26" s="97"/>
      <c r="E26" s="1"/>
      <c r="F26" s="1"/>
    </row>
    <row r="27" spans="1:6" x14ac:dyDescent="0.25">
      <c r="A27" s="1"/>
      <c r="B27" s="65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5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5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5" t="s">
        <v>212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5"/>
      <c r="C31" s="96"/>
      <c r="D31" s="97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khccCUDZBKiKhVoJ8wf+qUG6e7jDvDptjK+vfAqI3eOqNbi/2poXff45a+PXK5pXfzzIdo77DEtICImewFrUbg==" saltValue="LPWCFKhCXgJV9oJlvJOoE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213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268</v>
      </c>
      <c r="C8" s="96"/>
      <c r="D8" s="96"/>
      <c r="E8" s="96"/>
      <c r="F8" s="97"/>
      <c r="G8" s="1"/>
    </row>
    <row r="9" spans="1:7" x14ac:dyDescent="0.25">
      <c r="A9" s="1"/>
      <c r="B9" s="104" t="s">
        <v>269</v>
      </c>
      <c r="C9" s="105"/>
      <c r="D9" s="106"/>
      <c r="E9" s="9">
        <v>5966071.4780808687</v>
      </c>
      <c r="F9" s="14" t="s">
        <v>3</v>
      </c>
      <c r="G9" s="1"/>
    </row>
    <row r="10" spans="1:7" x14ac:dyDescent="0.25">
      <c r="A10" s="1"/>
      <c r="B10" s="104" t="s">
        <v>270</v>
      </c>
      <c r="C10" s="105"/>
      <c r="D10" s="106"/>
      <c r="E10" s="9">
        <v>-10708815.374292254</v>
      </c>
      <c r="F10" s="14" t="s">
        <v>3</v>
      </c>
      <c r="G10" s="1"/>
    </row>
    <row r="11" spans="1:7" x14ac:dyDescent="0.25">
      <c r="A11" s="1"/>
      <c r="B11" s="104" t="s">
        <v>271</v>
      </c>
      <c r="C11" s="105"/>
      <c r="D11" s="106"/>
      <c r="E11" s="9">
        <v>-4742743.8962113857</v>
      </c>
      <c r="F11" s="14" t="s">
        <v>3</v>
      </c>
      <c r="G11" s="1"/>
    </row>
    <row r="12" spans="1:7" x14ac:dyDescent="0.25">
      <c r="A12" s="1"/>
      <c r="B12" s="104" t="s">
        <v>272</v>
      </c>
      <c r="C12" s="105"/>
      <c r="D12" s="106"/>
      <c r="E12" s="9">
        <v>4484789.8487975001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273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274</v>
      </c>
      <c r="C16" s="96"/>
      <c r="D16" s="96"/>
      <c r="E16" s="96"/>
      <c r="F16" s="97"/>
      <c r="G16" s="1"/>
    </row>
    <row r="17" spans="1:7" x14ac:dyDescent="0.25">
      <c r="A17" s="1"/>
      <c r="B17" s="104" t="s">
        <v>275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276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277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214</v>
      </c>
      <c r="C22" s="58"/>
      <c r="D22" s="58"/>
      <c r="E22" s="58"/>
      <c r="F22" s="59"/>
      <c r="G22" s="1"/>
    </row>
    <row r="23" spans="1:7" x14ac:dyDescent="0.25">
      <c r="A23" s="1"/>
      <c r="B23" s="62" t="s">
        <v>215</v>
      </c>
      <c r="C23" s="63"/>
      <c r="D23" s="64"/>
      <c r="E23" s="9">
        <v>363067620.29410189</v>
      </c>
      <c r="F23" s="14" t="s">
        <v>3</v>
      </c>
      <c r="G23" s="1"/>
    </row>
    <row r="24" spans="1:7" x14ac:dyDescent="0.25">
      <c r="A24" s="1"/>
      <c r="B24" s="62" t="s">
        <v>216</v>
      </c>
      <c r="C24" s="63"/>
      <c r="D24" s="64"/>
      <c r="E24" s="9">
        <v>370360582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60" t="s">
        <v>278</v>
      </c>
      <c r="C26" s="61"/>
      <c r="D26" s="67"/>
      <c r="E26" s="48">
        <f>E23-(E24-E25)</f>
        <v>-7292961.7058981061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187</v>
      </c>
      <c r="C30" s="96"/>
      <c r="D30" s="96"/>
      <c r="E30" s="96"/>
      <c r="F30" s="97"/>
      <c r="G30" s="1"/>
    </row>
    <row r="31" spans="1:7" x14ac:dyDescent="0.25">
      <c r="A31" s="1"/>
      <c r="B31" s="115" t="s">
        <v>281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188</v>
      </c>
      <c r="C32" s="116"/>
      <c r="D32" s="117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-7292961.7058981061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189</v>
      </c>
      <c r="C34" s="118"/>
      <c r="D34" s="118"/>
      <c r="E34" s="10">
        <f>E32/E33</f>
        <v>-3646480.852949053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98" t="s">
        <v>280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vA9A9oliVYT0Y04JU76ejSX/8juxPMQ0qpTZOKzaZ2VUOA55sR+v4rebw+NdbR3zzW3MF0gta14BIP2i5Rhkkg==" saltValue="2WbaGrBOUIe7usPWXDVQz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217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218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25">
      <c r="A11" s="1"/>
      <c r="B11" s="104" t="s">
        <v>219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220</v>
      </c>
      <c r="C14" s="105"/>
      <c r="D14" s="106"/>
      <c r="E14" s="9">
        <v>354000</v>
      </c>
      <c r="F14" s="8" t="s">
        <v>3</v>
      </c>
      <c r="G14" s="1"/>
    </row>
    <row r="15" spans="1:7" x14ac:dyDescent="0.25">
      <c r="A15" s="1"/>
      <c r="B15" s="98" t="s">
        <v>221</v>
      </c>
      <c r="C15" s="99"/>
      <c r="D15" s="100"/>
      <c r="E15" s="9">
        <v>279528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-74472</v>
      </c>
      <c r="F16" s="11" t="s">
        <v>3</v>
      </c>
      <c r="G16" s="1"/>
    </row>
    <row r="17" spans="1:7" x14ac:dyDescent="0.25">
      <c r="A17" s="1"/>
      <c r="B17" s="38" t="s">
        <v>222</v>
      </c>
      <c r="C17" s="32"/>
      <c r="D17" s="32"/>
      <c r="E17" s="12">
        <f>E12+E16</f>
        <v>-74472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OwojmuEOSlJvBCHCizH6FW4HHXFLNRLfqI5T8GEwZWelzo8h0uML42oY4BfEso4MN0BHQ/i0t4LnrUWnDf1sA==" saltValue="lv+ci830iA/AcX3OghPN6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178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179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282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180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C6FkLWRmZGmXLWPHLBQIFyIobB7RNSBWZjeeeu829XrV2x4UwkRy6KmIfZqVr+ysZ349IrHJPWQL6BZTyXaWA==" saltValue="0wq2TJOYOy+HhN4O2uvDu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181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285</v>
      </c>
      <c r="C11" s="22">
        <v>53418</v>
      </c>
      <c r="D11" s="14" t="s">
        <v>3</v>
      </c>
      <c r="E11" s="9">
        <v>2937965</v>
      </c>
      <c r="F11" s="14" t="s">
        <v>3</v>
      </c>
      <c r="G11" s="1"/>
    </row>
    <row r="12" spans="1:7" x14ac:dyDescent="0.25">
      <c r="A12" s="1"/>
      <c r="B12" s="47" t="s">
        <v>283</v>
      </c>
      <c r="C12" s="22">
        <v>0</v>
      </c>
      <c r="D12" s="14" t="s">
        <v>3</v>
      </c>
      <c r="E12" s="9">
        <v>467676</v>
      </c>
      <c r="F12" s="14" t="s">
        <v>3</v>
      </c>
      <c r="G12" s="1"/>
    </row>
    <row r="13" spans="1:7" x14ac:dyDescent="0.25">
      <c r="A13" s="1"/>
      <c r="B13" s="25" t="s">
        <v>284</v>
      </c>
      <c r="C13" s="22">
        <v>305156</v>
      </c>
      <c r="D13" s="14" t="s">
        <v>3</v>
      </c>
      <c r="E13" s="9">
        <v>3247793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358574</v>
      </c>
      <c r="D14" s="13" t="s">
        <v>3</v>
      </c>
      <c r="E14" s="12">
        <f>SUM(E10:E13)</f>
        <v>6653434</v>
      </c>
      <c r="F14" s="13" t="s">
        <v>3</v>
      </c>
      <c r="G14" s="1"/>
    </row>
    <row r="15" spans="1:7" x14ac:dyDescent="0.25">
      <c r="A15" s="1"/>
      <c r="B15" s="38" t="s">
        <v>223</v>
      </c>
      <c r="C15" s="12">
        <f>C14*(1+'Fane 14. Nøgletal'!C14)</f>
        <v>359757.2942</v>
      </c>
      <c r="D15" s="13" t="s">
        <v>3</v>
      </c>
      <c r="E15" s="12">
        <f>E14*(1+'Fane 14. Nøgletal'!C14)</f>
        <v>6675390.332200001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AUwSKMkchV/NLt/1/W5lFt4KF/meelcKAS8MPot2QMXm/HE1N5sDful1QmWzfsvoebSyTRll4xl6u+z+sEKMvQ==" saltValue="LkAvmDXEsOTN9+ugKPrWT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286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5" t="s">
        <v>18</v>
      </c>
      <c r="C17" s="55" t="s">
        <v>12</v>
      </c>
      <c r="D17" s="56"/>
      <c r="E17" s="55" t="s">
        <v>34</v>
      </c>
      <c r="F17" s="37"/>
      <c r="G17" s="1"/>
    </row>
    <row r="18" spans="1:7" x14ac:dyDescent="0.25">
      <c r="A18" s="1"/>
      <c r="B18" s="25" t="s">
        <v>286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5" t="s">
        <v>18</v>
      </c>
      <c r="C25" s="55" t="s">
        <v>12</v>
      </c>
      <c r="D25" s="56"/>
      <c r="E25" s="55" t="s">
        <v>34</v>
      </c>
      <c r="F25" s="37"/>
      <c r="G25" s="1"/>
    </row>
    <row r="26" spans="1:7" x14ac:dyDescent="0.25">
      <c r="A26" s="1"/>
      <c r="B26" s="25" t="s">
        <v>286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225</v>
      </c>
      <c r="C32" s="96"/>
      <c r="D32" s="96"/>
      <c r="E32" s="96"/>
      <c r="F32" s="97"/>
      <c r="G32" s="1"/>
    </row>
    <row r="33" spans="1:7" x14ac:dyDescent="0.25">
      <c r="A33" s="1"/>
      <c r="B33" s="55" t="s">
        <v>18</v>
      </c>
      <c r="C33" s="55" t="s">
        <v>12</v>
      </c>
      <c r="D33" s="56"/>
      <c r="E33" s="55" t="s">
        <v>34</v>
      </c>
      <c r="F33" s="37"/>
      <c r="G33" s="1"/>
    </row>
    <row r="34" spans="1:7" x14ac:dyDescent="0.25">
      <c r="A34" s="1"/>
      <c r="B34" s="25" t="s">
        <v>286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226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+P0QMyyL3nkBa4ekdUd/2tk8X1fduGNMXm5LM82ljI+vve/rZdCKcAKW7q3Sllz08IPslRLRyobPgWraRosDQ==" saltValue="pmBkOO5PvHYbr9lvLBYKp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3" t="s">
        <v>227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3" t="s">
        <v>227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3" t="s">
        <v>227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228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3" t="s">
        <v>227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5" t="s">
        <v>229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+5p/qnFPOIPG5207udDgstkjH5WtLWMaF22lt1uSvFtZxvEAbyx2M6ZTAfE4ki8WT/sMVWGdNezjJ2hd2JIuw==" saltValue="9Tu0EwudqlHclrPgXmUSa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230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PGRmKaLdN03z/bez63PdstFytPw6+1eTEYLFisPacut/ZLV/Qc33RtSICnn1PLe9xa7zUDVJG+z1sXdOdAAi2w==" saltValue="q7QhrqRhncJS64fr/2X2d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170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171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232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231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rosyH2hiKHIlj/1tA/VVSKLEc1LoaetBj6n3K4l/sU7DvPvR6wfYngvVwU7StoLmahDx9xhb3Zry5rC3VxDdQ==" saltValue="5N/eaOKo235EUVYI0iF5i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190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255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254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191</v>
      </c>
      <c r="C20" s="23">
        <v>1.77E-2</v>
      </c>
      <c r="D20" s="1"/>
    </row>
    <row r="21" spans="1:4" x14ac:dyDescent="0.25">
      <c r="A21" s="1"/>
      <c r="B21" s="65" t="s">
        <v>192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193</v>
      </c>
      <c r="C23" s="41">
        <v>2.75E-2</v>
      </c>
      <c r="D23" s="1"/>
    </row>
    <row r="24" spans="1:4" x14ac:dyDescent="0.25">
      <c r="A24" s="1"/>
      <c r="B24" s="65" t="s">
        <v>194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zeQwhEtDRcke5VFCI7Cbn0FhesRSAW2ja+/Q6ypzXeyhbHGgm4ZjWOch8aztnN1pFZJcz/JOBRfYoauvkigEug==" saltValue="Jio8qmXEtBXBW7GwcdENR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195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261</v>
      </c>
      <c r="C9" s="7">
        <f>'Fane 3. Omkostninger i ØR2021'!E20</f>
        <v>346058305.91398782</v>
      </c>
      <c r="D9" s="8" t="s">
        <v>3</v>
      </c>
      <c r="E9" s="1"/>
    </row>
    <row r="10" spans="1:5" ht="17.100000000000001" customHeight="1" x14ac:dyDescent="0.25">
      <c r="A10" s="1"/>
      <c r="B10" s="54" t="s">
        <v>43</v>
      </c>
      <c r="C10" s="7">
        <f>'Fane 10.1. Varige tillæg'!C15</f>
        <v>359757.2942</v>
      </c>
      <c r="D10" s="8" t="s">
        <v>3</v>
      </c>
      <c r="E10" s="1"/>
    </row>
    <row r="11" spans="1:5" ht="17.100000000000001" customHeight="1" x14ac:dyDescent="0.25">
      <c r="A11" s="1"/>
      <c r="B11" s="54" t="s">
        <v>44</v>
      </c>
      <c r="C11" s="9">
        <f>'Fane 10.1. Varige tillæg'!E15</f>
        <v>6675390.332200001</v>
      </c>
      <c r="D11" s="8" t="s">
        <v>3</v>
      </c>
      <c r="E11" s="1"/>
    </row>
    <row r="12" spans="1:5" ht="17.100000000000001" customHeight="1" x14ac:dyDescent="0.25">
      <c r="A12" s="1"/>
      <c r="B12" s="54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4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4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4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4" t="s">
        <v>20</v>
      </c>
      <c r="C16" s="9">
        <f>SUM(C9:C15)*'Fane 14. Nøgletal'!C14</f>
        <v>1165208.3966832797</v>
      </c>
      <c r="D16" s="8" t="s">
        <v>3</v>
      </c>
      <c r="E16" s="1"/>
    </row>
    <row r="17" spans="1:5" ht="17.100000000000001" customHeight="1" x14ac:dyDescent="0.25">
      <c r="A17" s="1"/>
      <c r="B17" s="54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4" t="s">
        <v>26</v>
      </c>
      <c r="C18" s="9">
        <f>-'Fane 4.1. Gen. krav - drift'!G40</f>
        <v>-2394828.1099145506</v>
      </c>
      <c r="D18" s="8" t="s">
        <v>3</v>
      </c>
      <c r="E18" s="1"/>
    </row>
    <row r="19" spans="1:5" ht="17.100000000000001" customHeight="1" x14ac:dyDescent="0.25">
      <c r="A19" s="1"/>
      <c r="B19" s="54" t="s">
        <v>27</v>
      </c>
      <c r="C19" s="9">
        <f>-'Fane 4.2. Gen. krav - anlæg'!G38</f>
        <v>-3805336.3958610008</v>
      </c>
      <c r="D19" s="8" t="s">
        <v>3</v>
      </c>
      <c r="E19" s="1"/>
    </row>
    <row r="20" spans="1:5" ht="17.100000000000001" customHeight="1" x14ac:dyDescent="0.25">
      <c r="A20" s="1"/>
      <c r="B20" s="60" t="s">
        <v>22</v>
      </c>
      <c r="C20" s="10">
        <f>SUM(C9:C19)</f>
        <v>348058497.43129551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8500542.1972056013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0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4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4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60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188</v>
      </c>
      <c r="C29" s="32"/>
      <c r="D29" s="20"/>
      <c r="E29" s="1"/>
    </row>
    <row r="30" spans="1:5" x14ac:dyDescent="0.25">
      <c r="A30" s="1"/>
      <c r="B30" s="36" t="s">
        <v>186</v>
      </c>
      <c r="C30" s="10">
        <f>'Fane 7. Kontrol af ØR2020'!E34</f>
        <v>-3646480.852949053</v>
      </c>
      <c r="D30" s="11" t="s">
        <v>3</v>
      </c>
      <c r="E30" s="1"/>
    </row>
    <row r="31" spans="1:5" ht="15" customHeight="1" x14ac:dyDescent="0.25">
      <c r="A31" s="1"/>
      <c r="B31" s="38" t="s">
        <v>196</v>
      </c>
      <c r="C31" s="32"/>
      <c r="D31" s="20"/>
      <c r="E31" s="1"/>
    </row>
    <row r="32" spans="1:5" x14ac:dyDescent="0.25">
      <c r="A32" s="1"/>
      <c r="B32" s="36" t="s">
        <v>196</v>
      </c>
      <c r="C32" s="10">
        <f>'Fane 8. Korrektion af ØR2020'!E17</f>
        <v>-74472</v>
      </c>
      <c r="D32" s="11" t="s">
        <v>3</v>
      </c>
      <c r="E32" s="1"/>
    </row>
    <row r="33" spans="1:5" x14ac:dyDescent="0.25">
      <c r="A33" s="1"/>
      <c r="B33" s="35" t="s">
        <v>259</v>
      </c>
      <c r="C33" s="32"/>
      <c r="D33" s="20"/>
      <c r="E33" s="1"/>
    </row>
    <row r="34" spans="1:5" x14ac:dyDescent="0.25">
      <c r="A34" s="1"/>
      <c r="B34" s="66" t="s">
        <v>260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352838086.77555203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Y7g2R+WV5fuOtnvBIl3OH775GP/nbsIDxPwBmNNx9hBxEi5ISGkt4ilcxvdA8KwsJtneguDToyam/hhF/mkwQ==" saltValue="TpcneWIt/e7BoV00Koj/x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348058497.43129551</v>
      </c>
      <c r="D9" s="8" t="s">
        <v>3</v>
      </c>
      <c r="E9" s="1"/>
    </row>
    <row r="10" spans="1:5" ht="15" customHeight="1" x14ac:dyDescent="0.25">
      <c r="A10" s="1"/>
      <c r="B10" s="54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4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1148593.0415232752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-2354676.4218237232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anlæg'!G45</f>
        <v>-3761389.1746790255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343091024.87631601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8173425.78645638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188</v>
      </c>
      <c r="C25" s="32"/>
      <c r="D25" s="20"/>
      <c r="E25" s="1"/>
    </row>
    <row r="26" spans="1:5" ht="15" customHeight="1" x14ac:dyDescent="0.25">
      <c r="A26" s="1"/>
      <c r="B26" s="36" t="s">
        <v>186</v>
      </c>
      <c r="C26" s="10">
        <f>'Fane 7. Kontrol af ØR2020'!E34</f>
        <v>-3646480.852949053</v>
      </c>
      <c r="D26" s="11" t="s">
        <v>3</v>
      </c>
      <c r="E26" s="1"/>
    </row>
    <row r="27" spans="1:5" x14ac:dyDescent="0.25">
      <c r="A27" s="1"/>
      <c r="B27" s="35" t="s">
        <v>259</v>
      </c>
      <c r="C27" s="32"/>
      <c r="D27" s="20"/>
      <c r="E27" s="1"/>
    </row>
    <row r="28" spans="1:5" x14ac:dyDescent="0.25">
      <c r="A28" s="1"/>
      <c r="B28" s="66" t="s">
        <v>260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347617969.80982339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geJEW5d+7DrgHQSbO0E7eod2hCkrpmy4H9z3ViysI8MrkabYnn7kw4CjjF5lbM1k6XKgRSytCfAoG/WU1XWEjw==" saltValue="iWZzZ/0zwOD73RGkw4Ct/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343091024.87631601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1132200.3820918428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-2315197.9169354271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anlæg'!G56</f>
        <v>-3717949.4929229263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338190077.84854949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8200398.0915516866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259</v>
      </c>
      <c r="C25" s="32"/>
      <c r="D25" s="20"/>
      <c r="E25" s="1"/>
    </row>
    <row r="26" spans="1:5" x14ac:dyDescent="0.25">
      <c r="A26" s="1"/>
      <c r="B26" s="66" t="s">
        <v>260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346390475.94010115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trgu8cjdLjy1MUTlgrGAeKux+0Lo5PvLzid+o0NFg4DYh7eQVTrGWmtmFlURtSwvPwTEf+sYPJkk0hhUMOONw==" saltValue="yL3WibgLkFB+7CJQw6QS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199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200</v>
      </c>
      <c r="C9" s="7">
        <f>'Fane 2.3. Økonomisk ramme 2024'!C16</f>
        <v>338190077.84854949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1116027.2569002132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-2276381.3086600876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anlæg'!G62</f>
        <v>-3675011.4891010784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333354712.30768853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8227459.405253808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259</v>
      </c>
      <c r="C25" s="32"/>
      <c r="D25" s="20"/>
      <c r="E25" s="1"/>
    </row>
    <row r="26" spans="1:5" x14ac:dyDescent="0.25">
      <c r="A26" s="1"/>
      <c r="B26" s="66" t="s">
        <v>260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201</v>
      </c>
      <c r="C27" s="12">
        <f>SUM(C16,C18,C20,C24,C26)</f>
        <v>341582171.71294236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GDlr8odscLmepVOaH9DB3mhAH1MFpjX1iFKsxIMduMv0hw8bmEIYzgs4FwGBSdjbmFJa/0uN5goGMcSzy2vtWw==" saltValue="7DtjaH28ahc5Wv8lZxoe8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251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353735245.14080691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237161.49659999998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2072078.6687999999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6996757.0592917753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-7260824.8473099731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-2428322.4746592706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anlæg'!G32</f>
        <v>-7293789.1295416607</v>
      </c>
      <c r="F19" s="8" t="s">
        <v>3</v>
      </c>
      <c r="G19" s="1"/>
    </row>
    <row r="20" spans="1:7" ht="15" customHeight="1" x14ac:dyDescent="0.25">
      <c r="A20" s="1"/>
      <c r="B20" s="60" t="s">
        <v>22</v>
      </c>
      <c r="C20" s="61"/>
      <c r="D20" s="67"/>
      <c r="E20" s="10">
        <f>SUM(E9:E19)</f>
        <v>346058305.91398782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7721846.2694827197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60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188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186</v>
      </c>
      <c r="C30" s="93"/>
      <c r="D30" s="93"/>
      <c r="E30" s="45">
        <v>2113418.0518943071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2" t="s">
        <v>148</v>
      </c>
      <c r="C32" s="93"/>
      <c r="D32" s="94"/>
      <c r="E32" s="10">
        <v>-122524</v>
      </c>
      <c r="F32" s="11" t="s">
        <v>3</v>
      </c>
      <c r="G32" s="1"/>
    </row>
    <row r="33" spans="1:7" x14ac:dyDescent="0.25">
      <c r="A33" s="1"/>
      <c r="B33" s="38" t="s">
        <v>252</v>
      </c>
      <c r="C33" s="32"/>
      <c r="D33" s="20"/>
      <c r="E33" s="12">
        <f>SUM(E32,E30,E28,E24,E22,E20)</f>
        <v>355771046.23536485</v>
      </c>
      <c r="F33" s="13" t="s">
        <v>3</v>
      </c>
      <c r="G33" s="1"/>
    </row>
    <row r="34" spans="1:7" ht="27" customHeight="1" x14ac:dyDescent="0.25">
      <c r="A34" s="1"/>
      <c r="B34" s="98" t="s">
        <v>253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BdWO9QOFRpo0eGS+55V+B0XqjGRBl/dsF2Lc6xBuVcMlklrkACe+03WmHnsSmh9wqHQrtL4xqwvtw1K3sZHeg==" saltValue="gwy0MLkcUAcSL+xVzbGNQ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122039067.92496116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9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2440781.3584992234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121691256.58137503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9">
        <v>0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9">
        <v>0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9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2433825.1316275005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121344436.50011812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9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2426888.7300023623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121260223.46118705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9">
        <v>0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2425204.469223741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121176068.86610499</v>
      </c>
      <c r="H32" s="14" t="s">
        <v>3</v>
      </c>
      <c r="I32" s="1"/>
    </row>
    <row r="33" spans="1:9" x14ac:dyDescent="0.25">
      <c r="A33" s="1"/>
      <c r="B33" s="104" t="s">
        <v>172</v>
      </c>
      <c r="C33" s="105"/>
      <c r="D33" s="105"/>
      <c r="E33" s="105"/>
      <c r="F33" s="106"/>
      <c r="G33" s="24">
        <v>240054.86685851999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2428322.4746592706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233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119380461.00245667</v>
      </c>
      <c r="H38" s="14" t="s">
        <v>3</v>
      </c>
      <c r="I38" s="1"/>
    </row>
    <row r="39" spans="1:9" x14ac:dyDescent="0.25">
      <c r="A39" s="1"/>
      <c r="B39" s="104" t="s">
        <v>237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360944.49327086005</v>
      </c>
      <c r="H39" s="14" t="s">
        <v>3</v>
      </c>
      <c r="I39" s="1"/>
    </row>
    <row r="40" spans="1:9" x14ac:dyDescent="0.25">
      <c r="A40" s="1"/>
      <c r="B40" s="104" t="s">
        <v>235</v>
      </c>
      <c r="C40" s="105"/>
      <c r="D40" s="105"/>
      <c r="E40" s="105"/>
      <c r="F40" s="106"/>
      <c r="G40" s="24">
        <f>(G38+G39)*'Fane 14. Nøgletal'!C29</f>
        <v>2394828.1099145506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234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117733821.09118617</v>
      </c>
      <c r="H44" s="14" t="s">
        <v>3</v>
      </c>
      <c r="I44" s="1"/>
    </row>
    <row r="45" spans="1:9" x14ac:dyDescent="0.25">
      <c r="A45" s="1"/>
      <c r="B45" s="110" t="s">
        <v>238</v>
      </c>
      <c r="C45" s="111"/>
      <c r="D45" s="111"/>
      <c r="E45" s="111"/>
      <c r="F45" s="112"/>
      <c r="G45" s="24">
        <f>G39*(1+'Fane 14. Nøgletal'!C14)</f>
        <v>362135.61009865394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236</v>
      </c>
      <c r="C47" s="105"/>
      <c r="D47" s="105"/>
      <c r="E47" s="105"/>
      <c r="F47" s="106"/>
      <c r="G47" s="24">
        <f>(G44+G46)*'Fane 14. Nøgletal'!C29</f>
        <v>2354676.4218237232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173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174</v>
      </c>
      <c r="C53" s="105"/>
      <c r="D53" s="105"/>
      <c r="E53" s="105"/>
      <c r="F53" s="106"/>
      <c r="G53" s="24">
        <f>(G44+G46-G47)*(1+'Fane 14. Nøgletal'!C14)</f>
        <v>115759895.84677134</v>
      </c>
      <c r="H53" s="14" t="s">
        <v>3</v>
      </c>
      <c r="I53" s="1"/>
    </row>
    <row r="54" spans="1:9" x14ac:dyDescent="0.25">
      <c r="A54" s="1"/>
      <c r="B54" s="104" t="s">
        <v>175</v>
      </c>
      <c r="C54" s="105"/>
      <c r="D54" s="105"/>
      <c r="E54" s="105"/>
      <c r="F54" s="106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176</v>
      </c>
      <c r="C55" s="105"/>
      <c r="D55" s="105"/>
      <c r="E55" s="105"/>
      <c r="F55" s="106"/>
      <c r="G55" s="24">
        <f>(G53+G54)*'Fane 14. Nøgletal'!C29</f>
        <v>2315197.9169354271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202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62" t="s">
        <v>203</v>
      </c>
      <c r="C59" s="63"/>
      <c r="D59" s="63"/>
      <c r="E59" s="63"/>
      <c r="F59" s="64"/>
      <c r="G59" s="24">
        <f>(G53+G54-G55)*(1+'Fane 14. Nøgletal'!C14)</f>
        <v>113819065.43300438</v>
      </c>
      <c r="H59" s="14" t="s">
        <v>3</v>
      </c>
      <c r="I59" s="1"/>
    </row>
    <row r="60" spans="1:9" x14ac:dyDescent="0.25">
      <c r="A60" s="1"/>
      <c r="B60" s="62" t="s">
        <v>204</v>
      </c>
      <c r="C60" s="63"/>
      <c r="D60" s="63"/>
      <c r="E60" s="63"/>
      <c r="F60" s="64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2" t="s">
        <v>205</v>
      </c>
      <c r="C61" s="63"/>
      <c r="D61" s="63"/>
      <c r="E61" s="63"/>
      <c r="F61" s="64"/>
      <c r="G61" s="24">
        <f>(G59+G60)*'Fane 14. Nøgletal'!C29</f>
        <v>2276381.3086600876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J2OzgCmjOXmCUXwBzI7/6zza/PYz/a8mtsrHNf1ZoLktStHMIOQF39VvIzoDfocxN4wZo2+ZSuONlTNZxsr/6g==" saltValue="X4/WPZEtHKgSefrvA6JDIg==" spinCount="100000" sheet="1" objects="1" scenarios="1"/>
  <mergeCells count="37"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26:F26"/>
    <mergeCell ref="B27:F27"/>
    <mergeCell ref="B28:F28"/>
    <mergeCell ref="B38:F38"/>
    <mergeCell ref="B52:H52"/>
    <mergeCell ref="B15:F15"/>
    <mergeCell ref="B16:F16"/>
    <mergeCell ref="B20:F20"/>
    <mergeCell ref="B21:F21"/>
    <mergeCell ref="B22:F22"/>
    <mergeCell ref="B58:H58"/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25.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ht="15" customHeight="1" x14ac:dyDescent="0.35">
      <c r="A4" s="1"/>
      <c r="B4" s="49"/>
      <c r="C4" s="49"/>
      <c r="D4" s="49"/>
      <c r="E4" s="49"/>
      <c r="F4" s="49"/>
      <c r="G4" s="49"/>
      <c r="H4" s="49"/>
      <c r="I4" s="1"/>
    </row>
    <row r="5" spans="1:9" x14ac:dyDescent="0.25">
      <c r="A5" s="1"/>
      <c r="B5" s="95" t="s">
        <v>60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65</v>
      </c>
      <c r="C6" s="105"/>
      <c r="D6" s="105"/>
      <c r="E6" s="105"/>
      <c r="F6" s="106"/>
      <c r="G6" s="24">
        <v>249427719.55880713</v>
      </c>
      <c r="H6" s="14" t="s">
        <v>3</v>
      </c>
      <c r="I6" s="1"/>
    </row>
    <row r="7" spans="1:9" x14ac:dyDescent="0.25">
      <c r="A7" s="1"/>
      <c r="B7" s="104" t="s">
        <v>61</v>
      </c>
      <c r="C7" s="105"/>
      <c r="D7" s="105"/>
      <c r="E7" s="105"/>
      <c r="F7" s="106"/>
      <c r="G7" s="24">
        <f>G6*'Fane 14. Nøgletal'!C19</f>
        <v>2269792.2479851451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66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104" t="s">
        <v>67</v>
      </c>
      <c r="C11" s="105"/>
      <c r="D11" s="105"/>
      <c r="E11" s="105"/>
      <c r="F11" s="106"/>
      <c r="G11" s="24">
        <f>(G6-G7)*(1+'Fane 14. Nøgletal'!C10)</f>
        <v>251483191.03876138</v>
      </c>
      <c r="H11" s="14" t="s">
        <v>3</v>
      </c>
      <c r="I11" s="1"/>
    </row>
    <row r="12" spans="1:9" x14ac:dyDescent="0.25">
      <c r="A12" s="1"/>
      <c r="B12" s="104" t="s">
        <v>147</v>
      </c>
      <c r="C12" s="105"/>
      <c r="D12" s="105"/>
      <c r="E12" s="105"/>
      <c r="F12" s="106"/>
      <c r="G12" s="24">
        <v>1183526.1356193961</v>
      </c>
      <c r="H12" s="14" t="s">
        <v>3</v>
      </c>
      <c r="I12" s="1"/>
    </row>
    <row r="13" spans="1:9" x14ac:dyDescent="0.25">
      <c r="A13" s="1"/>
      <c r="B13" s="107" t="s">
        <v>68</v>
      </c>
      <c r="C13" s="108"/>
      <c r="D13" s="108"/>
      <c r="E13" s="108"/>
      <c r="F13" s="109"/>
      <c r="G13" s="9">
        <v>0</v>
      </c>
      <c r="H13" s="14" t="s">
        <v>3</v>
      </c>
      <c r="I13" s="1"/>
    </row>
    <row r="14" spans="1:9" x14ac:dyDescent="0.25">
      <c r="A14" s="1"/>
      <c r="B14" s="104" t="s">
        <v>69</v>
      </c>
      <c r="C14" s="105"/>
      <c r="D14" s="105"/>
      <c r="E14" s="105"/>
      <c r="F14" s="106"/>
      <c r="G14" s="24">
        <f>SUM(G11:G13)*'Fane 14. Nøgletal'!C20</f>
        <v>4472200.8939865399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5" t="s">
        <v>70</v>
      </c>
      <c r="C17" s="96"/>
      <c r="D17" s="96"/>
      <c r="E17" s="96"/>
      <c r="F17" s="96"/>
      <c r="G17" s="96"/>
      <c r="H17" s="97"/>
      <c r="I17" s="1"/>
    </row>
    <row r="18" spans="1:9" x14ac:dyDescent="0.25">
      <c r="A18" s="1"/>
      <c r="B18" s="104" t="s">
        <v>71</v>
      </c>
      <c r="C18" s="105"/>
      <c r="D18" s="105"/>
      <c r="E18" s="105"/>
      <c r="F18" s="106"/>
      <c r="G18" s="24">
        <f>(SUM(G11:G13)-G14)*(1+'Fane 14. Nøgletal'!C10)</f>
        <v>252537920.31530115</v>
      </c>
      <c r="H18" s="14" t="s">
        <v>3</v>
      </c>
      <c r="I18" s="1"/>
    </row>
    <row r="19" spans="1:9" x14ac:dyDescent="0.25">
      <c r="A19" s="1"/>
      <c r="B19" s="107" t="s">
        <v>72</v>
      </c>
      <c r="C19" s="108"/>
      <c r="D19" s="108"/>
      <c r="E19" s="108"/>
      <c r="F19" s="109"/>
      <c r="G19" s="24">
        <v>3032907.9467365695</v>
      </c>
      <c r="H19" s="14" t="s">
        <v>3</v>
      </c>
      <c r="I19" s="1"/>
    </row>
    <row r="20" spans="1:9" x14ac:dyDescent="0.25">
      <c r="A20" s="1"/>
      <c r="B20" s="104" t="s">
        <v>73</v>
      </c>
      <c r="C20" s="105"/>
      <c r="D20" s="105"/>
      <c r="E20" s="105"/>
      <c r="F20" s="106"/>
      <c r="G20" s="24">
        <f>G18*'Fane 14. Nøgletal'!C20+G19*'Fane 14. Nøgletal'!C21</f>
        <v>4496307.4887174387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74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104" t="s">
        <v>75</v>
      </c>
      <c r="C24" s="105"/>
      <c r="D24" s="105"/>
      <c r="E24" s="105"/>
      <c r="F24" s="106"/>
      <c r="G24" s="24">
        <f>(G18+G19-G20)*(1+'Fane 14. Nøgletal'!C12)</f>
        <v>256020688.8325547</v>
      </c>
      <c r="H24" s="14" t="s">
        <v>3</v>
      </c>
      <c r="I24" s="1"/>
    </row>
    <row r="25" spans="1:9" x14ac:dyDescent="0.25">
      <c r="A25" s="1"/>
      <c r="B25" s="107" t="s">
        <v>76</v>
      </c>
      <c r="C25" s="108"/>
      <c r="D25" s="108"/>
      <c r="E25" s="108"/>
      <c r="F25" s="109"/>
      <c r="G25" s="24">
        <v>1153276.8008711401</v>
      </c>
      <c r="H25" s="14" t="s">
        <v>3</v>
      </c>
      <c r="I25" s="1"/>
    </row>
    <row r="26" spans="1:9" x14ac:dyDescent="0.25">
      <c r="A26" s="1"/>
      <c r="B26" s="104" t="s">
        <v>77</v>
      </c>
      <c r="C26" s="105"/>
      <c r="D26" s="105"/>
      <c r="E26" s="105"/>
      <c r="F26" s="106"/>
      <c r="G26" s="24">
        <f>(G24+G25)*'Fane 14. Nøgletal'!C22</f>
        <v>7303740.6239892943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78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104" t="s">
        <v>79</v>
      </c>
      <c r="C30" s="105"/>
      <c r="D30" s="105"/>
      <c r="E30" s="105"/>
      <c r="F30" s="106"/>
      <c r="G30" s="24">
        <f>(G24+G25-G26)*(1+'Fane 14. Nøgletal'!C12)</f>
        <v>254792668.44212246</v>
      </c>
      <c r="H30" s="14" t="s">
        <v>3</v>
      </c>
      <c r="I30" s="1"/>
    </row>
    <row r="31" spans="1:9" x14ac:dyDescent="0.25">
      <c r="A31" s="1"/>
      <c r="B31" s="104" t="s">
        <v>177</v>
      </c>
      <c r="C31" s="105"/>
      <c r="D31" s="105"/>
      <c r="E31" s="105"/>
      <c r="F31" s="106"/>
      <c r="G31" s="24">
        <v>2097358.0285593597</v>
      </c>
      <c r="H31" s="14" t="s">
        <v>3</v>
      </c>
      <c r="I31" s="1"/>
    </row>
    <row r="32" spans="1:9" x14ac:dyDescent="0.25">
      <c r="A32" s="1"/>
      <c r="B32" s="104" t="s">
        <v>80</v>
      </c>
      <c r="C32" s="105"/>
      <c r="D32" s="105"/>
      <c r="E32" s="105"/>
      <c r="F32" s="106"/>
      <c r="G32" s="24">
        <f>G30*'Fane 14. Nøgletal'!C22+G31*'Fane 14. Nøgletal'!C23</f>
        <v>7293789.1295416607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239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104" t="s">
        <v>82</v>
      </c>
      <c r="C36" s="105"/>
      <c r="D36" s="105"/>
      <c r="E36" s="105"/>
      <c r="F36" s="106"/>
      <c r="G36" s="24">
        <f>(G30+G31-G32)*(1+'Fane 14. Nøgletal'!C14)</f>
        <v>250419904.92436594</v>
      </c>
      <c r="H36" s="14" t="s">
        <v>3</v>
      </c>
      <c r="I36" s="1"/>
    </row>
    <row r="37" spans="1:9" x14ac:dyDescent="0.25">
      <c r="A37" s="1"/>
      <c r="B37" s="104" t="s">
        <v>241</v>
      </c>
      <c r="C37" s="105"/>
      <c r="D37" s="105"/>
      <c r="E37" s="105"/>
      <c r="F37" s="106"/>
      <c r="G37" s="24">
        <f>SUM('Fane 2.1. Økonomisk ramme 2022'!C11,'Fane 2.1. Økonomisk ramme 2022'!C13,'Fane 2.1. Økonomisk ramme 2022'!C15)*(1+'Fane 14. Nøgletal'!C14)</f>
        <v>6697419.1202962613</v>
      </c>
      <c r="H37" s="14" t="s">
        <v>3</v>
      </c>
      <c r="I37" s="1"/>
    </row>
    <row r="38" spans="1:9" x14ac:dyDescent="0.25">
      <c r="A38" s="1"/>
      <c r="B38" s="104" t="s">
        <v>240</v>
      </c>
      <c r="C38" s="105"/>
      <c r="D38" s="105"/>
      <c r="E38" s="105"/>
      <c r="F38" s="106"/>
      <c r="G38" s="24">
        <f>(G36+G37)*'Fane 14. Nøgletal'!C24</f>
        <v>3805336.3958610008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85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104" t="s">
        <v>81</v>
      </c>
      <c r="C42" s="105"/>
      <c r="D42" s="105"/>
      <c r="E42" s="105"/>
      <c r="F42" s="106"/>
      <c r="G42" s="24">
        <f>(G36+G37-G38)*(1+'Fane 14. Nøgletal'!C14)</f>
        <v>254147917.20804226</v>
      </c>
      <c r="H42" s="14" t="s">
        <v>3</v>
      </c>
      <c r="I42" s="1"/>
    </row>
    <row r="43" spans="1:9" x14ac:dyDescent="0.25">
      <c r="A43" s="1"/>
      <c r="B43" s="47" t="s">
        <v>243</v>
      </c>
      <c r="C43" s="63"/>
      <c r="D43" s="63"/>
      <c r="E43" s="63"/>
      <c r="F43" s="64"/>
      <c r="G43" s="24">
        <f>G37*(1+'Fane 14. Nøgletal'!C14)</f>
        <v>6719520.6033932399</v>
      </c>
      <c r="H43" s="14" t="s">
        <v>3</v>
      </c>
      <c r="I43" s="1"/>
    </row>
    <row r="44" spans="1:9" x14ac:dyDescent="0.25">
      <c r="A44" s="1"/>
      <c r="B44" s="104" t="s">
        <v>101</v>
      </c>
      <c r="C44" s="105"/>
      <c r="D44" s="105"/>
      <c r="E44" s="105"/>
      <c r="F44" s="106"/>
      <c r="G44" s="9">
        <f>-'Fane 13. Bortfald'!E18*(1+'Fane 14. Nøgletal'!C14)</f>
        <v>0</v>
      </c>
      <c r="H44" s="14" t="s">
        <v>3</v>
      </c>
      <c r="I44" s="1"/>
    </row>
    <row r="45" spans="1:9" x14ac:dyDescent="0.25">
      <c r="A45" s="1"/>
      <c r="B45" s="104" t="s">
        <v>242</v>
      </c>
      <c r="C45" s="105"/>
      <c r="D45" s="105"/>
      <c r="E45" s="105"/>
      <c r="F45" s="106"/>
      <c r="G45" s="24">
        <f>(G42+G44)*'Fane 14. Nøgletal'!C24</f>
        <v>3761389.1746790255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95" t="s">
        <v>182</v>
      </c>
      <c r="C53" s="96"/>
      <c r="D53" s="96"/>
      <c r="E53" s="96"/>
      <c r="F53" s="96"/>
      <c r="G53" s="96"/>
      <c r="H53" s="97"/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24">
        <f>(G42+G44-G45)*(1+'Fane 14. Nøgletal'!C14)</f>
        <v>251212803.57587337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9">
        <f>-'Fane 13. Bortfald'!E24*(1+'Fane 14. Nøgletal'!C13)</f>
        <v>0</v>
      </c>
      <c r="H55" s="14" t="s">
        <v>3</v>
      </c>
      <c r="I55" s="1"/>
    </row>
    <row r="56" spans="1:9" x14ac:dyDescent="0.25">
      <c r="A56" s="1"/>
      <c r="B56" s="104" t="s">
        <v>185</v>
      </c>
      <c r="C56" s="105"/>
      <c r="D56" s="105"/>
      <c r="E56" s="105"/>
      <c r="F56" s="106"/>
      <c r="G56" s="24">
        <f>(G54+G55)*'Fane 14. Nøgletal'!C24</f>
        <v>3717949.4929229263</v>
      </c>
      <c r="H56" s="14" t="s">
        <v>3</v>
      </c>
      <c r="I56" s="1"/>
    </row>
    <row r="57" spans="1:9" x14ac:dyDescent="0.25">
      <c r="A57" s="1"/>
      <c r="B57" s="38"/>
      <c r="C57" s="32"/>
      <c r="D57" s="32"/>
      <c r="E57" s="32"/>
      <c r="F57" s="32"/>
      <c r="G57" s="32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95" t="s">
        <v>206</v>
      </c>
      <c r="C59" s="96"/>
      <c r="D59" s="96"/>
      <c r="E59" s="96"/>
      <c r="F59" s="96"/>
      <c r="G59" s="96"/>
      <c r="H59" s="97"/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24">
        <f>(G54+G55-G56)*(1+'Fane 14. Nøgletal'!C14)</f>
        <v>248311587.10142419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9">
        <f>-'Fane 13. Bortfald'!E30*(1+'Fane 14. Nøgletal'!C14)</f>
        <v>0</v>
      </c>
      <c r="H61" s="14" t="s">
        <v>3</v>
      </c>
      <c r="I61" s="1"/>
    </row>
    <row r="62" spans="1:9" x14ac:dyDescent="0.25">
      <c r="A62" s="1"/>
      <c r="B62" s="104" t="s">
        <v>258</v>
      </c>
      <c r="C62" s="105"/>
      <c r="D62" s="105"/>
      <c r="E62" s="105"/>
      <c r="F62" s="106"/>
      <c r="G62" s="24">
        <f>(G60+G61)*'Fane 14. Nøgletal'!C24</f>
        <v>3675011.4891010784</v>
      </c>
      <c r="H62" s="14" t="s">
        <v>3</v>
      </c>
      <c r="I62" s="1"/>
    </row>
    <row r="63" spans="1:9" x14ac:dyDescent="0.25">
      <c r="A63" s="1"/>
      <c r="B63" s="38"/>
      <c r="C63" s="32"/>
      <c r="D63" s="32"/>
      <c r="E63" s="32"/>
      <c r="F63" s="32"/>
      <c r="G63" s="32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KezFWTqPp8nR+oaP3CPVGXvf5Ajj0nURCFxw1/XqZpGb+sEaUUcwFT0GSIqViCn9MjIshcNMnADZW/rXKIZs9Q==" saltValue="OaC6vhSxAUCMNqdTvEJSsQ==" spinCount="100000" sheet="1" objects="1" scenarios="1"/>
  <mergeCells count="37">
    <mergeCell ref="B59:H59"/>
    <mergeCell ref="B60:F60"/>
    <mergeCell ref="B61:F61"/>
    <mergeCell ref="B62:F62"/>
    <mergeCell ref="B44:F44"/>
    <mergeCell ref="B42:F42"/>
    <mergeCell ref="B29:H29"/>
    <mergeCell ref="B30:F30"/>
    <mergeCell ref="B32:F32"/>
    <mergeCell ref="B35:H35"/>
    <mergeCell ref="B37:F37"/>
    <mergeCell ref="B38:F38"/>
    <mergeCell ref="B41:H41"/>
    <mergeCell ref="B18:F18"/>
    <mergeCell ref="B19:F19"/>
    <mergeCell ref="B31:F31"/>
    <mergeCell ref="B23:H23"/>
    <mergeCell ref="B12:F12"/>
    <mergeCell ref="B24:F24"/>
    <mergeCell ref="B25:F25"/>
    <mergeCell ref="B26:F26"/>
    <mergeCell ref="B1:H3"/>
    <mergeCell ref="B53:H53"/>
    <mergeCell ref="B54:F54"/>
    <mergeCell ref="B55:F55"/>
    <mergeCell ref="B56:F56"/>
    <mergeCell ref="B36:F36"/>
    <mergeCell ref="B45:F45"/>
    <mergeCell ref="B20:F20"/>
    <mergeCell ref="B5:H5"/>
    <mergeCell ref="B6:F6"/>
    <mergeCell ref="B7:F7"/>
    <mergeCell ref="B10:H10"/>
    <mergeCell ref="B11:F11"/>
    <mergeCell ref="B13:F13"/>
    <mergeCell ref="B14:F14"/>
    <mergeCell ref="B17:H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244</v>
      </c>
      <c r="C9" s="105"/>
      <c r="D9" s="105"/>
      <c r="E9" s="105"/>
      <c r="F9" s="106"/>
      <c r="G9" s="23">
        <v>6.1595630431554521E-3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6.7129302772034258E-3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0.02</v>
      </c>
      <c r="H11" s="14"/>
      <c r="I11" s="1"/>
    </row>
    <row r="12" spans="1:9" x14ac:dyDescent="0.25">
      <c r="A12" s="1"/>
      <c r="B12" s="104" t="s">
        <v>207</v>
      </c>
      <c r="C12" s="105"/>
      <c r="D12" s="105"/>
      <c r="E12" s="105"/>
      <c r="F12" s="106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208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xUm6lvONJveWRQrKNnaPW6HeFtnsiRa/OL+OQwbp8cPRxJ5a7Ro9HJwk+KWT3rfuxsdkkKi/HiBqbqvi5mSrw==" saltValue="iE0PLcIjXPO1JDIVtSjqs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2021-10-14T14:25:32Z</dcterms:modified>
</cp:coreProperties>
</file>