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Langeland Spildevand ApS (S060)\ØR2023\"/>
    </mc:Choice>
  </mc:AlternateContent>
  <bookViews>
    <workbookView xWindow="3105" yWindow="990" windowWidth="12735"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Korrektion af ØR2021" sheetId="9" r:id="rId9"/>
    <sheet name="Fane 7. Skattesagen" sheetId="17" r:id="rId10"/>
    <sheet name="Fane 8. Anlægsprojekter (§ 19)" sheetId="10" r:id="rId11"/>
    <sheet name="Fane 9.1. Varige tillæg" sheetId="11" r:id="rId12"/>
    <sheet name="Fane 9.2. Engangstillæg" sheetId="12" r:id="rId13"/>
    <sheet name="Fane 10. Periodevise driftsomk." sheetId="13" r:id="rId14"/>
    <sheet name="Fane 11. Tilknyttet virksomhed" sheetId="14" r:id="rId15"/>
    <sheet name="Fane 12. Bortfald" sheetId="15" r:id="rId16"/>
    <sheet name="Fane 13. Nøgletal" sheetId="16" r:id="rId17"/>
  </sheets>
  <definedNames>
    <definedName name="Z_8BCA264E_FE70_4497_B667_7DCB6C5E8A89_.wvu.Cols" localSheetId="1" hidden="1">'Fane 2.1. Økonomisk ramme 2023'!$C:$D</definedName>
    <definedName name="Z_8BCA264E_FE70_4497_B667_7DCB6C5E8A89_.wvu.Cols" localSheetId="2" hidden="1">'Fane 2.2. Økonomisk ramme 2024'!$C:$D</definedName>
    <definedName name="Z_8BCA264E_FE70_4497_B667_7DCB6C5E8A89_.wvu.Cols" localSheetId="3" hidden="1">'Fane 2.3. Økonomisk ramme 2025'!$C:$D</definedName>
    <definedName name="Z_8BCA264E_FE70_4497_B667_7DCB6C5E8A89_.wvu.Cols" localSheetId="4" hidden="1">'Fane 2.4. Økonomisk ramme 2026'!$C:$D</definedName>
  </definedNames>
  <calcPr calcId="162913"/>
  <customWorkbookViews>
    <customWorkbookView name="Benedikte Lykke Østergaard Nielsen - Privat visning" guid="{8BCA264E-FE70-4497-B667-7DCB6C5E8A89}" mergeInterval="0" personalView="1" xWindow="-1920" yWindow="18" windowWidth="1920" windowHeight="2320" tabRatio="872" activeSheetId="6"/>
  </customWorkbookViews>
</workbook>
</file>

<file path=xl/calcChain.xml><?xml version="1.0" encoding="utf-8"?>
<calcChain xmlns="http://schemas.openxmlformats.org/spreadsheetml/2006/main">
  <c r="C13" i="7" l="1"/>
  <c r="E31" i="6" l="1"/>
  <c r="E19" i="5"/>
  <c r="E19" i="4"/>
  <c r="E20" i="3"/>
  <c r="E33" i="2"/>
  <c r="G18" i="17" l="1"/>
  <c r="C17" i="5" l="1"/>
  <c r="C17" i="4"/>
  <c r="C18" i="3"/>
  <c r="E26" i="8" l="1"/>
  <c r="E30" i="8" s="1"/>
  <c r="E32" i="8" l="1"/>
  <c r="E17" i="5" l="1"/>
  <c r="E17" i="4"/>
  <c r="E18" i="3"/>
  <c r="E28" i="2"/>
  <c r="J11" i="10" l="1"/>
  <c r="H11" i="10"/>
  <c r="E16" i="13" l="1"/>
  <c r="E17" i="13" s="1"/>
  <c r="E10" i="2" l="1"/>
  <c r="C12" i="12" l="1"/>
  <c r="C13" i="12" s="1"/>
  <c r="E23" i="2" s="1"/>
  <c r="E12" i="12"/>
  <c r="E13" i="12" s="1"/>
  <c r="E24" i="2" s="1"/>
  <c r="E25" i="2" l="1"/>
  <c r="E26" i="2" s="1"/>
  <c r="E14" i="6"/>
  <c r="E15" i="6" s="1"/>
  <c r="E11" i="2"/>
  <c r="E16" i="6" l="1"/>
  <c r="E24" i="6" l="1"/>
  <c r="E32" i="6" s="1"/>
  <c r="E21" i="13" l="1"/>
  <c r="E26" i="13"/>
  <c r="E27" i="13" l="1"/>
  <c r="E15" i="5" s="1"/>
  <c r="E22" i="13"/>
  <c r="E15" i="4" s="1"/>
  <c r="F10" i="10"/>
  <c r="F11" i="10" s="1"/>
  <c r="E12" i="9"/>
  <c r="E16" i="9" l="1"/>
  <c r="E17" i="9" s="1"/>
  <c r="E31" i="2" s="1"/>
  <c r="E11" i="13" l="1"/>
  <c r="E12" i="13" s="1"/>
  <c r="E21" i="2" s="1"/>
  <c r="E9" i="2" l="1"/>
  <c r="E16" i="3" l="1"/>
  <c r="E12" i="15"/>
  <c r="E13" i="15" s="1"/>
  <c r="C12" i="15"/>
  <c r="C13" i="15" s="1"/>
  <c r="E13" i="2" l="1"/>
  <c r="C10" i="11" l="1"/>
  <c r="E11" i="14"/>
  <c r="E12" i="14" s="1"/>
  <c r="C11" i="14"/>
  <c r="C12" i="14" s="1"/>
  <c r="C14" i="7"/>
  <c r="E13" i="5" s="1"/>
  <c r="E14" i="2" l="1"/>
  <c r="C12" i="11"/>
  <c r="C13" i="11" s="1"/>
  <c r="E19" i="2"/>
  <c r="E13" i="4"/>
  <c r="E14" i="3"/>
  <c r="E10" i="11" l="1"/>
  <c r="E12" i="11" s="1"/>
  <c r="E13" i="11" l="1"/>
  <c r="E12" i="2" s="1"/>
  <c r="E15" i="2" s="1"/>
  <c r="E16" i="2" s="1"/>
  <c r="E17" i="2" l="1"/>
  <c r="E34" i="2" s="1"/>
  <c r="E9" i="3" l="1"/>
  <c r="E10" i="3" l="1"/>
  <c r="E11" i="3" s="1"/>
  <c r="E12" i="3" s="1"/>
  <c r="E21" i="3" s="1"/>
  <c r="E8" i="4" l="1"/>
  <c r="E9" i="4" s="1"/>
  <c r="E10" i="4" s="1"/>
  <c r="E11" i="4" s="1"/>
  <c r="E20" i="4" s="1"/>
  <c r="E8" i="5" l="1"/>
  <c r="E9" i="5" l="1"/>
  <c r="E10" i="5" s="1"/>
  <c r="E11" i="5" s="1"/>
  <c r="E20" i="5" s="1"/>
</calcChain>
</file>

<file path=xl/sharedStrings.xml><?xml version="1.0" encoding="utf-8"?>
<sst xmlns="http://schemas.openxmlformats.org/spreadsheetml/2006/main" count="435" uniqueCount="190">
  <si>
    <t>Beskrivelse af investeringen</t>
  </si>
  <si>
    <t>Std. levetid (år)</t>
  </si>
  <si>
    <t>Afskrivning</t>
  </si>
  <si>
    <t>kr.</t>
  </si>
  <si>
    <t>Bilag A</t>
  </si>
  <si>
    <t>Indholdsfortegnelse</t>
  </si>
  <si>
    <t>Fane 2.1</t>
  </si>
  <si>
    <t>Fane 4</t>
  </si>
  <si>
    <t>Fane 5</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</si>
  <si>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</si>
  <si>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</si>
  <si>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</si>
  <si>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</si>
  <si>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</si>
  <si>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</si>
  <si>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</si>
  <si>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</si>
  <si>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</si>
  <si>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</si>
  <si>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</si>
  <si>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</si>
  <si>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</si>
  <si>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</si>
  <si>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Økonomisk ramme for 2022</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</si>
  <si>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</si>
  <si>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</si>
  <si>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</si>
  <si>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</si>
  <si>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</si>
  <si>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</si>
  <si>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</si>
  <si>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</si>
  <si>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</si>
  <si>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</si>
  <si>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</si>
  <si>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</si>
  <si>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Fane 7</t>
  </si>
  <si>
    <t>Varige tillæg</t>
  </si>
  <si>
    <t>Engangstillæg</t>
  </si>
  <si>
    <t>Periodevise driftsomkostninger</t>
  </si>
  <si>
    <t>Engangstillæg i alt</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</si>
  <si>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</si>
  <si>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</si>
  <si>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</si>
  <si>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</si>
  <si>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</si>
  <si>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Fane 10</t>
  </si>
  <si>
    <t>Korrektion af tidligere godkendte omkostninger til medfinansiering af klimatilpasningsprojekter</t>
  </si>
  <si>
    <t>Engangstillæg til de økonomiske rammer for 2023</t>
  </si>
  <si>
    <t>Tillæg til tilbagebetaling af vejbidrag</t>
  </si>
  <si>
    <t>Fane 4: Ikke-påvirkelige omkostninger</t>
  </si>
  <si>
    <t>Tillæg til den økonomiske ramme for 2023</t>
  </si>
  <si>
    <t>Samlede tillæg til periodevise driftsomkostninger jf. indmeldte oprensningsplan</t>
  </si>
  <si>
    <t>Difference (Korrektion)</t>
  </si>
  <si>
    <t>Effektiviseringskrav</t>
  </si>
  <si>
    <t>Antal år i næste reguleringsperiode</t>
  </si>
  <si>
    <t>Fane 6</t>
  </si>
  <si>
    <t>Fane 11</t>
  </si>
  <si>
    <t>Nøgletal</t>
  </si>
  <si>
    <t>Tillæg til medfinansieringsprojekter godkendt under prisloftsbekendtgørelsen</t>
  </si>
  <si>
    <t xml:space="preserve">Effektiviseringskrav </t>
  </si>
  <si>
    <t>Nye tillæg</t>
  </si>
  <si>
    <t>Bortfald eller nedsættelse af omkostninger</t>
  </si>
  <si>
    <t>Tilknyttet virksomhed</t>
  </si>
  <si>
    <t>Tidligere tilknyttet virksomhed</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</si>
  <si>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</si>
  <si>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</si>
  <si>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</si>
  <si>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</si>
  <si>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</si>
  <si>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</si>
  <si>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</si>
  <si>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Kontrol med overholdelse af den økonomiske ramme</t>
  </si>
  <si>
    <t>Kontrol med overholdelse af økonomiske rammer</t>
  </si>
  <si>
    <t>Samlet økonomisk ramme for 2023</t>
  </si>
  <si>
    <t>Fane 3</t>
  </si>
  <si>
    <t>Vejledende økonomisk ramme for 2025</t>
  </si>
  <si>
    <t>Korrektion af den økonomiske ramme for 2020</t>
  </si>
  <si>
    <t>Øvrig korrektion af den økonomiske ramme</t>
  </si>
  <si>
    <t>Videreførte omkostninger fra den økonomiske ramme for 2022</t>
  </si>
  <si>
    <t>Videreførte omkostninger fra den økonomiske ramme for 2024</t>
  </si>
  <si>
    <t>Økonomisk ramme for 2025</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</si>
  <si>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</si>
  <si>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</si>
  <si>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</si>
  <si>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</si>
  <si>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</si>
  <si>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Prisudvikling til brug for ØR2018-2021</t>
  </si>
  <si>
    <t>Prisudvikling til brug for nye omkostninger i ØR2022</t>
  </si>
  <si>
    <t>- Heraf nye omkostninger i ØR22</t>
  </si>
  <si>
    <t>Prisudvikling til brug for ØR2017-2020</t>
  </si>
  <si>
    <t xml:space="preserve">Vejledende </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</si>
  <si>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</si>
  <si>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</si>
  <si>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</si>
  <si>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</si>
  <si>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</si>
  <si>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</si>
  <si>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de økonomiske rammer til indregning</t>
  </si>
  <si>
    <t xml:space="preserve"> </t>
  </si>
  <si>
    <t>Vejledende økonomisk ramme for 2026</t>
  </si>
  <si>
    <t>Omkostninger i ØR2022</t>
  </si>
  <si>
    <t>Kontrol af den økonomiske ramme for 2021</t>
  </si>
  <si>
    <t>Korrektion af den økonomiske ramme for 2021</t>
  </si>
  <si>
    <t>Fane 2.1: Samlet økonomisk ramme for 2023</t>
  </si>
  <si>
    <t>Fane 2.2: Samlet økonomisk ramme for 2024</t>
  </si>
  <si>
    <t>Videreførte omkostninger fra den økonomiske ramme for 2023</t>
  </si>
  <si>
    <t>Fane 2.3: Samlet økonomisk ramme for 2025</t>
  </si>
  <si>
    <t>Videreførte omkostninger fra den økonomiske ramme for 2025</t>
  </si>
  <si>
    <t>Fane 2.4: Samlet økonomisk ramme for 2026</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</si>
  <si>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</si>
  <si>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</si>
  <si>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</si>
  <si>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</si>
  <si>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</si>
  <si>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</si>
  <si>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</si>
  <si>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Tillæg til den økonomiske ramme for 2026</t>
  </si>
  <si>
    <t>Over/underdækning i 2020</t>
  </si>
  <si>
    <t>Kontrol med overholdelse af den økonomiske ramme for 2021</t>
  </si>
  <si>
    <t>Indtægtsramme i den økonomiske ramme for 2021</t>
  </si>
  <si>
    <t>Faktiske indtægter i 2021</t>
  </si>
  <si>
    <t>Fane 6: Korrektioner af den økonomiske ramme for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</si>
  <si>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</si>
  <si>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</si>
  <si>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</si>
  <si>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</si>
  <si>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</si>
  <si>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</si>
  <si>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</si>
  <si>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</si>
  <si>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</si>
  <si>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nye omkostninger i ØR2023</t>
  </si>
  <si>
    <t>Anlægsprojekter igangsat senest den 1. marts 2016</t>
  </si>
  <si>
    <t>Anlægsprojekter igangsat senest den 1. marts 2016 i alt</t>
  </si>
  <si>
    <t>Indtægter fra tilbagebetalt skat eller sambeskatningsbidrag som følge af skattesagen</t>
  </si>
  <si>
    <t>Nedsættelse af den økonomiske ramme som følge af skattesagen</t>
  </si>
  <si>
    <t>- Heraf nye omkostninger i ØR21</t>
  </si>
  <si>
    <t>Bortfald eller nedsættelse i alt i 2021-prisniveau</t>
  </si>
  <si>
    <t>Periodevise driftsomkostninger i alt i 2021-prisniveau</t>
  </si>
  <si>
    <t xml:space="preserve">Til statusmeddelelse for 2023 </t>
  </si>
  <si>
    <t>Effektiviseringskrav på engangstillæg</t>
  </si>
  <si>
    <t>Engangstillæg i alt i 2021-prisniveau</t>
  </si>
  <si>
    <t>Engangstillæg i alt i 2023-privniveau</t>
  </si>
  <si>
    <t>Vejledende økonomisk ramme for 2024</t>
  </si>
  <si>
    <t>Anlægsprojekter (§ 19)</t>
  </si>
  <si>
    <t>Omkostninger i 2021</t>
  </si>
  <si>
    <t>Anlægsprojekter igangsat senest 1. marts 2016</t>
  </si>
  <si>
    <t>Drifts-omkostninger</t>
  </si>
  <si>
    <t>Anskaffelses-pris</t>
  </si>
  <si>
    <t>Fane 8: Indtægter til tilbagebetaling som følge af skattesagen</t>
  </si>
  <si>
    <t>Tilbagebetaling af indtægter som følge af skattesagen (jf. § 18 stk. 6)</t>
  </si>
  <si>
    <t>Fradrag i de økonomiske ramme i årene</t>
  </si>
  <si>
    <t>Samlet tilbagebetaling</t>
  </si>
  <si>
    <t>Fane 8: Anlægsprojekter igangsat senest den 1. marts 2016</t>
  </si>
  <si>
    <t>Fane 9.1: Varige tillæg</t>
  </si>
  <si>
    <t>Fane 9.2: Engangstillæg</t>
  </si>
  <si>
    <t>Fane 10: Periodevise driftsomkostninger givet under prisloftsbekendtgørelsen</t>
  </si>
  <si>
    <t>Fane 11: Tilknyttet virksomhed under hovedvirksomheden</t>
  </si>
  <si>
    <t>Fane 12: Bortfald eller nedsættelse af omkostninger til mål, medfinansiering eller udvidelse</t>
  </si>
  <si>
    <t>Fane 13: Nøgletal</t>
  </si>
  <si>
    <t>Skattesagen</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</si>
  <si>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</si>
  <si>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</si>
  <si>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Til indregning i de økonomiske rammer for 2024-2027</t>
  </si>
  <si>
    <t>Ingen anlægsprojekter</t>
  </si>
  <si>
    <t>Spildevandsafgift</t>
  </si>
  <si>
    <t>Afgift til Forsyningssekretariatet</t>
  </si>
  <si>
    <t>Ejendomsskatter</t>
  </si>
  <si>
    <t>Separatkloakering af skovbakken mm.</t>
  </si>
  <si>
    <t>Ingen engangstillæg</t>
  </si>
  <si>
    <t>Resultat af kontrol med overholdelse af den økonomiske rammer for 2021</t>
  </si>
  <si>
    <t>Ingen tilknyttet virksomhed under hovedvirksomheden</t>
  </si>
  <si>
    <t>Indregnet fradrag i økonomisk ramme for 2026</t>
  </si>
  <si>
    <t>Indregnet fradrag i økonomisk ramme for 2027</t>
  </si>
  <si>
    <t>Indregnet fradrag i økonomisk ramme for 2024</t>
  </si>
  <si>
    <t>Indregnet fradrag i økonomisk ramme for 2025</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</si>
  <si>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</si>
  <si>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</si>
  <si>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</si>
  <si>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</si>
  <si>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</si>
  <si>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</si>
  <si>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</si>
  <si>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</si>
  <si>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Fane 8</t>
  </si>
  <si>
    <t>Fane 9.1</t>
  </si>
  <si>
    <t>Fane 9.2</t>
  </si>
  <si>
    <t>Fane 13</t>
  </si>
  <si>
    <t>Fane 5: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</si>
</sst>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8">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6" xfId="0" applyFont="1" applyFill="1" applyBorder="1" applyAlignment="1" applyProtection="1"/>
    <xf numFmtId="0" fontId="8" fillId="4" borderId="3" xfId="0" applyFont="1" applyFill="1" applyBorder="1" applyAlignment="1" applyProtection="1"/>
    <xf numFmtId="0" fontId="14" fillId="7" borderId="1" xfId="0" applyFont="1" applyFill="1" applyBorder="1" applyAlignment="1" applyProtection="1"/>
    <xf numFmtId="49" fontId="8" fillId="7" borderId="1" xfId="0" applyNumberFormat="1" applyFont="1" applyFill="1" applyBorder="1" applyAlignment="1" applyProtection="1">
      <alignment wrapText="1"/>
    </xf>
    <xf numFmtId="1" fontId="14" fillId="7" borderId="1" xfId="0" applyNumberFormat="1" applyFont="1" applyFill="1" applyBorder="1" applyAlignment="1" applyProtection="1"/>
    <xf numFmtId="1" fontId="8" fillId="0" borderId="1" xfId="0" applyNumberFormat="1" applyFont="1" applyFill="1" applyBorder="1" applyProtection="1"/>
    <xf numFmtId="0" fontId="8" fillId="7" borderId="3" xfId="0" applyFont="1" applyFill="1" applyBorder="1" applyProtection="1"/>
    <xf numFmtId="10" fontId="8" fillId="7" borderId="3" xfId="3" applyNumberFormat="1" applyFont="1" applyFill="1" applyBorder="1" applyAlignment="1" applyProtection="1"/>
    <xf numFmtId="0" fontId="8" fillId="4" borderId="1" xfId="0" applyFont="1" applyFill="1" applyBorder="1" applyAlignment="1" applyProtection="1"/>
    <xf numFmtId="0" fontId="8" fillId="9" borderId="1" xfId="0" applyFont="1" applyFill="1" applyBorder="1" applyAlignment="1" applyProtection="1"/>
    <xf numFmtId="0" fontId="8" fillId="9" borderId="1" xfId="0" applyFont="1" applyFill="1" applyBorder="1" applyAlignment="1" applyProtection="1">
      <alignment wrapText="1"/>
    </xf>
    <xf numFmtId="10" fontId="14" fillId="0" borderId="3" xfId="3" applyNumberFormat="1" applyFont="1" applyFill="1" applyBorder="1" applyAlignment="1" applyProtection="1"/>
    <xf numFmtId="3" fontId="15" fillId="4" borderId="1" xfId="0" applyNumberFormat="1" applyFont="1" applyFill="1" applyBorder="1" applyProtection="1"/>
    <xf numFmtId="0" fontId="15" fillId="4" borderId="1" xfId="0" applyFont="1" applyFill="1" applyBorder="1" applyAlignment="1" applyProtection="1">
      <alignment wrapText="1"/>
    </xf>
    <xf numFmtId="0" fontId="16" fillId="3" borderId="1" xfId="0" applyFont="1" applyFill="1" applyBorder="1" applyAlignment="1" applyProtection="1"/>
    <xf numFmtId="3" fontId="16" fillId="3" borderId="1" xfId="0" applyNumberFormat="1" applyFont="1" applyFill="1" applyBorder="1" applyProtection="1"/>
    <xf numFmtId="0" fontId="16" fillId="3" borderId="1" xfId="0" applyFont="1"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2" borderId="0" xfId="0" applyFill="1" applyBorder="1" applyProtection="1"/>
    <xf numFmtId="3" fontId="8" fillId="2" borderId="0" xfId="0" applyNumberFormat="1" applyFont="1" applyFill="1" applyBorder="1" applyProtection="1"/>
    <xf numFmtId="0" fontId="0" fillId="7" borderId="0" xfId="0" applyFill="1" applyProtection="1"/>
    <xf numFmtId="0" fontId="0" fillId="0" borderId="0" xfId="0" applyFill="1" applyProtection="1"/>
    <xf numFmtId="0" fontId="8" fillId="0" borderId="1" xfId="0" applyFont="1" applyFill="1" applyBorder="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0" fontId="2" fillId="2" borderId="0" xfId="0" applyFont="1" applyFill="1" applyAlignment="1" applyProtection="1">
      <alignment horizontal="center" vertical="center"/>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10" xfId="1" applyFont="1" applyFill="1" applyBorder="1" applyAlignment="1" applyProtection="1">
      <alignment horizontal="center"/>
    </xf>
    <xf numFmtId="0" fontId="1" fillId="3" borderId="11" xfId="1" applyFont="1" applyFill="1" applyBorder="1" applyAlignment="1" applyProtection="1">
      <alignment horizontal="center"/>
    </xf>
    <xf numFmtId="0" fontId="1" fillId="3" borderId="12" xfId="1" applyFont="1" applyFill="1" applyBorder="1" applyAlignment="1" applyProtection="1">
      <alignment horizontal="center"/>
    </xf>
    <xf numFmtId="0" fontId="1" fillId="8" borderId="7" xfId="1" applyFont="1" applyFill="1" applyBorder="1" applyAlignment="1" applyProtection="1">
      <alignment horizontal="center"/>
    </xf>
    <xf numFmtId="0" fontId="1" fillId="8" borderId="8" xfId="1" applyFont="1" applyFill="1" applyBorder="1" applyAlignment="1" applyProtection="1">
      <alignment horizontal="center"/>
    </xf>
    <xf numFmtId="0" fontId="1" fillId="8" borderId="9"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15" fillId="4" borderId="1" xfId="0" applyFont="1" applyFill="1" applyBorder="1" applyAlignment="1" applyProtection="1"/>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7" fillId="3" borderId="1" xfId="0" applyFont="1" applyFill="1" applyBorder="1" applyAlignment="1" applyProtection="1">
      <alignment horizontal="left"/>
    </xf>
    <xf numFmtId="0" fontId="8" fillId="7" borderId="1" xfId="0" applyFont="1" applyFill="1" applyBorder="1" applyAlignment="1" applyProtection="1">
      <alignment horizontal="left"/>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164" fontId="8" fillId="4" borderId="1" xfId="0" applyNumberFormat="1" applyFont="1" applyFill="1" applyBorder="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8"/>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7" width="9.140625" style="2"/>
    <col min="8" max="8" width="7.5703125" style="2" customWidth="1"/>
    <col min="9" max="9" width="12.140625" style="2" customWidth="1"/>
    <col min="10" max="16384" width="9.140625" style="2"/>
  </cols>
  <sheetData>
    <row r="1" spans="1:9" ht="15.75" customHeight="1" x14ac:dyDescent="0.25">
      <c r="A1" s="1" t="s">
        <v>99</v>
      </c>
      <c r="B1" s="1"/>
      <c r="C1" s="1"/>
      <c r="D1" s="1"/>
      <c r="E1" s="1"/>
      <c r="F1" s="1"/>
      <c r="G1" s="1"/>
      <c r="H1" s="1"/>
      <c r="I1" s="1"/>
    </row>
    <row r="2" spans="1:9" ht="15.75" customHeight="1" x14ac:dyDescent="0.25">
      <c r="A2" s="1"/>
      <c r="B2" s="1"/>
      <c r="C2" s="1"/>
      <c r="D2" s="1"/>
      <c r="E2" s="1"/>
      <c r="F2" s="1"/>
      <c r="G2" s="1"/>
      <c r="H2" s="1"/>
      <c r="I2" s="1"/>
    </row>
    <row r="3" spans="1:9" ht="15.75" customHeight="1" x14ac:dyDescent="0.25">
      <c r="A3" s="1"/>
      <c r="B3" s="1"/>
      <c r="C3" s="1"/>
      <c r="D3" s="1"/>
      <c r="E3" s="1"/>
      <c r="F3" s="1"/>
      <c r="G3" s="1"/>
      <c r="H3" s="1"/>
      <c r="I3" s="1"/>
    </row>
    <row r="4" spans="1:9" ht="15.75" customHeight="1" x14ac:dyDescent="0.25">
      <c r="A4" s="1"/>
      <c r="B4" s="1"/>
      <c r="C4" s="1"/>
      <c r="D4" s="1"/>
      <c r="E4" s="1"/>
      <c r="F4" s="1"/>
      <c r="G4" s="1"/>
      <c r="H4" s="1"/>
      <c r="I4" s="1"/>
    </row>
    <row r="5" spans="1:9" ht="15.75" customHeight="1" x14ac:dyDescent="0.25">
      <c r="A5" s="1"/>
      <c r="B5" s="1"/>
      <c r="C5" s="1"/>
      <c r="D5" s="1"/>
      <c r="E5" s="1"/>
      <c r="F5" s="1"/>
      <c r="G5" s="1"/>
      <c r="H5" s="1"/>
      <c r="I5" s="1"/>
    </row>
    <row r="6" spans="1:9" ht="15.75" customHeight="1" x14ac:dyDescent="0.25">
      <c r="A6" s="1"/>
      <c r="B6" s="1"/>
      <c r="C6" s="3"/>
      <c r="D6" s="85" t="s">
        <v>4</v>
      </c>
      <c r="E6" s="85"/>
      <c r="F6" s="85"/>
      <c r="G6" s="85"/>
      <c r="H6" s="3"/>
      <c r="I6" s="1"/>
    </row>
    <row r="7" spans="1:9" ht="15.75" customHeight="1" x14ac:dyDescent="0.25">
      <c r="A7" s="1"/>
      <c r="B7" s="1"/>
      <c r="C7" s="3"/>
      <c r="D7" s="85"/>
      <c r="E7" s="85"/>
      <c r="F7" s="85"/>
      <c r="G7" s="85"/>
      <c r="H7" s="3"/>
      <c r="I7" s="1"/>
    </row>
    <row r="8" spans="1:9" ht="15.75" customHeight="1" x14ac:dyDescent="0.25">
      <c r="A8" s="1"/>
      <c r="B8" s="1"/>
      <c r="C8" s="4"/>
      <c r="D8" s="90" t="s">
        <v>140</v>
      </c>
      <c r="E8" s="90"/>
      <c r="F8" s="90"/>
      <c r="G8" s="90"/>
      <c r="H8" s="3"/>
      <c r="I8" s="1"/>
    </row>
    <row r="9" spans="1:9" ht="15.75" customHeight="1" x14ac:dyDescent="0.25">
      <c r="A9" s="1"/>
      <c r="B9" s="5"/>
      <c r="C9" s="5"/>
      <c r="D9" s="5"/>
      <c r="E9" s="5"/>
      <c r="F9" s="5"/>
      <c r="G9" s="5"/>
      <c r="H9" s="3"/>
      <c r="I9" s="1"/>
    </row>
    <row r="10" spans="1:9" ht="15.75" customHeight="1" x14ac:dyDescent="0.25">
      <c r="A10" s="1"/>
      <c r="B10" s="5"/>
      <c r="C10" s="5"/>
      <c r="D10" s="89" t="s">
        <v>5</v>
      </c>
      <c r="E10" s="89"/>
      <c r="F10" s="89"/>
      <c r="G10" s="89"/>
      <c r="H10" s="3"/>
      <c r="I10" s="1"/>
    </row>
    <row r="11" spans="1:9" ht="15.75" customHeight="1" x14ac:dyDescent="0.25">
      <c r="A11" s="1"/>
      <c r="B11" s="1"/>
      <c r="C11" s="1"/>
      <c r="D11" s="1"/>
      <c r="E11" s="1"/>
      <c r="F11" s="1"/>
      <c r="G11" s="1"/>
      <c r="H11" s="3"/>
      <c r="I11" s="1"/>
    </row>
    <row r="12" spans="1:9" ht="15.75" customHeight="1" x14ac:dyDescent="0.25">
      <c r="A12" s="1"/>
      <c r="B12" s="1"/>
      <c r="C12" s="6" t="s">
        <v>6</v>
      </c>
      <c r="D12" s="91" t="s">
        <v>74</v>
      </c>
      <c r="E12" s="92"/>
      <c r="F12" s="92"/>
      <c r="G12" s="93"/>
      <c r="H12" s="3"/>
      <c r="I12" s="1"/>
    </row>
    <row r="13" spans="1:9" ht="15.75" customHeight="1" x14ac:dyDescent="0.25">
      <c r="A13" s="1"/>
      <c r="B13" s="1"/>
      <c r="C13" s="6" t="s">
        <v>14</v>
      </c>
      <c r="D13" s="82" t="s">
        <v>144</v>
      </c>
      <c r="E13" s="83"/>
      <c r="F13" s="83"/>
      <c r="G13" s="84"/>
      <c r="H13" s="3"/>
      <c r="I13" s="1"/>
    </row>
    <row r="14" spans="1:9" ht="15.75" customHeight="1" x14ac:dyDescent="0.25">
      <c r="A14" s="1"/>
      <c r="B14" s="1"/>
      <c r="C14" s="6" t="s">
        <v>29</v>
      </c>
      <c r="D14" s="82" t="s">
        <v>76</v>
      </c>
      <c r="E14" s="83"/>
      <c r="F14" s="83"/>
      <c r="G14" s="84"/>
      <c r="H14" s="3"/>
      <c r="I14" s="1"/>
    </row>
    <row r="15" spans="1:9" ht="15.75" customHeight="1" x14ac:dyDescent="0.25">
      <c r="A15" s="1"/>
      <c r="B15" s="1"/>
      <c r="C15" s="6" t="s">
        <v>30</v>
      </c>
      <c r="D15" s="82" t="s">
        <v>100</v>
      </c>
      <c r="E15" s="83"/>
      <c r="F15" s="83"/>
      <c r="G15" s="84"/>
      <c r="H15" s="3"/>
      <c r="I15" s="1"/>
    </row>
    <row r="16" spans="1:9" ht="15.75" customHeight="1" x14ac:dyDescent="0.25">
      <c r="A16" s="1"/>
      <c r="B16" s="1"/>
      <c r="C16" s="6" t="s">
        <v>75</v>
      </c>
      <c r="D16" s="82" t="s">
        <v>101</v>
      </c>
      <c r="E16" s="83"/>
      <c r="F16" s="83"/>
      <c r="G16" s="84"/>
      <c r="H16" s="3"/>
      <c r="I16" s="1"/>
    </row>
    <row r="17" spans="1:9" ht="15.75" customHeight="1" x14ac:dyDescent="0.25">
      <c r="A17" s="1"/>
      <c r="B17" s="1"/>
      <c r="C17" s="6" t="s">
        <v>7</v>
      </c>
      <c r="D17" s="97" t="s">
        <v>10</v>
      </c>
      <c r="E17" s="98"/>
      <c r="F17" s="98"/>
      <c r="G17" s="99"/>
      <c r="H17" s="3"/>
      <c r="I17" s="1"/>
    </row>
    <row r="18" spans="1:9" ht="15.75" customHeight="1" x14ac:dyDescent="0.25">
      <c r="A18" s="1"/>
      <c r="B18" s="1"/>
      <c r="C18" s="6" t="s">
        <v>8</v>
      </c>
      <c r="D18" s="86" t="s">
        <v>102</v>
      </c>
      <c r="E18" s="87"/>
      <c r="F18" s="87"/>
      <c r="G18" s="88"/>
      <c r="H18" s="3"/>
      <c r="I18" s="1"/>
    </row>
    <row r="19" spans="1:9" ht="15.75" customHeight="1" x14ac:dyDescent="0.25">
      <c r="A19" s="1"/>
      <c r="B19" s="1"/>
      <c r="C19" s="6" t="s">
        <v>56</v>
      </c>
      <c r="D19" s="86" t="s">
        <v>103</v>
      </c>
      <c r="E19" s="87"/>
      <c r="F19" s="87"/>
      <c r="G19" s="88"/>
      <c r="H19" s="3"/>
      <c r="I19" s="1"/>
    </row>
    <row r="20" spans="1:9" ht="15.75" customHeight="1" x14ac:dyDescent="0.25">
      <c r="A20" s="1"/>
      <c r="B20" s="1"/>
      <c r="C20" s="6" t="s">
        <v>36</v>
      </c>
      <c r="D20" s="86" t="s">
        <v>161</v>
      </c>
      <c r="E20" s="87"/>
      <c r="F20" s="87"/>
      <c r="G20" s="88"/>
      <c r="H20" s="3"/>
      <c r="I20" s="1"/>
    </row>
    <row r="21" spans="1:9" ht="15.75" customHeight="1" x14ac:dyDescent="0.25">
      <c r="A21" s="1"/>
      <c r="B21" s="1"/>
      <c r="C21" s="6" t="s">
        <v>185</v>
      </c>
      <c r="D21" s="86" t="s">
        <v>145</v>
      </c>
      <c r="E21" s="87"/>
      <c r="F21" s="87"/>
      <c r="G21" s="88"/>
      <c r="H21" s="1"/>
      <c r="I21" s="1"/>
    </row>
    <row r="22" spans="1:9" ht="15.75" customHeight="1" x14ac:dyDescent="0.25">
      <c r="A22" s="1"/>
      <c r="B22" s="1"/>
      <c r="C22" s="6" t="s">
        <v>186</v>
      </c>
      <c r="D22" s="86" t="s">
        <v>37</v>
      </c>
      <c r="E22" s="87"/>
      <c r="F22" s="87"/>
      <c r="G22" s="88"/>
      <c r="H22" s="1"/>
      <c r="I22" s="1"/>
    </row>
    <row r="23" spans="1:9" ht="15.75" customHeight="1" x14ac:dyDescent="0.25">
      <c r="A23" s="1"/>
      <c r="B23" s="1"/>
      <c r="C23" s="6" t="s">
        <v>187</v>
      </c>
      <c r="D23" s="86" t="s">
        <v>38</v>
      </c>
      <c r="E23" s="87"/>
      <c r="F23" s="87"/>
      <c r="G23" s="88"/>
      <c r="H23" s="1"/>
      <c r="I23" s="1"/>
    </row>
    <row r="24" spans="1:9" ht="15.75" customHeight="1" x14ac:dyDescent="0.25">
      <c r="A24" s="1"/>
      <c r="B24" s="1"/>
      <c r="C24" s="6" t="s">
        <v>46</v>
      </c>
      <c r="D24" s="86" t="s">
        <v>39</v>
      </c>
      <c r="E24" s="87"/>
      <c r="F24" s="87"/>
      <c r="G24" s="88"/>
      <c r="H24" s="1"/>
      <c r="I24" s="1"/>
    </row>
    <row r="25" spans="1:9" ht="15.75" customHeight="1" x14ac:dyDescent="0.25">
      <c r="A25" s="1"/>
      <c r="B25" s="1"/>
      <c r="C25" s="6" t="s">
        <v>57</v>
      </c>
      <c r="D25" s="86" t="s">
        <v>63</v>
      </c>
      <c r="E25" s="87"/>
      <c r="F25" s="87"/>
      <c r="G25" s="88"/>
      <c r="H25" s="1"/>
      <c r="I25" s="1"/>
    </row>
    <row r="26" spans="1:9" ht="15.75" customHeight="1" x14ac:dyDescent="0.25">
      <c r="A26" s="1"/>
      <c r="B26" s="1"/>
      <c r="C26" s="6" t="s">
        <v>13</v>
      </c>
      <c r="D26" s="86" t="s">
        <v>31</v>
      </c>
      <c r="E26" s="87"/>
      <c r="F26" s="87"/>
      <c r="G26" s="88"/>
      <c r="H26" s="1"/>
      <c r="I26" s="1"/>
    </row>
    <row r="27" spans="1:9" ht="15.75" customHeight="1" x14ac:dyDescent="0.25">
      <c r="A27" s="1"/>
      <c r="B27" s="1"/>
      <c r="C27" s="6" t="s">
        <v>188</v>
      </c>
      <c r="D27" s="94" t="s">
        <v>58</v>
      </c>
      <c r="E27" s="95"/>
      <c r="F27" s="95"/>
      <c r="G27" s="96"/>
      <c r="H27" s="1"/>
      <c r="I27" s="1"/>
    </row>
    <row r="28" spans="1:9" ht="15.75" customHeight="1" x14ac:dyDescent="0.25">
      <c r="A28" s="1"/>
      <c r="B28" s="1"/>
      <c r="C28" s="1"/>
      <c r="D28" s="1"/>
      <c r="E28" s="1"/>
      <c r="F28" s="1"/>
      <c r="G28" s="1"/>
      <c r="H28" s="1"/>
      <c r="I28" s="1"/>
    </row>
    <row r="29" spans="1:9" ht="15.75" customHeight="1" x14ac:dyDescent="0.25">
      <c r="A29" s="1"/>
      <c r="B29" s="1"/>
      <c r="C29" s="1"/>
      <c r="D29" s="1"/>
      <c r="E29" s="1"/>
      <c r="F29" s="1"/>
      <c r="G29" s="1"/>
      <c r="H29" s="1"/>
      <c r="I29" s="1"/>
    </row>
    <row r="30" spans="1:9" ht="15.75" customHeight="1" x14ac:dyDescent="0.25">
      <c r="A30" s="1"/>
      <c r="B30" s="1"/>
      <c r="C30" s="1"/>
      <c r="D30" s="1"/>
      <c r="E30" s="1"/>
      <c r="F30" s="1"/>
      <c r="G30" s="1"/>
      <c r="H30" s="1"/>
      <c r="I30" s="1"/>
    </row>
    <row r="31" spans="1:9" ht="15.75" customHeight="1" x14ac:dyDescent="0.25">
      <c r="A31" s="1"/>
      <c r="B31" s="1"/>
      <c r="C31" s="1"/>
      <c r="D31" s="1"/>
      <c r="E31" s="1"/>
      <c r="F31" s="1"/>
      <c r="G31" s="1"/>
      <c r="H31" s="1"/>
      <c r="I31" s="1"/>
    </row>
    <row r="32" spans="1:9" ht="15.75" customHeight="1" x14ac:dyDescent="0.25">
      <c r="A32" s="1"/>
      <c r="B32" s="1"/>
      <c r="C32" s="1"/>
      <c r="D32" s="1"/>
      <c r="E32" s="1"/>
      <c r="F32" s="1"/>
      <c r="G32" s="1"/>
      <c r="H32" s="1"/>
      <c r="I32" s="1"/>
    </row>
    <row r="33" spans="1:9" ht="15.75" customHeight="1" x14ac:dyDescent="0.25">
      <c r="A33" s="1"/>
      <c r="B33" s="1"/>
      <c r="C33" s="1"/>
      <c r="D33" s="1"/>
      <c r="E33" s="1"/>
      <c r="F33" s="1"/>
      <c r="G33" s="1"/>
      <c r="H33" s="1"/>
      <c r="I33" s="1"/>
    </row>
    <row r="34" spans="1:9" ht="15.75" customHeight="1" x14ac:dyDescent="0.25">
      <c r="A34" s="1"/>
      <c r="B34" s="1"/>
      <c r="C34" s="1"/>
      <c r="D34" s="1"/>
      <c r="E34" s="1"/>
      <c r="F34" s="1"/>
      <c r="G34" s="1"/>
      <c r="H34" s="1"/>
      <c r="I34" s="1"/>
    </row>
    <row r="35" spans="1:9" ht="15.75" customHeight="1" x14ac:dyDescent="0.25">
      <c r="A35" s="1"/>
      <c r="B35" s="1"/>
      <c r="C35" s="1"/>
      <c r="D35" s="1"/>
      <c r="E35" s="1"/>
      <c r="F35" s="1"/>
      <c r="G35" s="1"/>
      <c r="H35" s="1"/>
      <c r="I35" s="1"/>
    </row>
    <row r="36" spans="1:9" ht="15.75" customHeight="1" x14ac:dyDescent="0.25">
      <c r="A36" s="1"/>
      <c r="B36" s="1"/>
      <c r="C36" s="1"/>
      <c r="D36" s="1"/>
      <c r="E36" s="1"/>
      <c r="F36" s="1"/>
      <c r="G36" s="1"/>
      <c r="H36" s="1"/>
      <c r="I36" s="1"/>
    </row>
    <row r="37" spans="1:9" ht="15.75" customHeight="1" x14ac:dyDescent="0.25">
      <c r="A37" s="1"/>
      <c r="B37" s="1"/>
      <c r="C37" s="1"/>
      <c r="D37" s="1"/>
      <c r="E37" s="1"/>
      <c r="F37" s="1"/>
      <c r="G37" s="1"/>
      <c r="H37" s="1"/>
      <c r="I37" s="1"/>
    </row>
    <row r="38" spans="1:9" ht="15.75" customHeight="1" x14ac:dyDescent="0.25">
      <c r="A38" s="1"/>
      <c r="B38" s="1"/>
      <c r="C38" s="1"/>
      <c r="D38" s="1"/>
      <c r="E38" s="1"/>
      <c r="F38" s="1"/>
      <c r="G38" s="1"/>
      <c r="H38" s="1"/>
      <c r="I38" s="1"/>
    </row>
    <row r="39" spans="1:9" ht="15.75" customHeight="1" x14ac:dyDescent="0.25">
      <c r="A39" s="1"/>
      <c r="B39" s="1"/>
      <c r="C39" s="1"/>
      <c r="D39" s="1"/>
      <c r="E39" s="1"/>
      <c r="F39" s="1"/>
      <c r="G39" s="1"/>
      <c r="H39" s="1"/>
      <c r="I39" s="1"/>
    </row>
    <row r="40" spans="1:9" ht="15.75" customHeight="1" x14ac:dyDescent="0.25">
      <c r="A40" s="1"/>
      <c r="B40" s="1"/>
      <c r="C40" s="1"/>
      <c r="D40" s="1"/>
      <c r="E40" s="1"/>
      <c r="F40" s="1"/>
      <c r="G40" s="1"/>
      <c r="H40" s="1"/>
      <c r="I40" s="1"/>
    </row>
    <row r="41" spans="1:9" ht="15.75" customHeight="1" x14ac:dyDescent="0.25">
      <c r="A41" s="1"/>
      <c r="B41" s="1"/>
      <c r="C41" s="1"/>
      <c r="D41" s="1"/>
      <c r="E41" s="1"/>
      <c r="F41" s="1"/>
      <c r="G41" s="1"/>
      <c r="H41" s="1"/>
      <c r="I41" s="1"/>
    </row>
    <row r="42" spans="1:9" ht="15.75" customHeight="1" x14ac:dyDescent="0.25">
      <c r="A42" s="1"/>
      <c r="B42" s="1"/>
      <c r="C42" s="1"/>
      <c r="D42" s="1"/>
      <c r="E42" s="1"/>
      <c r="F42" s="1"/>
      <c r="G42" s="1"/>
      <c r="H42" s="1"/>
      <c r="I42" s="1"/>
    </row>
    <row r="43" spans="1:9" ht="15.75" customHeight="1" x14ac:dyDescent="0.25">
      <c r="A43" s="1"/>
      <c r="B43" s="1"/>
      <c r="C43" s="1"/>
      <c r="D43" s="1"/>
      <c r="E43" s="1"/>
      <c r="F43" s="1"/>
      <c r="G43" s="1"/>
      <c r="H43" s="1"/>
      <c r="I43" s="1"/>
    </row>
    <row r="44" spans="1:9" ht="15.75" customHeight="1" x14ac:dyDescent="0.25">
      <c r="A44" s="1"/>
      <c r="B44" s="1"/>
      <c r="C44" s="1"/>
      <c r="D44" s="1"/>
      <c r="E44" s="1"/>
      <c r="F44" s="1"/>
      <c r="G44" s="1"/>
      <c r="H44" s="1"/>
      <c r="I44" s="1"/>
    </row>
    <row r="45" spans="1:9" ht="15.75" customHeight="1" x14ac:dyDescent="0.25">
      <c r="A45" s="1"/>
      <c r="B45" s="1"/>
      <c r="C45" s="1"/>
      <c r="D45" s="1"/>
      <c r="E45" s="1"/>
      <c r="F45" s="1"/>
      <c r="G45" s="1"/>
      <c r="H45" s="1"/>
      <c r="I45" s="1"/>
    </row>
    <row r="46" spans="1:9" ht="15.75" customHeight="1" x14ac:dyDescent="0.25">
      <c r="A46" s="1"/>
      <c r="B46" s="1"/>
      <c r="C46" s="1"/>
      <c r="D46" s="1"/>
      <c r="E46" s="1"/>
      <c r="F46" s="1"/>
      <c r="G46" s="1"/>
      <c r="H46" s="1"/>
      <c r="I46" s="1"/>
    </row>
    <row r="47" spans="1:9" ht="15.75" customHeight="1" x14ac:dyDescent="0.25">
      <c r="A47" s="1"/>
      <c r="B47" s="1"/>
      <c r="C47" s="1"/>
      <c r="D47" s="1"/>
      <c r="E47" s="1"/>
      <c r="F47" s="1"/>
      <c r="G47" s="1"/>
      <c r="H47" s="1"/>
      <c r="I47" s="1"/>
    </row>
    <row r="48" spans="1:9" ht="15.75" customHeight="1" x14ac:dyDescent="0.25">
      <c r="A48" s="1"/>
      <c r="B48" s="1"/>
      <c r="C48" s="1"/>
      <c r="D48" s="1"/>
      <c r="E48" s="1"/>
      <c r="F48" s="1"/>
      <c r="G48" s="1"/>
      <c r="H48" s="1"/>
      <c r="I48" s="1"/>
    </row>
  </sheetData>
  <sheetProtection algorithmName="SHA-512" hashValue="BncKRD/oKuh/FcY2PhXJVinOBzoeISJfGExl1Wthj+dH9wAeSkir+5uKJaeI54ZT1GXXSA0bD9TD3lEQB36OCg==" saltValue="DKgcfiXam7dblCtDQum2ww==" spinCount="100000" sheet="1" objects="1" scenarios="1"/>
  <customSheetViews>
    <customSheetView guid="{8BCA264E-FE70-4497-B667-7DCB6C5E8A89}" showPageBreaks="1" showGridLines="0" view="pageLayout" topLeftCell="A3">
      <selection activeCell="H11" sqref="H11"/>
      <pageMargins left="0.71875" right="0.7" top="0.75" bottom="0.75" header="0.3" footer="0.3"/>
      <pageSetup paperSize="9" orientation="portrait" r:id="rId1"/>
    </customSheetView>
  </customSheetViews>
  <mergeCells count="19">
    <mergeCell ref="D26:G26"/>
    <mergeCell ref="D27:G27"/>
    <mergeCell ref="D17:G17"/>
    <mergeCell ref="D21:G21"/>
    <mergeCell ref="D22:G22"/>
    <mergeCell ref="D25:G25"/>
    <mergeCell ref="D23:G23"/>
    <mergeCell ref="D24:G24"/>
    <mergeCell ref="D19:G19"/>
    <mergeCell ref="D20:G20"/>
    <mergeCell ref="D13:G13"/>
    <mergeCell ref="D6:G7"/>
    <mergeCell ref="D18:G18"/>
    <mergeCell ref="D10:G10"/>
    <mergeCell ref="D8:G8"/>
    <mergeCell ref="D14:G14"/>
    <mergeCell ref="D15:G15"/>
    <mergeCell ref="D12:G12"/>
    <mergeCell ref="D16:G16"/>
  </mergeCells>
  <hyperlinks>
    <hyperlink ref="D22:G22" location="'Fane 9.1. Varige tillæg'!A1" display="Varige tillæg"/>
    <hyperlink ref="D25:G25" location="'Fane 11. Tilknyttet virksomhed'!A1" display="Tilknyttet virksomhed"/>
    <hyperlink ref="D26:G26" location="'Fane 12. Bortfald'!A1" display="Bortfald"/>
    <hyperlink ref="D12:G12" location="'Fane 2.1. Økonomisk ramme 2023'!A1" display="Samlet økonomisk ramme for 2023"/>
    <hyperlink ref="D15:G15" location="'Fane 2.4. Økonomisk ramme 2026'!A1" display="Vejledende økonomisk ramme for 2026"/>
    <hyperlink ref="D14:G14" location="'Fane 2.3. Økonomisk ramme 2025'!A1" display="Vejledende økonomisk ramme for 2025"/>
    <hyperlink ref="D17:G17" location="'Fane 4. Ikke-påvirkelige omk.'!A1" display="Ikke-påvirkelige omkostninger"/>
    <hyperlink ref="D18:G18" location="'Fane 5. Kontrol af ØR2021'!A1" display="Kontrol af den økonomiske ramme for 2021"/>
    <hyperlink ref="D21:G21" location="'Fane 8. Anlægsprojekter (§ 19)'!A1" display="Anlægsprojekter (§ 19)"/>
    <hyperlink ref="D27:G27" location="'Fane 13. Nøgletal'!A1" display="Nøgletal"/>
    <hyperlink ref="D16:G16" location="'Fane 3. Omkostninger i ØR2022'!A1" display="Omkostninger i ØR2022"/>
    <hyperlink ref="D23:G23" location="'Fane 9.2. Engangstillæg'!A1" display="Engangstillæg"/>
    <hyperlink ref="D24:G24" location="'Fane 10. Periodevise driftsomk.'!A1" display="Periodevise driftsomkostninger"/>
    <hyperlink ref="D19:G19" location="'Fane 6. Korrektion af ØR2021'!A1" display="Korrektion af den økonomiske ramme for 2021"/>
    <hyperlink ref="D13:G13" location="'Fane 2.3. Økonomisk ramme 2025'!A1" display="Vejledende økonomisk ramme for 2025"/>
    <hyperlink ref="D20:G20" location="'Fane 7.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I44"/>
  <sheetViews>
    <sheetView view="pageLayout" zoomScaleNormal="100" workbookViewId="0"/>
  </sheetViews>
  <sheetFormatPr defaultColWidth="9.140625" defaultRowHeight="15" x14ac:dyDescent="0.25"/>
  <cols>
    <col min="1" max="1" width="4.7109375" style="56" customWidth="1"/>
    <col min="2" max="2" width="22.5703125" style="56" customWidth="1"/>
    <col min="3" max="3" width="8.28515625" style="56" customWidth="1"/>
    <col min="4" max="6" width="10.7109375" style="56" customWidth="1"/>
    <col min="7" max="7" width="11.140625" style="56" customWidth="1"/>
    <col min="8" max="8" width="3.28515625" style="56" customWidth="1"/>
    <col min="9" max="9" width="4.85546875" style="56" customWidth="1"/>
    <col min="10" max="16384" width="9.140625" style="56"/>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0" t="s">
        <v>150</v>
      </c>
      <c r="C3" s="100"/>
      <c r="D3" s="100"/>
      <c r="E3" s="100"/>
      <c r="F3" s="100"/>
      <c r="G3" s="100"/>
      <c r="H3" s="100"/>
      <c r="I3" s="1"/>
    </row>
    <row r="4" spans="1:9" ht="15" customHeight="1" x14ac:dyDescent="0.25">
      <c r="A4" s="1"/>
      <c r="B4" s="100"/>
      <c r="C4" s="100"/>
      <c r="D4" s="100"/>
      <c r="E4" s="100"/>
      <c r="F4" s="100"/>
      <c r="G4" s="100"/>
      <c r="H4" s="10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6" t="s">
        <v>151</v>
      </c>
      <c r="C8" s="117"/>
      <c r="D8" s="117"/>
      <c r="E8" s="117"/>
      <c r="F8" s="117"/>
      <c r="G8" s="117"/>
      <c r="H8" s="118"/>
      <c r="I8" s="1"/>
    </row>
    <row r="9" spans="1:9" ht="15" customHeight="1" x14ac:dyDescent="0.25">
      <c r="A9" s="1"/>
      <c r="B9" s="103" t="s">
        <v>152</v>
      </c>
      <c r="C9" s="104"/>
      <c r="D9" s="104"/>
      <c r="E9" s="104"/>
      <c r="F9" s="104"/>
      <c r="G9" s="104"/>
      <c r="H9" s="105"/>
      <c r="I9" s="1"/>
    </row>
    <row r="10" spans="1:9" x14ac:dyDescent="0.25">
      <c r="A10" s="1"/>
      <c r="B10" s="137" t="s">
        <v>177</v>
      </c>
      <c r="C10" s="138"/>
      <c r="D10" s="138"/>
      <c r="E10" s="138"/>
      <c r="F10" s="139"/>
      <c r="G10" s="60">
        <v>0</v>
      </c>
      <c r="H10" s="8" t="s">
        <v>3</v>
      </c>
      <c r="I10" s="1"/>
    </row>
    <row r="11" spans="1:9" x14ac:dyDescent="0.25">
      <c r="A11" s="1"/>
      <c r="B11" s="137" t="s">
        <v>178</v>
      </c>
      <c r="C11" s="138"/>
      <c r="D11" s="138"/>
      <c r="E11" s="138"/>
      <c r="F11" s="139"/>
      <c r="G11" s="60">
        <v>0</v>
      </c>
      <c r="H11" s="8" t="s">
        <v>3</v>
      </c>
      <c r="I11" s="1"/>
    </row>
    <row r="12" spans="1:9" x14ac:dyDescent="0.25">
      <c r="A12" s="1"/>
      <c r="B12" s="137" t="s">
        <v>179</v>
      </c>
      <c r="C12" s="138"/>
      <c r="D12" s="138"/>
      <c r="E12" s="138"/>
      <c r="F12" s="139"/>
      <c r="G12" s="8">
        <v>0</v>
      </c>
      <c r="H12" s="8" t="s">
        <v>3</v>
      </c>
      <c r="I12" s="1"/>
    </row>
    <row r="13" spans="1:9" x14ac:dyDescent="0.25">
      <c r="A13" s="1"/>
      <c r="B13" s="137" t="s">
        <v>180</v>
      </c>
      <c r="C13" s="138"/>
      <c r="D13" s="138"/>
      <c r="E13" s="138"/>
      <c r="F13" s="139"/>
      <c r="G13" s="8">
        <v>0</v>
      </c>
      <c r="H13" s="8" t="s">
        <v>3</v>
      </c>
      <c r="I13" s="1"/>
    </row>
    <row r="14" spans="1:9" x14ac:dyDescent="0.25">
      <c r="A14" s="1"/>
      <c r="B14" s="137" t="s">
        <v>181</v>
      </c>
      <c r="C14" s="138"/>
      <c r="D14" s="138"/>
      <c r="E14" s="138"/>
      <c r="F14" s="139"/>
      <c r="G14" s="8">
        <v>0</v>
      </c>
      <c r="H14" s="8" t="s">
        <v>3</v>
      </c>
      <c r="I14" s="1"/>
    </row>
    <row r="15" spans="1:9" x14ac:dyDescent="0.25">
      <c r="A15" s="1"/>
      <c r="B15" s="137" t="s">
        <v>182</v>
      </c>
      <c r="C15" s="138"/>
      <c r="D15" s="138"/>
      <c r="E15" s="138"/>
      <c r="F15" s="139"/>
      <c r="G15" s="8">
        <v>0</v>
      </c>
      <c r="H15" s="8" t="s">
        <v>3</v>
      </c>
      <c r="I15" s="1"/>
    </row>
    <row r="16" spans="1:9" x14ac:dyDescent="0.25">
      <c r="A16" s="1"/>
      <c r="B16" s="137" t="s">
        <v>183</v>
      </c>
      <c r="C16" s="138"/>
      <c r="D16" s="138"/>
      <c r="E16" s="138"/>
      <c r="F16" s="139"/>
      <c r="G16" s="8">
        <v>0</v>
      </c>
      <c r="H16" s="8" t="s">
        <v>3</v>
      </c>
      <c r="I16" s="1"/>
    </row>
    <row r="17" spans="1:9" x14ac:dyDescent="0.25">
      <c r="A17" s="1"/>
      <c r="B17" s="137" t="s">
        <v>184</v>
      </c>
      <c r="C17" s="138"/>
      <c r="D17" s="138"/>
      <c r="E17" s="138"/>
      <c r="F17" s="139"/>
      <c r="G17" s="8">
        <v>0</v>
      </c>
      <c r="H17" s="8" t="s">
        <v>3</v>
      </c>
      <c r="I17" s="1"/>
    </row>
    <row r="18" spans="1:9" x14ac:dyDescent="0.25">
      <c r="A18" s="1"/>
      <c r="B18" s="116" t="s">
        <v>153</v>
      </c>
      <c r="C18" s="117"/>
      <c r="D18" s="117"/>
      <c r="E18" s="117"/>
      <c r="F18" s="118"/>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sheetData>
  <sheetProtection algorithmName="SHA-512" hashValue="qU0l+a07a6hm7RIRgAoreqpztFinN4YvIrfN7RqRGm9Cw147cakkIs2Hf0C3nrZ/fHG4+Q3snGO7PWy8Hd+WcA==" saltValue="Gd7hLJxJsM+f8No6IUQ7fQ=="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140625" style="2" customWidth="1"/>
    <col min="2" max="2" width="23.140625" style="2" customWidth="1"/>
    <col min="3" max="3" width="8.42578125" style="2" customWidth="1"/>
    <col min="4" max="4" width="8.85546875" style="2" customWidth="1"/>
    <col min="5" max="5" width="2.5703125" style="2" customWidth="1"/>
    <col min="6" max="6" width="8.85546875" style="2" customWidth="1"/>
    <col min="7" max="7" width="2.5703125" style="2" customWidth="1"/>
    <col min="8" max="8" width="8.85546875" style="2" customWidth="1"/>
    <col min="9" max="9" width="2.5703125" style="2" customWidth="1"/>
    <col min="10" max="10" width="8.85546875" style="2" customWidth="1"/>
    <col min="11" max="11" width="2.5703125" style="2" customWidth="1"/>
    <col min="12" max="12" width="4.1406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0" t="s">
        <v>154</v>
      </c>
      <c r="C3" s="100"/>
      <c r="D3" s="100"/>
      <c r="E3" s="100"/>
      <c r="F3" s="100"/>
      <c r="G3" s="100"/>
      <c r="H3" s="100"/>
      <c r="I3" s="100"/>
      <c r="J3" s="100"/>
      <c r="K3" s="100"/>
      <c r="L3" s="1"/>
    </row>
    <row r="4" spans="1:12" ht="15" customHeight="1" x14ac:dyDescent="0.25">
      <c r="A4" s="1"/>
      <c r="B4" s="100"/>
      <c r="C4" s="100"/>
      <c r="D4" s="100"/>
      <c r="E4" s="100"/>
      <c r="F4" s="100"/>
      <c r="G4" s="100"/>
      <c r="H4" s="100"/>
      <c r="I4" s="100"/>
      <c r="J4" s="100"/>
      <c r="K4" s="10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6" t="s">
        <v>133</v>
      </c>
      <c r="C8" s="117"/>
      <c r="D8" s="117"/>
      <c r="E8" s="117"/>
      <c r="F8" s="117"/>
      <c r="G8" s="117"/>
      <c r="H8" s="117"/>
      <c r="I8" s="117"/>
      <c r="J8" s="117"/>
      <c r="K8" s="118"/>
      <c r="L8" s="1"/>
    </row>
    <row r="9" spans="1:12" ht="39.75" customHeight="1" x14ac:dyDescent="0.25">
      <c r="A9" s="1"/>
      <c r="B9" s="16" t="s">
        <v>0</v>
      </c>
      <c r="C9" s="16" t="s">
        <v>1</v>
      </c>
      <c r="D9" s="140" t="s">
        <v>149</v>
      </c>
      <c r="E9" s="141"/>
      <c r="F9" s="140" t="s">
        <v>2</v>
      </c>
      <c r="G9" s="141"/>
      <c r="H9" s="140" t="s">
        <v>148</v>
      </c>
      <c r="I9" s="141"/>
      <c r="J9" s="140" t="s">
        <v>24</v>
      </c>
      <c r="K9" s="141"/>
      <c r="L9" s="1"/>
    </row>
    <row r="10" spans="1:12" x14ac:dyDescent="0.25">
      <c r="A10" s="1"/>
      <c r="B10" s="77" t="s">
        <v>165</v>
      </c>
      <c r="C10" s="34"/>
      <c r="D10" s="8">
        <v>0</v>
      </c>
      <c r="E10" s="12" t="s">
        <v>3</v>
      </c>
      <c r="F10" s="8">
        <f>IFERROR(D10/C10,0)</f>
        <v>0</v>
      </c>
      <c r="G10" s="12" t="s">
        <v>3</v>
      </c>
      <c r="H10" s="8">
        <v>0</v>
      </c>
      <c r="I10" s="12" t="s">
        <v>3</v>
      </c>
      <c r="J10" s="8">
        <v>0</v>
      </c>
      <c r="K10" s="12" t="s">
        <v>3</v>
      </c>
      <c r="L10" s="1"/>
    </row>
    <row r="11" spans="1:12" x14ac:dyDescent="0.25">
      <c r="A11" s="1"/>
      <c r="B11" s="116" t="s">
        <v>134</v>
      </c>
      <c r="C11" s="117"/>
      <c r="D11" s="117"/>
      <c r="E11" s="118"/>
      <c r="F11" s="10">
        <f>SUM(F10:F10)</f>
        <v>0</v>
      </c>
      <c r="G11" s="10" t="s">
        <v>3</v>
      </c>
      <c r="H11" s="10">
        <f>SUM(H10:H10)</f>
        <v>0</v>
      </c>
      <c r="I11" s="10"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8TBi4PxnUfSa9iiXrS0W2brbnASuMuL8JrCqXBHPuUYjGijMoYq5Wh2FVGFRloXlzwccSB1jCgLv/QqGQ7x/mw==" saltValue="chCuPD6emvXUYjt7aipJWw==" spinCount="100000" sheet="1" objects="1" scenarios="1"/>
  <customSheetViews>
    <customSheetView guid="{8BCA264E-FE70-4497-B667-7DCB6C5E8A89}" showPageBreaks="1" showGridLines="0" view="pageLayout">
      <selection activeCell="B9" sqref="B9"/>
      <pageMargins left="0.7" right="0.7" top="0.75" bottom="0.75" header="0.3" footer="0.3"/>
      <pageSetup paperSize="9" orientation="portrait" r:id="rId1"/>
    </customSheetView>
  </customSheetViews>
  <mergeCells count="7">
    <mergeCell ref="B11:E11"/>
    <mergeCell ref="B3:K4"/>
    <mergeCell ref="B8:K8"/>
    <mergeCell ref="D9:E9"/>
    <mergeCell ref="F9:G9"/>
    <mergeCell ref="H9:I9"/>
    <mergeCell ref="J9:K9"/>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155</v>
      </c>
      <c r="C3" s="100"/>
      <c r="D3" s="100"/>
      <c r="E3" s="100"/>
      <c r="F3" s="100"/>
      <c r="G3" s="1"/>
    </row>
    <row r="4" spans="1:7" ht="1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0" t="s">
        <v>33</v>
      </c>
      <c r="C8" s="22"/>
      <c r="D8" s="22"/>
      <c r="E8" s="22"/>
      <c r="F8" s="81"/>
      <c r="G8" s="1"/>
    </row>
    <row r="9" spans="1:7" ht="17.25" customHeight="1" x14ac:dyDescent="0.25">
      <c r="A9" s="1"/>
      <c r="B9" s="62" t="s">
        <v>15</v>
      </c>
      <c r="C9" s="62" t="s">
        <v>9</v>
      </c>
      <c r="D9" s="63"/>
      <c r="E9" s="62" t="s">
        <v>25</v>
      </c>
      <c r="F9" s="79"/>
      <c r="G9" s="1"/>
    </row>
    <row r="10" spans="1:7" x14ac:dyDescent="0.25">
      <c r="A10" s="1"/>
      <c r="B10" s="20" t="s">
        <v>147</v>
      </c>
      <c r="C10" s="19">
        <f>'Fane 8. Anlægsprojekter (§ 19)'!H11</f>
        <v>0</v>
      </c>
      <c r="D10" s="12" t="s">
        <v>3</v>
      </c>
      <c r="E10" s="8">
        <f>SUM('Fane 8. Anlægsprojekter (§ 19)'!F11,'Fane 8. Anlægsprojekter (§ 19)'!J11)</f>
        <v>0</v>
      </c>
      <c r="F10" s="12" t="s">
        <v>3</v>
      </c>
      <c r="G10" s="1"/>
    </row>
    <row r="11" spans="1:7" x14ac:dyDescent="0.25">
      <c r="A11" s="1"/>
      <c r="B11" s="20" t="s">
        <v>169</v>
      </c>
      <c r="C11" s="19">
        <v>86080</v>
      </c>
      <c r="D11" s="12" t="s">
        <v>3</v>
      </c>
      <c r="E11" s="8">
        <v>366268</v>
      </c>
      <c r="F11" s="12" t="s">
        <v>3</v>
      </c>
      <c r="G11" s="1"/>
    </row>
    <row r="12" spans="1:7" x14ac:dyDescent="0.25">
      <c r="A12" s="1"/>
      <c r="B12" s="80" t="s">
        <v>83</v>
      </c>
      <c r="C12" s="10">
        <f>SUM(C10:C11)</f>
        <v>86080</v>
      </c>
      <c r="D12" s="11" t="s">
        <v>3</v>
      </c>
      <c r="E12" s="10">
        <f>SUM(E10:E11)</f>
        <v>366268</v>
      </c>
      <c r="F12" s="11" t="s">
        <v>3</v>
      </c>
      <c r="G12" s="1"/>
    </row>
    <row r="13" spans="1:7" x14ac:dyDescent="0.25">
      <c r="A13" s="1"/>
      <c r="B13" s="80" t="s">
        <v>128</v>
      </c>
      <c r="C13" s="10">
        <f>C12*(1+'Fane 13. Nøgletal'!C15)</f>
        <v>89144.448000000004</v>
      </c>
      <c r="D13" s="11" t="s">
        <v>3</v>
      </c>
      <c r="E13" s="10">
        <f>E12*(1+'Fane 13. Nøgletal'!C15)</f>
        <v>379307.14080000005</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7rPw/PM3AXrIKoqUzyH7s0WmJHy5B7UXohv1ulGoSyaq8rRDbtYSPpST4icix+yG6VZ9PzAeLFu2a1cwdhpZbQ==" saltValue="YisJLyoFTpwXxktfoEb4jA==" spinCount="100000" sheet="1" objects="1" scenarios="1"/>
  <customSheetViews>
    <customSheetView guid="{8BCA264E-FE70-4497-B667-7DCB6C5E8A89}" showPageBreaks="1" showGridLines="0" view="pageLayout">
      <selection activeCell="B14" sqref="B14"/>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3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156</v>
      </c>
      <c r="C3" s="100"/>
      <c r="D3" s="100"/>
      <c r="E3" s="100"/>
      <c r="F3" s="100"/>
      <c r="G3" s="1"/>
    </row>
    <row r="4" spans="1:7" ht="1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16" t="s">
        <v>48</v>
      </c>
      <c r="C9" s="117"/>
      <c r="D9" s="117"/>
      <c r="E9" s="117"/>
      <c r="F9" s="118"/>
      <c r="G9" s="1"/>
    </row>
    <row r="10" spans="1:7" x14ac:dyDescent="0.25">
      <c r="A10" s="1"/>
      <c r="B10" s="62" t="s">
        <v>15</v>
      </c>
      <c r="C10" s="62" t="s">
        <v>9</v>
      </c>
      <c r="D10" s="63"/>
      <c r="E10" s="62" t="s">
        <v>25</v>
      </c>
      <c r="F10" s="79"/>
      <c r="G10" s="1"/>
    </row>
    <row r="11" spans="1:7" x14ac:dyDescent="0.25">
      <c r="A11" s="1"/>
      <c r="B11" s="20" t="s">
        <v>170</v>
      </c>
      <c r="C11" s="19">
        <v>0</v>
      </c>
      <c r="D11" s="12" t="s">
        <v>3</v>
      </c>
      <c r="E11" s="19">
        <v>0</v>
      </c>
      <c r="F11" s="12" t="s">
        <v>3</v>
      </c>
      <c r="G11" s="1"/>
    </row>
    <row r="12" spans="1:7" x14ac:dyDescent="0.25">
      <c r="A12" s="1"/>
      <c r="B12" s="80" t="s">
        <v>142</v>
      </c>
      <c r="C12" s="10">
        <f>SUM(C11:C11)</f>
        <v>0</v>
      </c>
      <c r="D12" s="11" t="s">
        <v>3</v>
      </c>
      <c r="E12" s="10">
        <f>SUM(E11:E11)</f>
        <v>0</v>
      </c>
      <c r="F12" s="11" t="s">
        <v>3</v>
      </c>
      <c r="G12" s="1"/>
    </row>
    <row r="13" spans="1:7" x14ac:dyDescent="0.25">
      <c r="A13" s="1"/>
      <c r="B13" s="80" t="s">
        <v>143</v>
      </c>
      <c r="C13" s="10">
        <f>C12*(1+'Fane 13. Nøgletal'!C15)^2</f>
        <v>0</v>
      </c>
      <c r="D13" s="11" t="s">
        <v>3</v>
      </c>
      <c r="E13" s="10">
        <f>E12*(1+'Fane 13. Nøgletal'!C15)^2</f>
        <v>0</v>
      </c>
      <c r="F13" s="11" t="s">
        <v>3</v>
      </c>
      <c r="G13" s="1"/>
    </row>
    <row r="14" spans="1:7" x14ac:dyDescent="0.25">
      <c r="A14" s="1"/>
      <c r="B14" s="1"/>
      <c r="C14" s="1"/>
      <c r="D14" s="1"/>
      <c r="E14" s="1"/>
      <c r="F14" s="1"/>
      <c r="G14" s="1"/>
    </row>
    <row r="15" spans="1:7" x14ac:dyDescent="0.25">
      <c r="A15" s="1"/>
      <c r="B15" s="142"/>
      <c r="C15" s="142"/>
      <c r="D15" s="142"/>
      <c r="E15" s="142"/>
      <c r="F15" s="142"/>
      <c r="G15" s="1"/>
    </row>
    <row r="16" spans="1:7" x14ac:dyDescent="0.25">
      <c r="A16" s="1"/>
      <c r="B16" s="46"/>
      <c r="C16" s="46"/>
      <c r="D16" s="46"/>
      <c r="E16" s="46"/>
      <c r="F16" s="47"/>
      <c r="G16" s="1"/>
    </row>
    <row r="17" spans="1:7" x14ac:dyDescent="0.25">
      <c r="A17" s="1"/>
      <c r="B17" s="48"/>
      <c r="C17" s="49"/>
      <c r="D17" s="50"/>
      <c r="E17" s="49"/>
      <c r="F17" s="50"/>
      <c r="G17" s="1"/>
    </row>
    <row r="18" spans="1:7" x14ac:dyDescent="0.25">
      <c r="A18" s="1"/>
      <c r="B18" s="48"/>
      <c r="C18" s="49"/>
      <c r="D18" s="50"/>
      <c r="E18" s="49"/>
      <c r="F18" s="50"/>
      <c r="G18" s="1"/>
    </row>
    <row r="19" spans="1:7" x14ac:dyDescent="0.25">
      <c r="A19" s="1"/>
      <c r="B19" s="51"/>
      <c r="C19" s="52"/>
      <c r="D19" s="53"/>
      <c r="E19" s="52"/>
      <c r="F19" s="53"/>
      <c r="G19" s="1"/>
    </row>
    <row r="20" spans="1:7" x14ac:dyDescent="0.25">
      <c r="A20" s="1"/>
      <c r="B20" s="51"/>
      <c r="C20" s="52"/>
      <c r="D20" s="53"/>
      <c r="E20" s="52"/>
      <c r="F20" s="53"/>
      <c r="G20" s="1"/>
    </row>
    <row r="21" spans="1:7" x14ac:dyDescent="0.25">
      <c r="A21" s="1"/>
      <c r="B21" s="54"/>
      <c r="C21" s="54"/>
      <c r="D21" s="54"/>
      <c r="E21" s="54"/>
      <c r="F21" s="54"/>
      <c r="G21" s="1"/>
    </row>
    <row r="22" spans="1:7" x14ac:dyDescent="0.25">
      <c r="A22" s="1"/>
      <c r="B22" s="142"/>
      <c r="C22" s="142"/>
      <c r="D22" s="142"/>
      <c r="E22" s="142"/>
      <c r="F22" s="142"/>
      <c r="G22" s="1"/>
    </row>
    <row r="23" spans="1:7" x14ac:dyDescent="0.25">
      <c r="A23" s="1"/>
      <c r="B23" s="46"/>
      <c r="C23" s="46"/>
      <c r="D23" s="46"/>
      <c r="E23" s="46"/>
      <c r="F23" s="47"/>
      <c r="G23" s="1"/>
    </row>
    <row r="24" spans="1:7" x14ac:dyDescent="0.25">
      <c r="A24" s="1"/>
      <c r="B24" s="48"/>
      <c r="C24" s="49"/>
      <c r="D24" s="50"/>
      <c r="E24" s="49"/>
      <c r="F24" s="50"/>
      <c r="G24" s="1"/>
    </row>
    <row r="25" spans="1:7" x14ac:dyDescent="0.25">
      <c r="A25" s="1"/>
      <c r="B25" s="48"/>
      <c r="C25" s="49"/>
      <c r="D25" s="50"/>
      <c r="E25" s="49"/>
      <c r="F25" s="50"/>
      <c r="G25" s="1"/>
    </row>
    <row r="26" spans="1:7" x14ac:dyDescent="0.25">
      <c r="A26" s="1"/>
      <c r="B26" s="51"/>
      <c r="C26" s="52"/>
      <c r="D26" s="53"/>
      <c r="E26" s="52"/>
      <c r="F26" s="53"/>
      <c r="G26" s="1"/>
    </row>
    <row r="27" spans="1:7" x14ac:dyDescent="0.25">
      <c r="A27" s="1"/>
      <c r="B27" s="51"/>
      <c r="C27" s="52"/>
      <c r="D27" s="53"/>
      <c r="E27" s="52"/>
      <c r="F27" s="53"/>
      <c r="G27" s="1"/>
    </row>
    <row r="28" spans="1:7" x14ac:dyDescent="0.25">
      <c r="A28" s="1"/>
      <c r="B28" s="54"/>
      <c r="C28" s="54"/>
      <c r="D28" s="54"/>
      <c r="E28" s="54"/>
      <c r="F28" s="54"/>
      <c r="G28" s="1"/>
    </row>
    <row r="29" spans="1:7" x14ac:dyDescent="0.25">
      <c r="A29" s="1"/>
      <c r="B29" s="142"/>
      <c r="C29" s="142"/>
      <c r="D29" s="142"/>
      <c r="E29" s="142"/>
      <c r="F29" s="142"/>
      <c r="G29" s="1"/>
    </row>
    <row r="30" spans="1:7" x14ac:dyDescent="0.25">
      <c r="A30" s="1"/>
      <c r="B30" s="46"/>
      <c r="C30" s="46"/>
      <c r="D30" s="46"/>
      <c r="E30" s="46"/>
      <c r="F30" s="47"/>
      <c r="G30" s="1"/>
    </row>
    <row r="31" spans="1:7" x14ac:dyDescent="0.25">
      <c r="A31" s="1"/>
      <c r="B31" s="48"/>
      <c r="C31" s="49"/>
      <c r="D31" s="50"/>
      <c r="E31" s="49"/>
      <c r="F31" s="50"/>
      <c r="G31" s="1"/>
    </row>
    <row r="32" spans="1:7" x14ac:dyDescent="0.25">
      <c r="A32" s="1"/>
      <c r="B32" s="48"/>
      <c r="C32" s="49"/>
      <c r="D32" s="50"/>
      <c r="E32" s="49"/>
      <c r="F32" s="50"/>
      <c r="G32" s="1"/>
    </row>
    <row r="33" spans="1:7" x14ac:dyDescent="0.25">
      <c r="A33" s="1"/>
      <c r="B33" s="51"/>
      <c r="C33" s="52"/>
      <c r="D33" s="53"/>
      <c r="E33" s="52"/>
      <c r="F33" s="53"/>
      <c r="G33" s="1"/>
    </row>
    <row r="34" spans="1:7" x14ac:dyDescent="0.25">
      <c r="A34" s="1"/>
      <c r="B34" s="51"/>
      <c r="C34" s="52"/>
      <c r="D34" s="53"/>
      <c r="E34" s="52"/>
      <c r="F34" s="53"/>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q2b8rexgICwh+beKfd3fN/voXX6mmivkYvxvo4c0ai9C+pqOv9fJTKO9kR/I726pCicDqr1amvYu+SOnRD+s3Q==" saltValue="HG2BmE0Z+nLSPzhC+s+wgw==" spinCount="100000" sheet="1" objects="1" scenarios="1"/>
  <customSheetViews>
    <customSheetView guid="{8BCA264E-FE70-4497-B667-7DCB6C5E8A89}" showPageBreaks="1" showGridLines="0" view="pageLayout" topLeftCell="A9">
      <selection activeCell="C42" sqref="C42"/>
      <pageMargins left="0.7" right="0.7" top="0.75" bottom="0.75" header="0.3" footer="0.3"/>
      <pageSetup paperSize="9" orientation="portrait" r:id="rId1"/>
    </customSheetView>
  </customSheetViews>
  <mergeCells count="5">
    <mergeCell ref="B29:F29"/>
    <mergeCell ref="B3:F4"/>
    <mergeCell ref="B9:F9"/>
    <mergeCell ref="B22:F22"/>
    <mergeCell ref="B15:F1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95" zoomScaleNormal="100" zoomScalePageLayoutView="95"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157</v>
      </c>
      <c r="C3" s="114"/>
      <c r="D3" s="114"/>
      <c r="E3" s="114"/>
      <c r="F3" s="114"/>
      <c r="G3" s="1"/>
    </row>
    <row r="4" spans="1:7" ht="15" customHeight="1" x14ac:dyDescent="0.25">
      <c r="A4" s="1"/>
      <c r="B4" s="114"/>
      <c r="C4" s="114"/>
      <c r="D4" s="114"/>
      <c r="E4" s="114"/>
      <c r="F4" s="114"/>
      <c r="G4" s="1"/>
    </row>
    <row r="5" spans="1:7" x14ac:dyDescent="0.25">
      <c r="A5" s="1"/>
      <c r="B5" s="114"/>
      <c r="C5" s="114"/>
      <c r="D5" s="114"/>
      <c r="E5" s="114"/>
      <c r="F5" s="11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6" t="s">
        <v>43</v>
      </c>
      <c r="C9" s="117"/>
      <c r="D9" s="117"/>
      <c r="E9" s="117"/>
      <c r="F9" s="118"/>
      <c r="G9" s="1"/>
    </row>
    <row r="10" spans="1:7" x14ac:dyDescent="0.25">
      <c r="A10" s="1"/>
      <c r="B10" s="137" t="s">
        <v>139</v>
      </c>
      <c r="C10" s="138"/>
      <c r="D10" s="139"/>
      <c r="E10" s="8">
        <v>0</v>
      </c>
      <c r="F10" s="12" t="s">
        <v>3</v>
      </c>
      <c r="G10" s="1"/>
    </row>
    <row r="11" spans="1:7" x14ac:dyDescent="0.25">
      <c r="A11" s="1"/>
      <c r="B11" s="108" t="s">
        <v>54</v>
      </c>
      <c r="C11" s="109"/>
      <c r="D11" s="110"/>
      <c r="E11" s="8">
        <f>-E10*'Fane 13. Nøgletal'!C20</f>
        <v>0</v>
      </c>
      <c r="F11" s="12" t="s">
        <v>3</v>
      </c>
      <c r="G11" s="1"/>
    </row>
    <row r="12" spans="1:7" x14ac:dyDescent="0.25">
      <c r="A12" s="1"/>
      <c r="B12" s="116" t="s">
        <v>44</v>
      </c>
      <c r="C12" s="117"/>
      <c r="D12" s="118"/>
      <c r="E12" s="10">
        <f>SUM(E10:E11)*(1+'Fane 13. Nøgletal'!C15)^2</f>
        <v>0</v>
      </c>
      <c r="F12" s="11" t="s">
        <v>3</v>
      </c>
      <c r="G12" s="1"/>
    </row>
    <row r="13" spans="1:7" x14ac:dyDescent="0.25">
      <c r="A13" s="1"/>
      <c r="B13" s="1"/>
      <c r="C13" s="1"/>
      <c r="D13" s="1"/>
      <c r="E13" s="1"/>
      <c r="F13" s="1"/>
      <c r="G13" s="1"/>
    </row>
    <row r="14" spans="1:7" x14ac:dyDescent="0.25">
      <c r="A14" s="1"/>
      <c r="B14" s="116" t="s">
        <v>67</v>
      </c>
      <c r="C14" s="117"/>
      <c r="D14" s="117"/>
      <c r="E14" s="117"/>
      <c r="F14" s="118"/>
      <c r="G14" s="1"/>
    </row>
    <row r="15" spans="1:7" x14ac:dyDescent="0.25">
      <c r="A15" s="1"/>
      <c r="B15" s="137" t="s">
        <v>139</v>
      </c>
      <c r="C15" s="138"/>
      <c r="D15" s="139"/>
      <c r="E15" s="8">
        <v>0</v>
      </c>
      <c r="F15" s="12" t="s">
        <v>3</v>
      </c>
      <c r="G15" s="1"/>
    </row>
    <row r="16" spans="1:7" x14ac:dyDescent="0.25">
      <c r="A16" s="1"/>
      <c r="B16" s="108" t="s">
        <v>54</v>
      </c>
      <c r="C16" s="109"/>
      <c r="D16" s="110"/>
      <c r="E16" s="8">
        <f>-E15*'Fane 13. Nøgletal'!C20</f>
        <v>0</v>
      </c>
      <c r="F16" s="12" t="s">
        <v>3</v>
      </c>
      <c r="G16" s="1"/>
    </row>
    <row r="17" spans="1:7" x14ac:dyDescent="0.25">
      <c r="A17" s="1"/>
      <c r="B17" s="116" t="s">
        <v>68</v>
      </c>
      <c r="C17" s="117"/>
      <c r="D17" s="118"/>
      <c r="E17" s="10">
        <f>SUM(E15:E16)*(1+'Fane 13. Nøgletal'!C15)^3</f>
        <v>0</v>
      </c>
      <c r="F17" s="11" t="s">
        <v>3</v>
      </c>
      <c r="G17" s="1"/>
    </row>
    <row r="18" spans="1:7" x14ac:dyDescent="0.25">
      <c r="A18" s="1"/>
      <c r="B18" s="1"/>
      <c r="C18" s="1"/>
      <c r="D18" s="1"/>
      <c r="E18" s="1"/>
      <c r="F18" s="1"/>
      <c r="G18" s="1"/>
    </row>
    <row r="19" spans="1:7" x14ac:dyDescent="0.25">
      <c r="A19" s="1"/>
      <c r="B19" s="116" t="s">
        <v>84</v>
      </c>
      <c r="C19" s="117"/>
      <c r="D19" s="117"/>
      <c r="E19" s="117"/>
      <c r="F19" s="118"/>
      <c r="G19" s="1"/>
    </row>
    <row r="20" spans="1:7" x14ac:dyDescent="0.25">
      <c r="A20" s="1"/>
      <c r="B20" s="137" t="s">
        <v>139</v>
      </c>
      <c r="C20" s="138"/>
      <c r="D20" s="139"/>
      <c r="E20" s="8">
        <v>0</v>
      </c>
      <c r="F20" s="12" t="s">
        <v>3</v>
      </c>
      <c r="G20" s="1"/>
    </row>
    <row r="21" spans="1:7" x14ac:dyDescent="0.25">
      <c r="A21" s="1"/>
      <c r="B21" s="108" t="s">
        <v>54</v>
      </c>
      <c r="C21" s="109"/>
      <c r="D21" s="110"/>
      <c r="E21" s="8">
        <f>-E20*'Fane 13. Nøgletal'!C20</f>
        <v>0</v>
      </c>
      <c r="F21" s="12" t="s">
        <v>3</v>
      </c>
      <c r="G21" s="1"/>
    </row>
    <row r="22" spans="1:7" x14ac:dyDescent="0.25">
      <c r="A22" s="1"/>
      <c r="B22" s="116" t="s">
        <v>85</v>
      </c>
      <c r="C22" s="117"/>
      <c r="D22" s="118"/>
      <c r="E22" s="10">
        <f>SUM(E20:E21)*(1+'Fane 13. Nøgletal'!C15)^4</f>
        <v>0</v>
      </c>
      <c r="F22" s="11" t="s">
        <v>3</v>
      </c>
      <c r="G22" s="1"/>
    </row>
    <row r="23" spans="1:7" x14ac:dyDescent="0.25">
      <c r="A23" s="1"/>
      <c r="B23" s="1"/>
      <c r="C23" s="1"/>
      <c r="D23" s="1"/>
      <c r="E23" s="1"/>
      <c r="F23" s="1"/>
      <c r="G23" s="1"/>
    </row>
    <row r="24" spans="1:7" ht="15" customHeight="1" x14ac:dyDescent="0.25">
      <c r="A24" s="1"/>
      <c r="B24" s="116" t="s">
        <v>129</v>
      </c>
      <c r="C24" s="117"/>
      <c r="D24" s="117"/>
      <c r="E24" s="117"/>
      <c r="F24" s="118"/>
      <c r="G24" s="1"/>
    </row>
    <row r="25" spans="1:7" ht="14.25" customHeight="1" x14ac:dyDescent="0.25">
      <c r="A25" s="1"/>
      <c r="B25" s="137" t="s">
        <v>139</v>
      </c>
      <c r="C25" s="138"/>
      <c r="D25" s="139"/>
      <c r="E25" s="8">
        <v>0</v>
      </c>
      <c r="F25" s="12" t="s">
        <v>3</v>
      </c>
      <c r="G25" s="1"/>
    </row>
    <row r="26" spans="1:7" x14ac:dyDescent="0.25">
      <c r="A26" s="1"/>
      <c r="B26" s="108" t="s">
        <v>54</v>
      </c>
      <c r="C26" s="109"/>
      <c r="D26" s="110"/>
      <c r="E26" s="8">
        <f>-E25*'Fane 13. Nøgletal'!C20</f>
        <v>0</v>
      </c>
      <c r="F26" s="12" t="s">
        <v>3</v>
      </c>
      <c r="G26" s="1"/>
    </row>
    <row r="27" spans="1:7" x14ac:dyDescent="0.25">
      <c r="A27" s="1"/>
      <c r="B27" s="116" t="s">
        <v>130</v>
      </c>
      <c r="C27" s="117"/>
      <c r="D27" s="118"/>
      <c r="E27" s="10">
        <f>SUM(E25:E26)*(1+'Fane 13. Nøgletal'!C15)^5</f>
        <v>0</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i1Bz0aAah9A4P19BZ8iXwynkdFPwDmcAN9vPJRiofab0nr8LSqRsGR7dlXKgyd9v+HGDoDykW6aAVYQpwGsryg==" saltValue="SZjlOHybKZX7tMVCcm9hqw==" spinCount="100000" sheet="1" objects="1" scenarios="1"/>
  <customSheetViews>
    <customSheetView guid="{8BCA264E-FE70-4497-B667-7DCB6C5E8A89}" showPageBreaks="1" showGridLines="0" view="pageLayout">
      <selection activeCell="B26" sqref="B26:D26"/>
      <pageMargins left="0.7" right="0.7" top="0.75" bottom="0.75" header="0.3" footer="0.3"/>
      <pageSetup paperSize="9" orientation="portrait" r:id="rId1"/>
    </customSheetView>
  </customSheetViews>
  <mergeCells count="17">
    <mergeCell ref="B3:F5"/>
    <mergeCell ref="B12:D12"/>
    <mergeCell ref="B14:F14"/>
    <mergeCell ref="B9:F9"/>
    <mergeCell ref="B22:D22"/>
    <mergeCell ref="B19:F19"/>
    <mergeCell ref="B20:D20"/>
    <mergeCell ref="B17:D17"/>
    <mergeCell ref="B15:D15"/>
    <mergeCell ref="B16:D16"/>
    <mergeCell ref="B21:D21"/>
    <mergeCell ref="B10:D10"/>
    <mergeCell ref="B24:F24"/>
    <mergeCell ref="B25:D25"/>
    <mergeCell ref="B26:D26"/>
    <mergeCell ref="B27:D27"/>
    <mergeCell ref="B11:D1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2.5703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158</v>
      </c>
      <c r="C3" s="114"/>
      <c r="D3" s="114"/>
      <c r="E3" s="114"/>
      <c r="F3" s="114"/>
      <c r="G3" s="1"/>
    </row>
    <row r="4" spans="1:7" ht="25.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69</v>
      </c>
      <c r="C8" s="117"/>
      <c r="D8" s="117"/>
      <c r="E8" s="117"/>
      <c r="F8" s="118"/>
      <c r="G8" s="1"/>
    </row>
    <row r="9" spans="1:7" ht="15" customHeight="1" x14ac:dyDescent="0.25">
      <c r="A9" s="1"/>
      <c r="B9" s="78" t="s">
        <v>70</v>
      </c>
      <c r="C9" s="143" t="s">
        <v>9</v>
      </c>
      <c r="D9" s="144"/>
      <c r="E9" s="143" t="s">
        <v>25</v>
      </c>
      <c r="F9" s="144"/>
      <c r="G9" s="1"/>
    </row>
    <row r="10" spans="1:7" x14ac:dyDescent="0.25">
      <c r="A10" s="1"/>
      <c r="B10" s="20" t="s">
        <v>172</v>
      </c>
      <c r="C10" s="8">
        <v>0</v>
      </c>
      <c r="D10" s="12" t="s">
        <v>3</v>
      </c>
      <c r="E10" s="8">
        <v>0</v>
      </c>
      <c r="F10" s="12" t="s">
        <v>3</v>
      </c>
      <c r="G10" s="1"/>
    </row>
    <row r="11" spans="1:7" ht="28.5" customHeight="1" x14ac:dyDescent="0.25">
      <c r="A11" s="1"/>
      <c r="B11" s="18" t="s">
        <v>86</v>
      </c>
      <c r="C11" s="10">
        <f>SUM(C10:C10)</f>
        <v>0</v>
      </c>
      <c r="D11" s="11" t="s">
        <v>3</v>
      </c>
      <c r="E11" s="10">
        <f>SUM(E10:E10)</f>
        <v>0</v>
      </c>
      <c r="F11" s="11" t="s">
        <v>3</v>
      </c>
      <c r="G11" s="1"/>
    </row>
    <row r="12" spans="1:7" ht="27" customHeight="1" x14ac:dyDescent="0.25">
      <c r="A12" s="1"/>
      <c r="B12" s="18" t="s">
        <v>131</v>
      </c>
      <c r="C12" s="10">
        <f>C11*(1+'Fane 13. Nøgletal'!C15)</f>
        <v>0</v>
      </c>
      <c r="D12" s="11" t="s">
        <v>3</v>
      </c>
      <c r="E12" s="10">
        <f>E11*(1+'Fane 13.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NHS1+g2C1c+TFZ+kLDmywaJpW92YFhWE0usosSEGO7wiKFwC+gfHYLbS1lFHL/iggh90PkcKrSERJe9Rx5/y9Q==" saltValue="rMA+rqYJ4tymSnSUQTdo2A==" spinCount="100000" sheet="1" objects="1" scenarios="1"/>
  <customSheetViews>
    <customSheetView guid="{8BCA264E-FE70-4497-B667-7DCB6C5E8A89}" showPageBreaks="1" showGridLines="0" view="pageLayout">
      <selection activeCell="E40" sqref="E40"/>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7.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159</v>
      </c>
      <c r="C3" s="114"/>
      <c r="D3" s="114"/>
      <c r="E3" s="114"/>
      <c r="F3" s="114"/>
      <c r="G3" s="1"/>
    </row>
    <row r="4" spans="1:7" ht="25.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45</v>
      </c>
      <c r="C9" s="117"/>
      <c r="D9" s="117"/>
      <c r="E9" s="117"/>
      <c r="F9" s="118"/>
      <c r="G9" s="1"/>
    </row>
    <row r="10" spans="1:7" ht="15" customHeight="1" x14ac:dyDescent="0.25">
      <c r="A10" s="1"/>
      <c r="B10" s="78" t="s">
        <v>16</v>
      </c>
      <c r="C10" s="78" t="s">
        <v>9</v>
      </c>
      <c r="D10" s="79"/>
      <c r="E10" s="78" t="s">
        <v>25</v>
      </c>
      <c r="F10" s="79"/>
      <c r="G10" s="1"/>
    </row>
    <row r="11" spans="1:7" x14ac:dyDescent="0.25">
      <c r="A11" s="1"/>
      <c r="B11" s="20" t="s">
        <v>94</v>
      </c>
      <c r="C11" s="8">
        <v>0</v>
      </c>
      <c r="D11" s="12" t="s">
        <v>3</v>
      </c>
      <c r="E11" s="8">
        <v>0</v>
      </c>
      <c r="F11" s="12" t="s">
        <v>3</v>
      </c>
      <c r="G11" s="1"/>
    </row>
    <row r="12" spans="1:7" x14ac:dyDescent="0.25">
      <c r="A12" s="1"/>
      <c r="B12" s="80" t="s">
        <v>138</v>
      </c>
      <c r="C12" s="10">
        <f>SUM(C11:C11)</f>
        <v>0</v>
      </c>
      <c r="D12" s="11" t="s">
        <v>3</v>
      </c>
      <c r="E12" s="10">
        <f>SUM(E11:E11)</f>
        <v>0</v>
      </c>
      <c r="F12" s="11" t="s">
        <v>3</v>
      </c>
      <c r="G12" s="1"/>
    </row>
    <row r="13" spans="1:7" x14ac:dyDescent="0.25">
      <c r="A13" s="1"/>
      <c r="B13" s="80" t="s">
        <v>41</v>
      </c>
      <c r="C13" s="10">
        <f>C12*(1+'Fane 13. Nøgletal'!C15)</f>
        <v>0</v>
      </c>
      <c r="D13" s="11" t="s">
        <v>3</v>
      </c>
      <c r="E13" s="10">
        <f>E12*(1+'Fane 13. Nøgletal'!C15)</f>
        <v>0</v>
      </c>
      <c r="F13" s="11" t="s">
        <v>3</v>
      </c>
      <c r="G13" s="1"/>
    </row>
    <row r="14" spans="1:7" x14ac:dyDescent="0.25">
      <c r="A14" s="1"/>
      <c r="B14" s="1"/>
      <c r="C14" s="1"/>
      <c r="D14" s="1"/>
      <c r="E14" s="1"/>
      <c r="F14" s="1"/>
      <c r="G14" s="1"/>
    </row>
    <row r="15" spans="1:7" x14ac:dyDescent="0.25">
      <c r="A15" s="1"/>
      <c r="B15" s="142"/>
      <c r="C15" s="142"/>
      <c r="D15" s="142"/>
      <c r="E15" s="142"/>
      <c r="F15" s="142"/>
      <c r="G15" s="1"/>
    </row>
    <row r="16" spans="1:7" ht="15" customHeight="1" x14ac:dyDescent="0.25">
      <c r="A16" s="1"/>
      <c r="B16" s="47"/>
      <c r="C16" s="47"/>
      <c r="D16" s="47"/>
      <c r="E16" s="47"/>
      <c r="F16" s="47"/>
      <c r="G16" s="1"/>
    </row>
    <row r="17" spans="1:7" x14ac:dyDescent="0.25">
      <c r="A17" s="1"/>
      <c r="B17" s="48"/>
      <c r="C17" s="55"/>
      <c r="D17" s="50"/>
      <c r="E17" s="55"/>
      <c r="F17" s="50"/>
      <c r="G17" s="1"/>
    </row>
    <row r="18" spans="1:7" x14ac:dyDescent="0.25">
      <c r="A18" s="1"/>
      <c r="B18" s="51"/>
      <c r="C18" s="52"/>
      <c r="D18" s="53"/>
      <c r="E18" s="52"/>
      <c r="F18" s="53"/>
      <c r="G18" s="1"/>
    </row>
    <row r="19" spans="1:7" x14ac:dyDescent="0.25">
      <c r="A19" s="1"/>
      <c r="B19" s="51"/>
      <c r="C19" s="52"/>
      <c r="D19" s="53"/>
      <c r="E19" s="52"/>
      <c r="F19" s="53"/>
      <c r="G19" s="1"/>
    </row>
    <row r="20" spans="1:7" x14ac:dyDescent="0.25">
      <c r="A20" s="1"/>
      <c r="B20" s="54"/>
      <c r="C20" s="54"/>
      <c r="D20" s="54"/>
      <c r="E20" s="54"/>
      <c r="F20" s="54"/>
      <c r="G20" s="1"/>
    </row>
    <row r="21" spans="1:7" x14ac:dyDescent="0.25">
      <c r="A21" s="1"/>
      <c r="B21" s="142"/>
      <c r="C21" s="142"/>
      <c r="D21" s="142"/>
      <c r="E21" s="142"/>
      <c r="F21" s="142"/>
      <c r="G21" s="1"/>
    </row>
    <row r="22" spans="1:7" ht="15" customHeight="1" x14ac:dyDescent="0.25">
      <c r="A22" s="1"/>
      <c r="B22" s="47"/>
      <c r="C22" s="47"/>
      <c r="D22" s="47"/>
      <c r="E22" s="47"/>
      <c r="F22" s="47"/>
      <c r="G22" s="1"/>
    </row>
    <row r="23" spans="1:7" x14ac:dyDescent="0.25">
      <c r="A23" s="1"/>
      <c r="B23" s="48"/>
      <c r="C23" s="55"/>
      <c r="D23" s="50"/>
      <c r="E23" s="55"/>
      <c r="F23" s="50"/>
      <c r="G23" s="1"/>
    </row>
    <row r="24" spans="1:7" x14ac:dyDescent="0.25">
      <c r="A24" s="1"/>
      <c r="B24" s="51"/>
      <c r="C24" s="52"/>
      <c r="D24" s="53"/>
      <c r="E24" s="52"/>
      <c r="F24" s="53"/>
      <c r="G24" s="1"/>
    </row>
    <row r="25" spans="1:7" x14ac:dyDescent="0.25">
      <c r="A25" s="1"/>
      <c r="B25" s="51"/>
      <c r="C25" s="52"/>
      <c r="D25" s="53"/>
      <c r="E25" s="52"/>
      <c r="F25" s="53"/>
      <c r="G25" s="1"/>
    </row>
    <row r="26" spans="1:7" x14ac:dyDescent="0.25">
      <c r="A26" s="1"/>
      <c r="B26" s="54"/>
      <c r="C26" s="54"/>
      <c r="D26" s="54"/>
      <c r="E26" s="54"/>
      <c r="F26" s="54"/>
      <c r="G26" s="1"/>
    </row>
    <row r="27" spans="1:7" x14ac:dyDescent="0.25">
      <c r="A27" s="1"/>
      <c r="B27" s="142"/>
      <c r="C27" s="142"/>
      <c r="D27" s="142"/>
      <c r="E27" s="142"/>
      <c r="F27" s="142"/>
      <c r="G27" s="1"/>
    </row>
    <row r="28" spans="1:7" ht="15" customHeight="1" x14ac:dyDescent="0.25">
      <c r="A28" s="1"/>
      <c r="B28" s="47"/>
      <c r="C28" s="47"/>
      <c r="D28" s="47"/>
      <c r="E28" s="47"/>
      <c r="F28" s="47"/>
      <c r="G28" s="1"/>
    </row>
    <row r="29" spans="1:7" x14ac:dyDescent="0.25">
      <c r="A29" s="1"/>
      <c r="B29" s="48"/>
      <c r="C29" s="55"/>
      <c r="D29" s="50"/>
      <c r="E29" s="55"/>
      <c r="F29" s="50"/>
      <c r="G29" s="1"/>
    </row>
    <row r="30" spans="1:7" x14ac:dyDescent="0.25">
      <c r="A30" s="1"/>
      <c r="B30" s="51"/>
      <c r="C30" s="52"/>
      <c r="D30" s="53"/>
      <c r="E30" s="52"/>
      <c r="F30" s="53"/>
      <c r="G30" s="1"/>
    </row>
    <row r="31" spans="1:7" x14ac:dyDescent="0.25">
      <c r="A31" s="1"/>
      <c r="B31" s="51"/>
      <c r="C31" s="52"/>
      <c r="D31" s="53"/>
      <c r="E31" s="52"/>
      <c r="F31" s="53"/>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qM/BtsbIhINkkKhMRo4O0fBMlNPkyxP3E1p8lGQ0iBg6Kk14SGRf1fu/fSp3j/1uy00Us+GbkOv5YbPMQ+ztbA==" saltValue="Wv0jPziG3d7/0tHCJIKqfQ==" spinCount="100000" sheet="1" objects="1" scenarios="1"/>
  <customSheetViews>
    <customSheetView guid="{8BCA264E-FE70-4497-B667-7DCB6C5E8A89}" showPageBreaks="1" showGridLines="0" view="pageLayout" topLeftCell="A5">
      <selection activeCell="B38" sqref="B38"/>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D49"/>
  <sheetViews>
    <sheetView showGridLines="0" view="pageLayout" zoomScale="87" zoomScaleNormal="80" zoomScalePageLayoutView="87"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4" t="s">
        <v>160</v>
      </c>
      <c r="C3" s="114"/>
      <c r="D3" s="1"/>
    </row>
    <row r="4" spans="1:4" ht="25.5" customHeight="1" x14ac:dyDescent="0.25">
      <c r="A4" s="1"/>
      <c r="B4" s="114"/>
      <c r="C4" s="11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80" t="s">
        <v>12</v>
      </c>
      <c r="C8" s="81"/>
      <c r="D8" s="1"/>
    </row>
    <row r="9" spans="1:4" x14ac:dyDescent="0.25">
      <c r="A9" s="1"/>
      <c r="B9" s="23" t="s">
        <v>90</v>
      </c>
      <c r="C9" s="21">
        <v>1.2699999999999999E-2</v>
      </c>
      <c r="D9" s="1"/>
    </row>
    <row r="10" spans="1:4" x14ac:dyDescent="0.25">
      <c r="A10" s="1"/>
      <c r="B10" s="23" t="s">
        <v>87</v>
      </c>
      <c r="C10" s="21">
        <v>1.7500000000000002E-2</v>
      </c>
      <c r="D10" s="1"/>
    </row>
    <row r="11" spans="1:4" x14ac:dyDescent="0.25">
      <c r="A11" s="1"/>
      <c r="B11" s="23" t="s">
        <v>21</v>
      </c>
      <c r="C11" s="21">
        <v>1.6899999999999998E-2</v>
      </c>
      <c r="D11" s="1"/>
    </row>
    <row r="12" spans="1:4" x14ac:dyDescent="0.25">
      <c r="A12" s="1"/>
      <c r="B12" s="23" t="s">
        <v>32</v>
      </c>
      <c r="C12" s="21">
        <v>1.9699999999999999E-2</v>
      </c>
      <c r="D12" s="1"/>
    </row>
    <row r="13" spans="1:4" x14ac:dyDescent="0.25">
      <c r="A13" s="1"/>
      <c r="B13" s="25" t="s">
        <v>71</v>
      </c>
      <c r="C13" s="36">
        <v>1.32E-2</v>
      </c>
      <c r="D13" s="1"/>
    </row>
    <row r="14" spans="1:4" x14ac:dyDescent="0.25">
      <c r="A14" s="1"/>
      <c r="B14" s="25" t="s">
        <v>88</v>
      </c>
      <c r="C14" s="26">
        <v>3.3E-3</v>
      </c>
      <c r="D14" s="1"/>
    </row>
    <row r="15" spans="1:4" x14ac:dyDescent="0.25">
      <c r="A15" s="1"/>
      <c r="B15" s="25" t="s">
        <v>132</v>
      </c>
      <c r="C15" s="40">
        <v>3.56E-2</v>
      </c>
      <c r="D15" s="1"/>
    </row>
    <row r="16" spans="1:4" x14ac:dyDescent="0.25">
      <c r="A16" s="1"/>
      <c r="B16" s="80"/>
      <c r="C16" s="81"/>
      <c r="D16" s="1"/>
    </row>
    <row r="17" spans="1:4" x14ac:dyDescent="0.25">
      <c r="A17" s="1"/>
      <c r="B17" s="1"/>
      <c r="C17" s="1"/>
      <c r="D17" s="1"/>
    </row>
    <row r="18" spans="1:4" x14ac:dyDescent="0.25">
      <c r="A18" s="1"/>
      <c r="B18" s="1"/>
      <c r="C18" s="1"/>
      <c r="D18" s="1"/>
    </row>
    <row r="19" spans="1:4" x14ac:dyDescent="0.25">
      <c r="A19" s="1"/>
      <c r="B19" s="80" t="s">
        <v>54</v>
      </c>
      <c r="C19" s="81"/>
      <c r="D19" s="1"/>
    </row>
    <row r="20" spans="1:4" x14ac:dyDescent="0.25">
      <c r="A20" s="1"/>
      <c r="B20" s="23" t="s">
        <v>60</v>
      </c>
      <c r="C20" s="21">
        <v>1.7000000000000001E-2</v>
      </c>
      <c r="D20" s="1"/>
    </row>
    <row r="21" spans="1:4" x14ac:dyDescent="0.25">
      <c r="A21" s="1"/>
      <c r="B21" s="145"/>
      <c r="C21" s="146"/>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lEif2HLVOk/nCgHL9Pp3/ty/W5lbO/sqk8grmnQnLAZx1GpIQhNKd1QJT1moCBW4d3Uxey5iybZWKsE+A+yPKA==" saltValue="3BAiFUnKeJTmT8M9nrglWg==" spinCount="100000" sheet="1" objects="1" scenarios="1"/>
  <customSheetViews>
    <customSheetView guid="{8BCA264E-FE70-4497-B667-7DCB6C5E8A89}" showPageBreaks="1" showGridLines="0" view="pageLayout">
      <selection activeCell="C13" sqref="C13"/>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5" x14ac:dyDescent="0.25"/>
  <cols>
    <col min="1" max="1" width="5.140625" style="2" customWidth="1"/>
    <col min="2" max="2" width="56.28515625" style="2" customWidth="1"/>
    <col min="3" max="3" width="9.140625" style="2" hidden="1" customWidth="1"/>
    <col min="4" max="4" width="27.140625" style="2" hidden="1" customWidth="1"/>
    <col min="5" max="5" width="10.28515625" style="2" customWidth="1"/>
    <col min="6" max="6" width="3.85546875" style="2" customWidth="1"/>
    <col min="7" max="7" width="10.57031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104</v>
      </c>
      <c r="C3" s="100"/>
      <c r="D3" s="100"/>
      <c r="E3" s="100"/>
      <c r="F3" s="100"/>
      <c r="G3" s="1"/>
    </row>
    <row r="4" spans="1:7" ht="15" customHeight="1" x14ac:dyDescent="0.25">
      <c r="A4" s="1"/>
      <c r="B4" s="100"/>
      <c r="C4" s="100"/>
      <c r="D4" s="100"/>
      <c r="E4" s="100"/>
      <c r="F4" s="100"/>
      <c r="G4" s="1"/>
    </row>
    <row r="5" spans="1:7" ht="15" customHeight="1" x14ac:dyDescent="0.25">
      <c r="A5" s="1"/>
      <c r="B5" s="61"/>
      <c r="C5" s="61"/>
      <c r="D5" s="61"/>
      <c r="E5" s="61"/>
      <c r="F5" s="61"/>
      <c r="G5" s="1"/>
    </row>
    <row r="6" spans="1:7" ht="15" customHeight="1" x14ac:dyDescent="0.25">
      <c r="A6" s="1"/>
      <c r="B6" s="61"/>
      <c r="C6" s="61"/>
      <c r="D6" s="61"/>
      <c r="E6" s="61"/>
      <c r="F6" s="61"/>
      <c r="G6" s="1"/>
    </row>
    <row r="7" spans="1:7" x14ac:dyDescent="0.25">
      <c r="A7" s="1"/>
      <c r="B7" s="1"/>
      <c r="C7" s="1"/>
      <c r="D7" s="1"/>
      <c r="E7" s="1"/>
      <c r="F7" s="1"/>
      <c r="G7" s="1"/>
    </row>
    <row r="8" spans="1:7" x14ac:dyDescent="0.25">
      <c r="A8" s="1"/>
      <c r="B8" s="27" t="s">
        <v>11</v>
      </c>
      <c r="C8" s="27"/>
      <c r="D8" s="27"/>
      <c r="E8" s="27"/>
      <c r="F8" s="27"/>
      <c r="G8" s="1"/>
    </row>
    <row r="9" spans="1:7" x14ac:dyDescent="0.25">
      <c r="A9" s="1"/>
      <c r="B9" s="69" t="s">
        <v>79</v>
      </c>
      <c r="C9" s="69"/>
      <c r="D9" s="69"/>
      <c r="E9" s="7">
        <f>'Fane 3. Omkostninger i ØR2022'!$E$16</f>
        <v>28876595.330345258</v>
      </c>
      <c r="F9" s="69" t="s">
        <v>3</v>
      </c>
      <c r="G9" s="1"/>
    </row>
    <row r="10" spans="1:7" x14ac:dyDescent="0.25">
      <c r="A10" s="1"/>
      <c r="B10" s="64" t="s">
        <v>137</v>
      </c>
      <c r="C10" s="69"/>
      <c r="D10" s="69"/>
      <c r="E10" s="7">
        <f>'Fane 3. Omkostninger i ØR2022'!E10*(1+'Fane 13. Nøgletal'!C13)*(1-'Fane 13. Nøgletal'!C20)</f>
        <v>364513.64588774368</v>
      </c>
      <c r="F10" s="69" t="s">
        <v>3</v>
      </c>
      <c r="G10" s="1"/>
    </row>
    <row r="11" spans="1:7" x14ac:dyDescent="0.25">
      <c r="A11" s="1"/>
      <c r="B11" s="32" t="s">
        <v>89</v>
      </c>
      <c r="C11" s="69"/>
      <c r="D11" s="69"/>
      <c r="E11" s="7">
        <f>('Fane 3. Omkostninger i ØR2022'!E11+'Fane 3. Omkostninger i ØR2022'!E12)*(1+'Fane 13. Nøgletal'!C14)*(1-'Fane 13. Nøgletal'!C20)</f>
        <v>349736.26754929184</v>
      </c>
      <c r="F11" s="69" t="s">
        <v>3</v>
      </c>
      <c r="G11" s="1"/>
    </row>
    <row r="12" spans="1:7" ht="17.100000000000001" customHeight="1" x14ac:dyDescent="0.25">
      <c r="A12" s="1"/>
      <c r="B12" s="24" t="s">
        <v>61</v>
      </c>
      <c r="C12" s="69"/>
      <c r="D12" s="69"/>
      <c r="E12" s="7">
        <f>'Fane 9.1. Varige tillæg'!C13+'Fane 9.1. Varige tillæg'!E13</f>
        <v>468451.58880000003</v>
      </c>
      <c r="F12" s="69" t="s">
        <v>3</v>
      </c>
      <c r="G12" s="1"/>
    </row>
    <row r="13" spans="1:7" ht="17.100000000000001" customHeight="1" x14ac:dyDescent="0.25">
      <c r="A13" s="1"/>
      <c r="B13" s="24" t="s">
        <v>62</v>
      </c>
      <c r="C13" s="69"/>
      <c r="D13" s="69"/>
      <c r="E13" s="8">
        <f>-('Fane 12. Bortfald'!C13+'Fane 12. Bortfald'!E13)</f>
        <v>0</v>
      </c>
      <c r="F13" s="69" t="s">
        <v>3</v>
      </c>
      <c r="G13" s="1"/>
    </row>
    <row r="14" spans="1:7" ht="17.100000000000001" customHeight="1" x14ac:dyDescent="0.25">
      <c r="A14" s="1"/>
      <c r="B14" s="24" t="s">
        <v>64</v>
      </c>
      <c r="C14" s="69"/>
      <c r="D14" s="69"/>
      <c r="E14" s="8">
        <f>'Fane 11. Tilknyttet virksomhed'!C12+'Fane 11. Tilknyttet virksomhed'!E12</f>
        <v>0</v>
      </c>
      <c r="F14" s="69" t="s">
        <v>3</v>
      </c>
      <c r="G14" s="1"/>
    </row>
    <row r="15" spans="1:7" ht="17.100000000000001" customHeight="1" x14ac:dyDescent="0.25">
      <c r="A15" s="1"/>
      <c r="B15" s="24" t="s">
        <v>17</v>
      </c>
      <c r="C15" s="69"/>
      <c r="D15" s="69"/>
      <c r="E15" s="8">
        <f>(E9-SUM(E10:E11))*'Fane 13. Nøgletal'!C13+'Fane 2.1. Økonomisk ramme 2023'!E10*'Fane 13. Nøgletal'!C13+'Fane 2.1. Økonomisk ramme 2023'!E11*'Fane 13. Nøgletal'!C14+SUM('Fane 2.1. Økonomisk ramme 2023'!E12:E14)*'Fane 13. Nøgletal'!C15</f>
        <v>394385.54587309941</v>
      </c>
      <c r="F15" s="69" t="s">
        <v>3</v>
      </c>
      <c r="G15" s="1"/>
    </row>
    <row r="16" spans="1:7" ht="17.100000000000001" customHeight="1" x14ac:dyDescent="0.25">
      <c r="A16" s="1"/>
      <c r="B16" s="24" t="s">
        <v>54</v>
      </c>
      <c r="C16" s="69"/>
      <c r="D16" s="69"/>
      <c r="E16" s="8">
        <f>-SUM(E9,E12:E15)*'Fane 13. Nøgletal'!C20</f>
        <v>-505570.35190531204</v>
      </c>
      <c r="F16" s="69" t="s">
        <v>3</v>
      </c>
      <c r="G16" s="1"/>
    </row>
    <row r="17" spans="1:7" ht="15" customHeight="1" x14ac:dyDescent="0.25">
      <c r="A17" s="1"/>
      <c r="B17" s="73" t="s">
        <v>19</v>
      </c>
      <c r="C17" s="37"/>
      <c r="D17" s="37"/>
      <c r="E17" s="9">
        <f>SUM(E9,E12:E16)</f>
        <v>29233862.113113042</v>
      </c>
      <c r="F17" s="28" t="s">
        <v>3</v>
      </c>
      <c r="G17" s="1"/>
    </row>
    <row r="18" spans="1:7" ht="15" customHeight="1" x14ac:dyDescent="0.25">
      <c r="A18" s="1"/>
      <c r="B18" s="27" t="s">
        <v>10</v>
      </c>
      <c r="C18" s="27"/>
      <c r="D18" s="27"/>
      <c r="E18" s="27"/>
      <c r="F18" s="27"/>
      <c r="G18" s="1"/>
    </row>
    <row r="19" spans="1:7" ht="15" customHeight="1" x14ac:dyDescent="0.25">
      <c r="A19" s="1"/>
      <c r="B19" s="28" t="s">
        <v>10</v>
      </c>
      <c r="C19" s="28"/>
      <c r="D19" s="28"/>
      <c r="E19" s="9">
        <f>'Fane 4. Ikke-påvirkelige omk.'!C14+'Fane 4. Ikke-påvirkelige omk.'!C18+'Fane 4. Ikke-påvirkelige omk.'!C26</f>
        <v>486666.38355552003</v>
      </c>
      <c r="F19" s="28" t="s">
        <v>3</v>
      </c>
      <c r="G19" s="1"/>
    </row>
    <row r="20" spans="1:7" ht="15" customHeight="1" x14ac:dyDescent="0.25">
      <c r="A20" s="1"/>
      <c r="B20" s="27" t="s">
        <v>39</v>
      </c>
      <c r="C20" s="27"/>
      <c r="D20" s="27"/>
      <c r="E20" s="27"/>
      <c r="F20" s="27"/>
      <c r="G20" s="1"/>
    </row>
    <row r="21" spans="1:7" ht="15" customHeight="1" x14ac:dyDescent="0.25">
      <c r="A21" s="1"/>
      <c r="B21" s="73" t="s">
        <v>39</v>
      </c>
      <c r="C21" s="37"/>
      <c r="D21" s="37"/>
      <c r="E21" s="9">
        <f>'Fane 10. Periodevise driftsomk.'!E12</f>
        <v>0</v>
      </c>
      <c r="F21" s="28" t="s">
        <v>3</v>
      </c>
      <c r="G21" s="1"/>
    </row>
    <row r="22" spans="1:7" ht="15" customHeight="1" x14ac:dyDescent="0.25">
      <c r="A22" s="1"/>
      <c r="B22" s="27" t="s">
        <v>38</v>
      </c>
      <c r="C22" s="27"/>
      <c r="D22" s="27"/>
      <c r="E22" s="27"/>
      <c r="F22" s="27"/>
      <c r="G22" s="1"/>
    </row>
    <row r="23" spans="1:7" ht="15" customHeight="1" x14ac:dyDescent="0.25">
      <c r="A23" s="1"/>
      <c r="B23" s="24" t="s">
        <v>34</v>
      </c>
      <c r="C23" s="69"/>
      <c r="D23" s="69"/>
      <c r="E23" s="8">
        <f>'Fane 9.2. Engangstillæg'!C13</f>
        <v>0</v>
      </c>
      <c r="F23" s="69" t="s">
        <v>3</v>
      </c>
      <c r="G23" s="1"/>
    </row>
    <row r="24" spans="1:7" x14ac:dyDescent="0.25">
      <c r="A24" s="1"/>
      <c r="B24" s="24" t="s">
        <v>35</v>
      </c>
      <c r="C24" s="69"/>
      <c r="D24" s="69"/>
      <c r="E24" s="8">
        <f>'Fane 9.2. Engangstillæg'!E13</f>
        <v>0</v>
      </c>
      <c r="F24" s="69" t="s">
        <v>3</v>
      </c>
      <c r="G24" s="1"/>
    </row>
    <row r="25" spans="1:7" x14ac:dyDescent="0.25">
      <c r="A25" s="1"/>
      <c r="B25" s="24" t="s">
        <v>141</v>
      </c>
      <c r="C25" s="69"/>
      <c r="D25" s="69"/>
      <c r="E25" s="8">
        <f>-SUM(E23:E24)*'Fane 13. Nøgletal'!C20</f>
        <v>0</v>
      </c>
      <c r="F25" s="69" t="s">
        <v>3</v>
      </c>
      <c r="G25" s="1"/>
    </row>
    <row r="26" spans="1:7" ht="15" customHeight="1" x14ac:dyDescent="0.25">
      <c r="A26" s="1"/>
      <c r="B26" s="73" t="s">
        <v>40</v>
      </c>
      <c r="C26" s="37"/>
      <c r="D26" s="37"/>
      <c r="E26" s="9">
        <f>SUM(E23:E25)</f>
        <v>0</v>
      </c>
      <c r="F26" s="28" t="s">
        <v>3</v>
      </c>
      <c r="G26" s="1"/>
    </row>
    <row r="27" spans="1:7" x14ac:dyDescent="0.25">
      <c r="A27" s="1"/>
      <c r="B27" s="27" t="s">
        <v>73</v>
      </c>
      <c r="C27" s="22"/>
      <c r="D27" s="81"/>
      <c r="E27" s="27"/>
      <c r="F27" s="27"/>
      <c r="G27" s="1"/>
    </row>
    <row r="28" spans="1:7" x14ac:dyDescent="0.25">
      <c r="A28" s="1"/>
      <c r="B28" s="28" t="s">
        <v>28</v>
      </c>
      <c r="C28" s="28"/>
      <c r="D28" s="28"/>
      <c r="E28" s="9">
        <f>'Fane 3. Omkostninger i ØR2022'!E26</f>
        <v>100362.97078333334</v>
      </c>
      <c r="F28" s="28" t="s">
        <v>3</v>
      </c>
      <c r="G28" s="1"/>
    </row>
    <row r="29" spans="1:7" x14ac:dyDescent="0.25">
      <c r="A29" s="1"/>
      <c r="B29" s="73" t="s">
        <v>72</v>
      </c>
      <c r="C29" s="38"/>
      <c r="D29" s="38"/>
      <c r="E29" s="9">
        <v>0</v>
      </c>
      <c r="F29" s="28" t="s">
        <v>3</v>
      </c>
      <c r="G29" s="1"/>
    </row>
    <row r="30" spans="1:7" x14ac:dyDescent="0.25">
      <c r="A30" s="1"/>
      <c r="B30" s="27" t="s">
        <v>78</v>
      </c>
      <c r="C30" s="27"/>
      <c r="D30" s="27"/>
      <c r="E30" s="27"/>
      <c r="F30" s="27"/>
      <c r="G30" s="1"/>
    </row>
    <row r="31" spans="1:7" x14ac:dyDescent="0.25">
      <c r="A31" s="1"/>
      <c r="B31" s="28" t="s">
        <v>103</v>
      </c>
      <c r="C31" s="28"/>
      <c r="D31" s="28"/>
      <c r="E31" s="9">
        <f>'Fane 6. Korrektion af ØR2021'!E17</f>
        <v>0</v>
      </c>
      <c r="F31" s="28" t="s">
        <v>3</v>
      </c>
      <c r="G31" s="1"/>
    </row>
    <row r="32" spans="1:7" x14ac:dyDescent="0.25">
      <c r="A32" s="1"/>
      <c r="B32" s="27" t="s">
        <v>92</v>
      </c>
      <c r="C32" s="27" t="s">
        <v>92</v>
      </c>
      <c r="D32" s="27" t="s">
        <v>92</v>
      </c>
      <c r="E32" s="27"/>
      <c r="F32" s="27"/>
      <c r="G32" s="1"/>
    </row>
    <row r="33" spans="1:7" x14ac:dyDescent="0.25">
      <c r="A33" s="1"/>
      <c r="B33" s="73" t="s">
        <v>93</v>
      </c>
      <c r="C33" s="9"/>
      <c r="D33" s="28" t="s">
        <v>3</v>
      </c>
      <c r="E33" s="9">
        <f>'Fane 7. Skattesagen'!G12</f>
        <v>0</v>
      </c>
      <c r="F33" s="28" t="s">
        <v>3</v>
      </c>
      <c r="G33" s="1"/>
    </row>
    <row r="34" spans="1:7" x14ac:dyDescent="0.25">
      <c r="A34" s="1"/>
      <c r="B34" s="27" t="s">
        <v>42</v>
      </c>
      <c r="C34" s="27"/>
      <c r="D34" s="27"/>
      <c r="E34" s="10">
        <f>SUM(E17,E19,E21,E26,E28,E29,E31,E33)</f>
        <v>29820891.467451897</v>
      </c>
      <c r="F34" s="11" t="s">
        <v>3</v>
      </c>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gn1JFepiKZ1t2KoMKCyKQ5IZZxMsaTtvqQHQ+QbiEtvzIXmbu3P5r4xf6O9L47+/cAzYM+TpuUlG+p+soJ7Qvg==" saltValue="+UhPSk+zXHbAXq1eYS1QoA==" spinCount="100000" sheet="1" objects="1" scenarios="1"/>
  <customSheetViews>
    <customSheetView guid="{8BCA264E-FE70-4497-B667-7DCB6C5E8A89}" showPageBreaks="1" showGridLines="0" hiddenColumns="1" view="pageLayout" topLeftCell="A3">
      <selection activeCell="E13" sqref="E13"/>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40625" defaultRowHeight="15" x14ac:dyDescent="0.25"/>
  <cols>
    <col min="1" max="1" width="8" style="2" customWidth="1"/>
    <col min="2" max="2" width="56.28515625" style="2" customWidth="1"/>
    <col min="3" max="3" width="0" style="2" hidden="1" customWidth="1"/>
    <col min="4" max="4" width="27" style="2" hidden="1" customWidth="1"/>
    <col min="5" max="5" width="10.42578125" style="2" customWidth="1"/>
    <col min="6" max="6" width="3.28515625" style="2" customWidth="1"/>
    <col min="7" max="7" width="8"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105</v>
      </c>
      <c r="C3" s="100"/>
      <c r="D3" s="100"/>
      <c r="E3" s="100"/>
      <c r="F3" s="100"/>
      <c r="G3" s="1"/>
    </row>
    <row r="4" spans="1:7" ht="15" customHeight="1" x14ac:dyDescent="0.25">
      <c r="A4" s="1"/>
      <c r="B4" s="100"/>
      <c r="C4" s="100"/>
      <c r="D4" s="100"/>
      <c r="E4" s="100"/>
      <c r="F4" s="100"/>
      <c r="G4" s="1"/>
    </row>
    <row r="5" spans="1:7" x14ac:dyDescent="0.25">
      <c r="A5" s="1"/>
      <c r="B5" s="101" t="s">
        <v>91</v>
      </c>
      <c r="C5" s="101"/>
      <c r="D5" s="101"/>
      <c r="E5" s="101"/>
      <c r="F5" s="101"/>
      <c r="G5" s="1"/>
    </row>
    <row r="6" spans="1:7" x14ac:dyDescent="0.25">
      <c r="A6" s="1"/>
      <c r="B6" s="1"/>
      <c r="C6" s="1"/>
      <c r="D6" s="1"/>
      <c r="E6" s="1"/>
      <c r="F6" s="1"/>
      <c r="G6" s="1"/>
    </row>
    <row r="7" spans="1:7" x14ac:dyDescent="0.25">
      <c r="A7" s="1"/>
      <c r="B7" s="1"/>
      <c r="C7" s="1"/>
      <c r="D7" s="1"/>
      <c r="E7" s="1"/>
      <c r="F7" s="1"/>
      <c r="G7" s="1"/>
    </row>
    <row r="8" spans="1:7" x14ac:dyDescent="0.25">
      <c r="A8" s="1"/>
      <c r="B8" s="27" t="s">
        <v>11</v>
      </c>
      <c r="C8" s="27"/>
      <c r="D8" s="27"/>
      <c r="E8" s="27"/>
      <c r="F8" s="27"/>
      <c r="G8" s="1"/>
    </row>
    <row r="9" spans="1:7" ht="15" customHeight="1" x14ac:dyDescent="0.25">
      <c r="A9" s="1"/>
      <c r="B9" s="69" t="s">
        <v>106</v>
      </c>
      <c r="C9" s="69"/>
      <c r="D9" s="69"/>
      <c r="E9" s="7">
        <f>'Fane 2.1. Økonomisk ramme 2023'!E17</f>
        <v>29233862.113113042</v>
      </c>
      <c r="F9" s="69" t="s">
        <v>3</v>
      </c>
      <c r="G9" s="1"/>
    </row>
    <row r="10" spans="1:7" ht="15" customHeight="1" x14ac:dyDescent="0.25">
      <c r="A10" s="1"/>
      <c r="B10" s="64" t="s">
        <v>17</v>
      </c>
      <c r="C10" s="69"/>
      <c r="D10" s="69"/>
      <c r="E10" s="8">
        <f>SUM(E9:E9)*'Fane 13. Nøgletal'!C15</f>
        <v>1040725.4912268242</v>
      </c>
      <c r="F10" s="69" t="s">
        <v>3</v>
      </c>
      <c r="G10" s="1"/>
    </row>
    <row r="11" spans="1:7" ht="15" customHeight="1" x14ac:dyDescent="0.25">
      <c r="A11" s="1"/>
      <c r="B11" s="64" t="s">
        <v>54</v>
      </c>
      <c r="C11" s="69"/>
      <c r="D11" s="69"/>
      <c r="E11" s="8">
        <f>-SUM(E9,E10)*'Fane 13. Nøgletal'!C20</f>
        <v>-514667.98927377781</v>
      </c>
      <c r="F11" s="69" t="s">
        <v>3</v>
      </c>
      <c r="G11" s="1"/>
    </row>
    <row r="12" spans="1:7" ht="15" customHeight="1" x14ac:dyDescent="0.25">
      <c r="A12" s="1"/>
      <c r="B12" s="37" t="s">
        <v>19</v>
      </c>
      <c r="C12" s="37"/>
      <c r="D12" s="37"/>
      <c r="E12" s="9">
        <f>SUM(E9:E11)</f>
        <v>29759919.615066089</v>
      </c>
      <c r="F12" s="28" t="s">
        <v>3</v>
      </c>
      <c r="G12" s="1"/>
    </row>
    <row r="13" spans="1:7" x14ac:dyDescent="0.25">
      <c r="A13" s="1"/>
      <c r="B13" s="27" t="s">
        <v>10</v>
      </c>
      <c r="C13" s="27"/>
      <c r="D13" s="27"/>
      <c r="E13" s="27"/>
      <c r="F13" s="27"/>
      <c r="G13" s="1"/>
    </row>
    <row r="14" spans="1:7" ht="15" customHeight="1" x14ac:dyDescent="0.25">
      <c r="A14" s="1"/>
      <c r="B14" s="28" t="s">
        <v>10</v>
      </c>
      <c r="C14" s="28"/>
      <c r="D14" s="28"/>
      <c r="E14" s="9">
        <f>'Fane 4. Ikke-påvirkelige omk.'!C14*(1+'Fane 13. Nøgletal'!C15)+'Fane 4. Ikke-påvirkelige omk.'!C19+'Fane 4. Ikke-påvirkelige omk.'!C27</f>
        <v>503991.70681009657</v>
      </c>
      <c r="F14" s="28" t="s">
        <v>3</v>
      </c>
      <c r="G14" s="1"/>
    </row>
    <row r="15" spans="1:7" ht="15" customHeight="1" x14ac:dyDescent="0.25">
      <c r="A15" s="1"/>
      <c r="B15" s="27" t="s">
        <v>39</v>
      </c>
      <c r="C15" s="27"/>
      <c r="D15" s="27"/>
      <c r="E15" s="27"/>
      <c r="F15" s="27"/>
      <c r="G15" s="1"/>
    </row>
    <row r="16" spans="1:7" ht="15" customHeight="1" x14ac:dyDescent="0.25">
      <c r="A16" s="1"/>
      <c r="B16" s="73" t="s">
        <v>39</v>
      </c>
      <c r="C16" s="37"/>
      <c r="D16" s="37"/>
      <c r="E16" s="9">
        <f>'Fane 10. Periodevise driftsomk.'!E17</f>
        <v>0</v>
      </c>
      <c r="F16" s="28" t="s">
        <v>3</v>
      </c>
      <c r="G16" s="1"/>
    </row>
    <row r="17" spans="1:7" x14ac:dyDescent="0.25">
      <c r="A17" s="1"/>
      <c r="B17" s="27" t="s">
        <v>73</v>
      </c>
      <c r="C17" s="22"/>
      <c r="D17" s="81"/>
      <c r="E17" s="27"/>
      <c r="F17" s="27"/>
      <c r="G17" s="1"/>
    </row>
    <row r="18" spans="1:7" x14ac:dyDescent="0.25">
      <c r="A18" s="1"/>
      <c r="B18" s="73" t="s">
        <v>72</v>
      </c>
      <c r="C18" s="38">
        <f>'Fane 5. Kontrol af ØR2021'!C32</f>
        <v>0</v>
      </c>
      <c r="D18" s="38"/>
      <c r="E18" s="9">
        <f>'Fane 5. Kontrol af ØR2021'!E32</f>
        <v>0</v>
      </c>
      <c r="F18" s="28" t="s">
        <v>3</v>
      </c>
      <c r="G18" s="1"/>
    </row>
    <row r="19" spans="1:7" x14ac:dyDescent="0.25">
      <c r="A19" s="1"/>
      <c r="B19" s="27" t="s">
        <v>92</v>
      </c>
      <c r="C19" s="27" t="s">
        <v>92</v>
      </c>
      <c r="D19" s="27" t="s">
        <v>92</v>
      </c>
      <c r="E19" s="27"/>
      <c r="F19" s="27"/>
      <c r="G19" s="1"/>
    </row>
    <row r="20" spans="1:7" x14ac:dyDescent="0.25">
      <c r="A20" s="1"/>
      <c r="B20" s="73" t="s">
        <v>93</v>
      </c>
      <c r="C20" s="9"/>
      <c r="D20" s="28" t="s">
        <v>3</v>
      </c>
      <c r="E20" s="9">
        <f>'Fane 7. Skattesagen'!G13</f>
        <v>0</v>
      </c>
      <c r="F20" s="28" t="s">
        <v>3</v>
      </c>
      <c r="G20" s="1"/>
    </row>
    <row r="21" spans="1:7" x14ac:dyDescent="0.25">
      <c r="A21" s="1"/>
      <c r="B21" s="27" t="s">
        <v>65</v>
      </c>
      <c r="C21" s="27"/>
      <c r="D21" s="27"/>
      <c r="E21" s="10">
        <f>SUM(E12,E14,E16,E18,E20)</f>
        <v>30263911.321876187</v>
      </c>
      <c r="F21" s="11" t="s">
        <v>3</v>
      </c>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LApAUuVz9Q1mmDIMWCz4vmkGfNJAfuCAonG2wrPYpKCikUee17upNxMcwuA2+JV6dt0VKjLlu7w9u3B+X5RO7w==" saltValue="eXD2NS00e2h715SVjRVcUA==" spinCount="100000" sheet="1" objects="1" scenarios="1"/>
  <customSheetViews>
    <customSheetView guid="{8BCA264E-FE70-4497-B667-7DCB6C5E8A89}" showPageBreaks="1" showGridLines="0" hiddenColumns="1" view="pageLayout">
      <selection activeCell="E17" sqref="E17"/>
      <pageMargins left="0.7" right="0.7" top="0.75" bottom="0.75" header="0.3" footer="0.3"/>
      <pageSetup paperSize="9" orientation="portrait" r:id="rId1"/>
    </customSheetView>
  </customSheetViews>
  <mergeCells count="2">
    <mergeCell ref="B3:F4"/>
    <mergeCell ref="B5:F5"/>
  </mergeCells>
  <pageMargins left="0.7" right="0.81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4"/>
  <sheetViews>
    <sheetView showGridLines="0" view="pageLayout" zoomScaleNormal="100" workbookViewId="0"/>
  </sheetViews>
  <sheetFormatPr defaultColWidth="9.140625" defaultRowHeight="15" x14ac:dyDescent="0.25"/>
  <cols>
    <col min="1" max="1" width="5.140625" style="2" customWidth="1"/>
    <col min="2" max="2" width="54.42578125" style="2" customWidth="1"/>
    <col min="3" max="3" width="0" style="2" hidden="1" customWidth="1"/>
    <col min="4" max="4" width="27" style="2" hidden="1" customWidth="1"/>
    <col min="5" max="5" width="10.28515625" style="2" customWidth="1"/>
    <col min="6" max="6" width="3.28515625" style="2" customWidth="1"/>
    <col min="7" max="7" width="9.5703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107</v>
      </c>
      <c r="C3" s="100"/>
      <c r="D3" s="100"/>
      <c r="E3" s="100"/>
      <c r="F3" s="100"/>
      <c r="G3" s="1"/>
    </row>
    <row r="4" spans="1:7" ht="15" customHeight="1" x14ac:dyDescent="0.25">
      <c r="A4" s="1"/>
      <c r="B4" s="100"/>
      <c r="C4" s="100"/>
      <c r="D4" s="100"/>
      <c r="E4" s="100"/>
      <c r="F4" s="100"/>
      <c r="G4" s="1"/>
    </row>
    <row r="5" spans="1:7" x14ac:dyDescent="0.25">
      <c r="A5" s="1"/>
      <c r="B5" s="101" t="s">
        <v>91</v>
      </c>
      <c r="C5" s="101"/>
      <c r="D5" s="101"/>
      <c r="E5" s="101"/>
      <c r="F5" s="101"/>
      <c r="G5" s="1"/>
    </row>
    <row r="6" spans="1:7" x14ac:dyDescent="0.25">
      <c r="A6" s="1"/>
      <c r="B6" s="1"/>
      <c r="C6" s="1"/>
      <c r="D6" s="1"/>
      <c r="E6" s="1"/>
      <c r="F6" s="1"/>
      <c r="G6" s="1"/>
    </row>
    <row r="7" spans="1:7" x14ac:dyDescent="0.25">
      <c r="A7" s="1"/>
      <c r="B7" s="27" t="s">
        <v>11</v>
      </c>
      <c r="C7" s="27"/>
      <c r="D7" s="27"/>
      <c r="E7" s="27"/>
      <c r="F7" s="27"/>
      <c r="G7" s="1"/>
    </row>
    <row r="8" spans="1:7" ht="15" customHeight="1" x14ac:dyDescent="0.25">
      <c r="A8" s="1"/>
      <c r="B8" s="69" t="s">
        <v>80</v>
      </c>
      <c r="C8" s="69"/>
      <c r="D8" s="69"/>
      <c r="E8" s="7">
        <f>'Fane 2.2. Økonomisk ramme 2024'!E12</f>
        <v>29759919.615066089</v>
      </c>
      <c r="F8" s="69" t="s">
        <v>3</v>
      </c>
      <c r="G8" s="1"/>
    </row>
    <row r="9" spans="1:7" ht="15" customHeight="1" x14ac:dyDescent="0.25">
      <c r="A9" s="1"/>
      <c r="B9" s="64" t="s">
        <v>17</v>
      </c>
      <c r="C9" s="69"/>
      <c r="D9" s="69"/>
      <c r="E9" s="8">
        <f>SUM(E8:E8)*('Fane 13. Nøgletal'!C15)</f>
        <v>1059453.1382963527</v>
      </c>
      <c r="F9" s="69" t="s">
        <v>3</v>
      </c>
      <c r="G9" s="1"/>
    </row>
    <row r="10" spans="1:7" x14ac:dyDescent="0.25">
      <c r="A10" s="1"/>
      <c r="B10" s="64" t="s">
        <v>54</v>
      </c>
      <c r="C10" s="69"/>
      <c r="D10" s="69"/>
      <c r="E10" s="8">
        <f>-SUM(E8:E9)*'Fane 13. Nøgletal'!C20</f>
        <v>-523929.33680716151</v>
      </c>
      <c r="F10" s="69" t="s">
        <v>3</v>
      </c>
      <c r="G10" s="1"/>
    </row>
    <row r="11" spans="1:7" x14ac:dyDescent="0.25">
      <c r="A11" s="1"/>
      <c r="B11" s="37" t="s">
        <v>19</v>
      </c>
      <c r="C11" s="37"/>
      <c r="D11" s="37"/>
      <c r="E11" s="9">
        <f>SUM(E8:E10)</f>
        <v>30295443.416555278</v>
      </c>
      <c r="F11" s="28" t="s">
        <v>3</v>
      </c>
      <c r="G11" s="1"/>
    </row>
    <row r="12" spans="1:7" ht="15" customHeight="1" x14ac:dyDescent="0.25">
      <c r="A12" s="1"/>
      <c r="B12" s="27" t="s">
        <v>10</v>
      </c>
      <c r="C12" s="27"/>
      <c r="D12" s="27"/>
      <c r="E12" s="27"/>
      <c r="F12" s="27"/>
      <c r="G12" s="1"/>
    </row>
    <row r="13" spans="1:7" ht="15" customHeight="1" x14ac:dyDescent="0.25">
      <c r="A13" s="1"/>
      <c r="B13" s="28" t="s">
        <v>10</v>
      </c>
      <c r="C13" s="28"/>
      <c r="D13" s="28"/>
      <c r="E13" s="9">
        <f>'Fane 4. Ikke-påvirkelige omk.'!C14*(1+'Fane 13. Nøgletal'!C15)^2+'Fane 4. Ikke-påvirkelige omk.'!C20+'Fane 4. Ikke-påvirkelige omk.'!C28</f>
        <v>521933.81157253601</v>
      </c>
      <c r="F13" s="28" t="s">
        <v>3</v>
      </c>
      <c r="G13" s="1"/>
    </row>
    <row r="14" spans="1:7" ht="15" customHeight="1" x14ac:dyDescent="0.25">
      <c r="A14" s="1"/>
      <c r="B14" s="27" t="s">
        <v>39</v>
      </c>
      <c r="C14" s="27"/>
      <c r="D14" s="27"/>
      <c r="E14" s="27"/>
      <c r="F14" s="27"/>
      <c r="G14" s="1"/>
    </row>
    <row r="15" spans="1:7" ht="15" customHeight="1" x14ac:dyDescent="0.25">
      <c r="A15" s="1"/>
      <c r="B15" s="73" t="s">
        <v>39</v>
      </c>
      <c r="C15" s="37"/>
      <c r="D15" s="37"/>
      <c r="E15" s="9">
        <f>'Fane 10. Periodevise driftsomk.'!E22</f>
        <v>0</v>
      </c>
      <c r="F15" s="28" t="s">
        <v>3</v>
      </c>
      <c r="G15" s="1"/>
    </row>
    <row r="16" spans="1:7" x14ac:dyDescent="0.25">
      <c r="A16" s="1"/>
      <c r="B16" s="27" t="s">
        <v>73</v>
      </c>
      <c r="C16" s="27"/>
      <c r="D16" s="27"/>
      <c r="E16" s="27"/>
      <c r="F16" s="27"/>
      <c r="G16" s="1"/>
    </row>
    <row r="17" spans="1:7" x14ac:dyDescent="0.25">
      <c r="A17" s="1"/>
      <c r="B17" s="28" t="s">
        <v>72</v>
      </c>
      <c r="C17" s="39">
        <f>'Fane 5. Kontrol af ØR2021'!C32</f>
        <v>0</v>
      </c>
      <c r="D17" s="39"/>
      <c r="E17" s="9">
        <f>'Fane 5. Kontrol af ØR2021'!E32</f>
        <v>0</v>
      </c>
      <c r="F17" s="28" t="s">
        <v>3</v>
      </c>
      <c r="G17" s="1"/>
    </row>
    <row r="18" spans="1:7" x14ac:dyDescent="0.25">
      <c r="A18" s="1"/>
      <c r="B18" s="27" t="s">
        <v>92</v>
      </c>
      <c r="C18" s="27" t="s">
        <v>92</v>
      </c>
      <c r="D18" s="27" t="s">
        <v>92</v>
      </c>
      <c r="E18" s="27"/>
      <c r="F18" s="27"/>
      <c r="G18" s="1"/>
    </row>
    <row r="19" spans="1:7" x14ac:dyDescent="0.25">
      <c r="A19" s="1"/>
      <c r="B19" s="73" t="s">
        <v>93</v>
      </c>
      <c r="C19" s="9"/>
      <c r="D19" s="28" t="s">
        <v>3</v>
      </c>
      <c r="E19" s="9">
        <f>'Fane 7. Skattesagen'!G14</f>
        <v>0</v>
      </c>
      <c r="F19" s="28" t="s">
        <v>3</v>
      </c>
      <c r="G19" s="1"/>
    </row>
    <row r="20" spans="1:7" x14ac:dyDescent="0.25">
      <c r="A20" s="1"/>
      <c r="B20" s="27" t="s">
        <v>81</v>
      </c>
      <c r="C20" s="27"/>
      <c r="D20" s="27"/>
      <c r="E20" s="10">
        <f>SUM(E11,E13,E15,E17,E19)</f>
        <v>30817377.228127815</v>
      </c>
      <c r="F20" s="11"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lhVshHfzscAb6KKUW0Typ8wFtkVPMj6gwBAp/lrLfK2Q3zuV/ohdgj6pvZbJENK8PtJnTAJQQZ3/U/gImlHaWA==" saltValue="GYWq8km5hO5GWurttqBI4A==" spinCount="100000" sheet="1" objects="1" scenarios="1"/>
  <customSheetViews>
    <customSheetView guid="{8BCA264E-FE70-4497-B667-7DCB6C5E8A89}" showPageBreaks="1" showGridLines="0" hiddenColumns="1" view="pageLayout">
      <selection activeCell="E11" sqref="E11"/>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40625" defaultRowHeight="15" x14ac:dyDescent="0.25"/>
  <cols>
    <col min="1" max="1" width="5.140625" style="2" customWidth="1"/>
    <col min="2" max="2" width="60" style="2" customWidth="1"/>
    <col min="3" max="3" width="0" style="2" hidden="1" customWidth="1"/>
    <col min="4" max="4" width="27" style="2" hidden="1" customWidth="1"/>
    <col min="5" max="5" width="10.28515625" style="2" customWidth="1"/>
    <col min="6" max="6" width="3.28515625" style="2" customWidth="1"/>
    <col min="7" max="7" width="8.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109</v>
      </c>
      <c r="C3" s="100"/>
      <c r="D3" s="100"/>
      <c r="E3" s="100"/>
      <c r="F3" s="100"/>
      <c r="G3" s="1"/>
    </row>
    <row r="4" spans="1:7" ht="15" customHeight="1" x14ac:dyDescent="0.25">
      <c r="A4" s="1"/>
      <c r="B4" s="100"/>
      <c r="C4" s="100"/>
      <c r="D4" s="100"/>
      <c r="E4" s="100"/>
      <c r="F4" s="100"/>
      <c r="G4" s="1"/>
    </row>
    <row r="5" spans="1:7" x14ac:dyDescent="0.25">
      <c r="A5" s="1"/>
      <c r="B5" s="101" t="s">
        <v>20</v>
      </c>
      <c r="C5" s="101"/>
      <c r="D5" s="101"/>
      <c r="E5" s="101"/>
      <c r="F5" s="101"/>
      <c r="G5" s="1"/>
    </row>
    <row r="6" spans="1:7" x14ac:dyDescent="0.25">
      <c r="A6" s="1"/>
      <c r="B6" s="1"/>
      <c r="C6" s="1"/>
      <c r="D6" s="1"/>
      <c r="E6" s="1"/>
      <c r="F6" s="1"/>
      <c r="G6" s="1"/>
    </row>
    <row r="7" spans="1:7" x14ac:dyDescent="0.25">
      <c r="A7" s="1"/>
      <c r="B7" s="27" t="s">
        <v>11</v>
      </c>
      <c r="C7" s="27"/>
      <c r="D7" s="27"/>
      <c r="E7" s="27"/>
      <c r="F7" s="27"/>
      <c r="G7" s="1"/>
    </row>
    <row r="8" spans="1:7" ht="15" customHeight="1" x14ac:dyDescent="0.25">
      <c r="A8" s="1"/>
      <c r="B8" s="69" t="s">
        <v>108</v>
      </c>
      <c r="C8" s="69"/>
      <c r="D8" s="69"/>
      <c r="E8" s="7">
        <f>'Fane 2.3. Økonomisk ramme 2025'!E11</f>
        <v>30295443.416555278</v>
      </c>
      <c r="F8" s="69" t="s">
        <v>3</v>
      </c>
      <c r="G8" s="1"/>
    </row>
    <row r="9" spans="1:7" ht="15" customHeight="1" x14ac:dyDescent="0.25">
      <c r="A9" s="1"/>
      <c r="B9" s="64" t="s">
        <v>17</v>
      </c>
      <c r="C9" s="69"/>
      <c r="D9" s="69"/>
      <c r="E9" s="8">
        <f>SUM(E8:E8)*'Fane 13. Nøgletal'!C15</f>
        <v>1078517.7856293679</v>
      </c>
      <c r="F9" s="69" t="s">
        <v>3</v>
      </c>
      <c r="G9" s="1"/>
    </row>
    <row r="10" spans="1:7" ht="15" customHeight="1" x14ac:dyDescent="0.25">
      <c r="A10" s="1"/>
      <c r="B10" s="64" t="s">
        <v>54</v>
      </c>
      <c r="C10" s="69"/>
      <c r="D10" s="69"/>
      <c r="E10" s="8">
        <f>-SUM(E8:E9)*'Fane 13. Nøgletal'!C20</f>
        <v>-533357.34043713904</v>
      </c>
      <c r="F10" s="69" t="s">
        <v>3</v>
      </c>
      <c r="G10" s="1"/>
    </row>
    <row r="11" spans="1:7" x14ac:dyDescent="0.25">
      <c r="A11" s="1"/>
      <c r="B11" s="37" t="s">
        <v>19</v>
      </c>
      <c r="C11" s="37"/>
      <c r="D11" s="37"/>
      <c r="E11" s="9">
        <f>SUM(E8:E10)</f>
        <v>30840603.861747507</v>
      </c>
      <c r="F11" s="28" t="s">
        <v>3</v>
      </c>
      <c r="G11" s="1"/>
    </row>
    <row r="12" spans="1:7" x14ac:dyDescent="0.25">
      <c r="A12" s="1"/>
      <c r="B12" s="27" t="s">
        <v>10</v>
      </c>
      <c r="C12" s="27"/>
      <c r="D12" s="27"/>
      <c r="E12" s="27"/>
      <c r="F12" s="27"/>
      <c r="G12" s="1"/>
    </row>
    <row r="13" spans="1:7" ht="15" customHeight="1" x14ac:dyDescent="0.25">
      <c r="A13" s="1"/>
      <c r="B13" s="28" t="s">
        <v>10</v>
      </c>
      <c r="C13" s="28"/>
      <c r="D13" s="28"/>
      <c r="E13" s="9">
        <f>'Fane 4. Ikke-påvirkelige omk.'!C14*(1+'Fane 13. Nøgletal'!C15)^3+'Fane 4. Ikke-påvirkelige omk.'!C21+'Fane 4. Ikke-påvirkelige omk.'!C29</f>
        <v>540514.65526451834</v>
      </c>
      <c r="F13" s="28" t="s">
        <v>3</v>
      </c>
      <c r="G13" s="1"/>
    </row>
    <row r="14" spans="1:7" ht="15" customHeight="1" x14ac:dyDescent="0.25">
      <c r="A14" s="1"/>
      <c r="B14" s="27" t="s">
        <v>39</v>
      </c>
      <c r="C14" s="27"/>
      <c r="D14" s="27"/>
      <c r="E14" s="27"/>
      <c r="F14" s="27"/>
      <c r="G14" s="1"/>
    </row>
    <row r="15" spans="1:7" ht="15" customHeight="1" x14ac:dyDescent="0.25">
      <c r="A15" s="1"/>
      <c r="B15" s="73" t="s">
        <v>39</v>
      </c>
      <c r="C15" s="37"/>
      <c r="D15" s="37"/>
      <c r="E15" s="9">
        <f>'Fane 10. Periodevise driftsomk.'!E27</f>
        <v>0</v>
      </c>
      <c r="F15" s="28" t="s">
        <v>3</v>
      </c>
      <c r="G15" s="1"/>
    </row>
    <row r="16" spans="1:7" x14ac:dyDescent="0.25">
      <c r="A16" s="1"/>
      <c r="B16" s="27" t="s">
        <v>73</v>
      </c>
      <c r="C16" s="27"/>
      <c r="D16" s="27"/>
      <c r="E16" s="27"/>
      <c r="F16" s="27"/>
      <c r="G16" s="1"/>
    </row>
    <row r="17" spans="1:7" x14ac:dyDescent="0.25">
      <c r="A17" s="1"/>
      <c r="B17" s="28" t="s">
        <v>72</v>
      </c>
      <c r="C17" s="39">
        <f>'Fane 5. Kontrol af ØR2021'!C32</f>
        <v>0</v>
      </c>
      <c r="D17" s="39"/>
      <c r="E17" s="9">
        <f>'Fane 5. Kontrol af ØR2021'!E32</f>
        <v>0</v>
      </c>
      <c r="F17" s="28" t="s">
        <v>3</v>
      </c>
      <c r="G17" s="1"/>
    </row>
    <row r="18" spans="1:7" ht="15" customHeight="1" x14ac:dyDescent="0.25">
      <c r="A18" s="1"/>
      <c r="B18" s="27" t="s">
        <v>92</v>
      </c>
      <c r="C18" s="27" t="s">
        <v>92</v>
      </c>
      <c r="D18" s="27" t="s">
        <v>92</v>
      </c>
      <c r="E18" s="27"/>
      <c r="F18" s="27"/>
      <c r="G18" s="1"/>
    </row>
    <row r="19" spans="1:7" ht="15" customHeight="1" x14ac:dyDescent="0.25">
      <c r="A19" s="1"/>
      <c r="B19" s="73" t="s">
        <v>93</v>
      </c>
      <c r="C19" s="9"/>
      <c r="D19" s="28" t="s">
        <v>3</v>
      </c>
      <c r="E19" s="9">
        <f>'Fane 7. Skattesagen'!G15</f>
        <v>0</v>
      </c>
      <c r="F19" s="28" t="s">
        <v>3</v>
      </c>
      <c r="G19" s="1"/>
    </row>
    <row r="20" spans="1:7" x14ac:dyDescent="0.25">
      <c r="A20" s="1"/>
      <c r="B20" s="27" t="s">
        <v>110</v>
      </c>
      <c r="C20" s="27"/>
      <c r="D20" s="27"/>
      <c r="E20" s="10">
        <f>SUM(E11,E13,E15,E17,E19)</f>
        <v>31381118.517012026</v>
      </c>
      <c r="F20" s="11"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tmD65aACR191s7vQ5OjGSGA+u+aaAdB7919qV4LuNuuibMk0yxLH8hEery3QpcNxbxH3MbcTmI6xqtfsoW3GTg==" saltValue="Kid9jXzipdw+7V2UdE3qJQ==" spinCount="100000" sheet="1" objects="1" scenarios="1"/>
  <customSheetViews>
    <customSheetView guid="{8BCA264E-FE70-4497-B667-7DCB6C5E8A89}" showPageBreaks="1" showGridLines="0" hiddenColumns="1" view="pageLayout">
      <selection activeCell="E21" sqref="E21"/>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7"/>
  <sheetViews>
    <sheetView showGridLines="0" view="pageLayout" zoomScale="88" zoomScaleNormal="100" zoomScalePageLayoutView="88" workbookViewId="0"/>
  </sheetViews>
  <sheetFormatPr defaultColWidth="9" defaultRowHeight="15" x14ac:dyDescent="0.25"/>
  <cols>
    <col min="1" max="1" width="7.85546875" style="2" customWidth="1"/>
    <col min="2" max="3" width="9" style="2"/>
    <col min="4" max="4" width="39.85546875" style="2" customWidth="1"/>
    <col min="5" max="5" width="10.140625" style="2" customWidth="1"/>
    <col min="6" max="6" width="3.5703125" style="2" bestFit="1" customWidth="1"/>
    <col min="7" max="7" width="7.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111</v>
      </c>
      <c r="C3" s="114"/>
      <c r="D3" s="114"/>
      <c r="E3" s="114"/>
      <c r="F3" s="114"/>
      <c r="G3" s="1"/>
    </row>
    <row r="4" spans="1:7" ht="29.2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27" t="s">
        <v>112</v>
      </c>
      <c r="C8" s="27"/>
      <c r="D8" s="27"/>
      <c r="E8" s="27"/>
      <c r="F8" s="27"/>
      <c r="G8" s="1"/>
    </row>
    <row r="9" spans="1:7" x14ac:dyDescent="0.25">
      <c r="A9" s="1"/>
      <c r="B9" s="115" t="s">
        <v>22</v>
      </c>
      <c r="C9" s="115"/>
      <c r="D9" s="115"/>
      <c r="E9" s="7">
        <v>28642126.436426722</v>
      </c>
      <c r="F9" s="69" t="s">
        <v>3</v>
      </c>
      <c r="G9" s="1"/>
    </row>
    <row r="10" spans="1:7" x14ac:dyDescent="0.25">
      <c r="A10" s="1"/>
      <c r="B10" s="108" t="s">
        <v>137</v>
      </c>
      <c r="C10" s="109"/>
      <c r="D10" s="110"/>
      <c r="E10" s="7">
        <v>365986.52204706986</v>
      </c>
      <c r="F10" s="69" t="s">
        <v>3</v>
      </c>
      <c r="G10" s="1"/>
    </row>
    <row r="11" spans="1:7" x14ac:dyDescent="0.25">
      <c r="A11" s="1"/>
      <c r="B11" s="106" t="s">
        <v>61</v>
      </c>
      <c r="C11" s="106"/>
      <c r="D11" s="106"/>
      <c r="E11" s="7">
        <v>354614.37840000005</v>
      </c>
      <c r="F11" s="69" t="s">
        <v>3</v>
      </c>
      <c r="G11" s="1"/>
    </row>
    <row r="12" spans="1:7" x14ac:dyDescent="0.25">
      <c r="A12" s="1"/>
      <c r="B12" s="106" t="s">
        <v>62</v>
      </c>
      <c r="C12" s="106"/>
      <c r="D12" s="106"/>
      <c r="E12" s="8">
        <v>0</v>
      </c>
      <c r="F12" s="69" t="s">
        <v>3</v>
      </c>
      <c r="G12" s="1"/>
    </row>
    <row r="13" spans="1:7" x14ac:dyDescent="0.25">
      <c r="A13" s="1"/>
      <c r="B13" s="106" t="s">
        <v>64</v>
      </c>
      <c r="C13" s="106"/>
      <c r="D13" s="106"/>
      <c r="E13" s="8">
        <v>0</v>
      </c>
      <c r="F13" s="69" t="s">
        <v>3</v>
      </c>
      <c r="G13" s="1"/>
    </row>
    <row r="14" spans="1:7" x14ac:dyDescent="0.25">
      <c r="A14" s="1"/>
      <c r="B14" s="106" t="s">
        <v>17</v>
      </c>
      <c r="C14" s="106"/>
      <c r="D14" s="106"/>
      <c r="E14" s="8">
        <f>E9*'Fane 13. Nøgletal'!C13+SUM(E11:E13)*'Fane 13. Nøgletal'!C14</f>
        <v>379246.29640955274</v>
      </c>
      <c r="F14" s="69" t="s">
        <v>3</v>
      </c>
      <c r="G14" s="1"/>
    </row>
    <row r="15" spans="1:7" x14ac:dyDescent="0.25">
      <c r="A15" s="1"/>
      <c r="B15" s="106" t="s">
        <v>54</v>
      </c>
      <c r="C15" s="106"/>
      <c r="D15" s="106"/>
      <c r="E15" s="8">
        <f>-SUM(E9,E11:E14)*'Fane 13. Nøgletal'!C20</f>
        <v>-499391.78089101671</v>
      </c>
      <c r="F15" s="69" t="s">
        <v>3</v>
      </c>
      <c r="G15" s="1"/>
    </row>
    <row r="16" spans="1:7" x14ac:dyDescent="0.25">
      <c r="A16" s="1"/>
      <c r="B16" s="107" t="s">
        <v>19</v>
      </c>
      <c r="C16" s="107"/>
      <c r="D16" s="107"/>
      <c r="E16" s="41">
        <f>SUM(E9,E11:E15)</f>
        <v>28876595.330345258</v>
      </c>
      <c r="F16" s="42" t="s">
        <v>3</v>
      </c>
      <c r="G16" s="1"/>
    </row>
    <row r="17" spans="1:7" x14ac:dyDescent="0.25">
      <c r="A17" s="1"/>
      <c r="B17" s="27" t="s">
        <v>10</v>
      </c>
      <c r="C17" s="22"/>
      <c r="D17" s="22"/>
      <c r="E17" s="22"/>
      <c r="F17" s="81"/>
      <c r="G17" s="1"/>
    </row>
    <row r="18" spans="1:7" ht="14.25" customHeight="1" x14ac:dyDescent="0.25">
      <c r="A18" s="1"/>
      <c r="B18" s="103" t="s">
        <v>10</v>
      </c>
      <c r="C18" s="104"/>
      <c r="D18" s="105"/>
      <c r="E18" s="9">
        <v>683217.0093697001</v>
      </c>
      <c r="F18" s="9" t="s">
        <v>3</v>
      </c>
      <c r="G18" s="1"/>
    </row>
    <row r="19" spans="1:7" ht="14.25" customHeight="1" x14ac:dyDescent="0.25">
      <c r="A19" s="1"/>
      <c r="B19" s="27" t="s">
        <v>39</v>
      </c>
      <c r="C19" s="27"/>
      <c r="D19" s="27"/>
      <c r="E19" s="22"/>
      <c r="F19" s="81"/>
      <c r="G19" s="1"/>
    </row>
    <row r="20" spans="1:7" x14ac:dyDescent="0.25">
      <c r="A20" s="1"/>
      <c r="B20" s="73" t="s">
        <v>39</v>
      </c>
      <c r="C20" s="29"/>
      <c r="D20" s="30"/>
      <c r="E20" s="9">
        <v>0</v>
      </c>
      <c r="F20" s="28" t="s">
        <v>3</v>
      </c>
      <c r="G20" s="1"/>
    </row>
    <row r="21" spans="1:7" x14ac:dyDescent="0.25">
      <c r="A21" s="1"/>
      <c r="B21" s="27" t="s">
        <v>38</v>
      </c>
      <c r="C21" s="27"/>
      <c r="D21" s="27"/>
      <c r="E21" s="22"/>
      <c r="F21" s="81"/>
      <c r="G21" s="1"/>
    </row>
    <row r="22" spans="1:7" ht="15.4" customHeight="1" x14ac:dyDescent="0.25">
      <c r="A22" s="1"/>
      <c r="B22" s="108" t="s">
        <v>34</v>
      </c>
      <c r="C22" s="109"/>
      <c r="D22" s="110"/>
      <c r="E22" s="33">
        <v>0</v>
      </c>
      <c r="F22" s="31" t="s">
        <v>3</v>
      </c>
      <c r="G22" s="1"/>
    </row>
    <row r="23" spans="1:7" ht="15.75" customHeight="1" x14ac:dyDescent="0.25">
      <c r="A23" s="1"/>
      <c r="B23" s="108" t="s">
        <v>35</v>
      </c>
      <c r="C23" s="109"/>
      <c r="D23" s="110"/>
      <c r="E23" s="33">
        <v>0</v>
      </c>
      <c r="F23" s="31" t="s">
        <v>3</v>
      </c>
      <c r="G23" s="1"/>
    </row>
    <row r="24" spans="1:7" x14ac:dyDescent="0.25">
      <c r="A24" s="1"/>
      <c r="B24" s="111" t="s">
        <v>40</v>
      </c>
      <c r="C24" s="112"/>
      <c r="D24" s="113"/>
      <c r="E24" s="147">
        <f>SUM(E22:E23)</f>
        <v>0</v>
      </c>
      <c r="F24" s="9" t="s">
        <v>3</v>
      </c>
      <c r="G24" s="1"/>
    </row>
    <row r="25" spans="1:7" x14ac:dyDescent="0.25">
      <c r="A25" s="1"/>
      <c r="B25" s="27" t="s">
        <v>73</v>
      </c>
      <c r="C25" s="27"/>
      <c r="D25" s="27"/>
      <c r="E25" s="22"/>
      <c r="F25" s="81"/>
      <c r="G25" s="1"/>
    </row>
    <row r="26" spans="1:7" x14ac:dyDescent="0.25">
      <c r="A26" s="1"/>
      <c r="B26" s="103" t="s">
        <v>28</v>
      </c>
      <c r="C26" s="104"/>
      <c r="D26" s="105"/>
      <c r="E26" s="9">
        <v>100362.97078333334</v>
      </c>
      <c r="F26" s="28" t="s">
        <v>3</v>
      </c>
      <c r="G26" s="1"/>
    </row>
    <row r="27" spans="1:7" ht="14.25" customHeight="1" x14ac:dyDescent="0.25">
      <c r="A27" s="1"/>
      <c r="B27" s="103" t="s">
        <v>72</v>
      </c>
      <c r="C27" s="104"/>
      <c r="D27" s="105"/>
      <c r="E27" s="9">
        <v>0</v>
      </c>
      <c r="F27" s="28" t="s">
        <v>3</v>
      </c>
      <c r="G27" s="1"/>
    </row>
    <row r="28" spans="1:7" x14ac:dyDescent="0.25">
      <c r="A28" s="1"/>
      <c r="B28" s="27" t="s">
        <v>77</v>
      </c>
      <c r="C28" s="27"/>
      <c r="D28" s="27"/>
      <c r="E28" s="22"/>
      <c r="F28" s="81"/>
      <c r="G28" s="1"/>
    </row>
    <row r="29" spans="1:7" ht="15.75" customHeight="1" x14ac:dyDescent="0.25">
      <c r="A29" s="1"/>
      <c r="B29" s="103" t="s">
        <v>77</v>
      </c>
      <c r="C29" s="104"/>
      <c r="D29" s="105"/>
      <c r="E29" s="9">
        <v>0</v>
      </c>
      <c r="F29" s="28" t="s">
        <v>3</v>
      </c>
      <c r="G29" s="1"/>
    </row>
    <row r="30" spans="1:7" ht="15.75" customHeight="1" x14ac:dyDescent="0.25">
      <c r="A30" s="1"/>
      <c r="B30" s="27" t="s">
        <v>135</v>
      </c>
      <c r="C30" s="27"/>
      <c r="D30" s="27"/>
      <c r="E30" s="22"/>
      <c r="F30" s="81"/>
      <c r="G30" s="1"/>
    </row>
    <row r="31" spans="1:7" ht="15.75" customHeight="1" x14ac:dyDescent="0.25">
      <c r="A31" s="1"/>
      <c r="B31" s="103" t="s">
        <v>136</v>
      </c>
      <c r="C31" s="104"/>
      <c r="D31" s="105"/>
      <c r="E31" s="9">
        <f>'Fane 7. Skattesagen'!G11</f>
        <v>0</v>
      </c>
      <c r="F31" s="28" t="s">
        <v>3</v>
      </c>
      <c r="G31" s="1"/>
    </row>
    <row r="32" spans="1:7" x14ac:dyDescent="0.25">
      <c r="A32" s="1"/>
      <c r="B32" s="27" t="s">
        <v>23</v>
      </c>
      <c r="C32" s="43"/>
      <c r="D32" s="43"/>
      <c r="E32" s="44">
        <f>SUM(E16,E18,E20,E24,E26,E27,E29,E31)</f>
        <v>29660175.310498293</v>
      </c>
      <c r="F32" s="45" t="s">
        <v>3</v>
      </c>
      <c r="G32" s="1"/>
    </row>
    <row r="33" spans="1:7" ht="28.5" customHeight="1" x14ac:dyDescent="0.25">
      <c r="A33" s="1"/>
      <c r="B33" s="102" t="s">
        <v>113</v>
      </c>
      <c r="C33" s="102"/>
      <c r="D33" s="102"/>
      <c r="E33" s="102"/>
      <c r="F33" s="102"/>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ZRKLEjJpV/HFNe88DZNIXYFQr8NaXzVpV5B0l9WkqwB56yfzJGPGNnZ/38NnnY1he843m8G53tM/VEgnYclzzA==" saltValue="f14NmyTPK+zSkYT05u40uA==" spinCount="100000" sheet="1" objects="1" scenarios="1"/>
  <customSheetViews>
    <customSheetView guid="{8BCA264E-FE70-4497-B667-7DCB6C5E8A89}" showPageBreaks="1" showGridLines="0" view="pageLayout">
      <selection activeCell="B10" sqref="B10:D10"/>
      <pageMargins left="0.7" right="0.7" top="0.75" bottom="0.75" header="0.3" footer="0.3"/>
      <pageSetup paperSize="9" orientation="portrait" r:id="rId1"/>
    </customSheetView>
  </customSheetViews>
  <mergeCells count="18">
    <mergeCell ref="B13:D13"/>
    <mergeCell ref="B3:F4"/>
    <mergeCell ref="B9:D9"/>
    <mergeCell ref="B11:D11"/>
    <mergeCell ref="B12:D12"/>
    <mergeCell ref="B10:D10"/>
    <mergeCell ref="B33:F33"/>
    <mergeCell ref="B29:D29"/>
    <mergeCell ref="B14:D14"/>
    <mergeCell ref="B15:D15"/>
    <mergeCell ref="B16:D16"/>
    <mergeCell ref="B18:D18"/>
    <mergeCell ref="B27:D27"/>
    <mergeCell ref="B22:D22"/>
    <mergeCell ref="B23:D23"/>
    <mergeCell ref="B24:D24"/>
    <mergeCell ref="B26:D26"/>
    <mergeCell ref="B31:D31"/>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E50"/>
  <sheetViews>
    <sheetView showGridLines="0" view="pageLayout" zoomScale="90" zoomScaleNormal="100" zoomScalePageLayoutView="90" workbookViewId="0"/>
  </sheetViews>
  <sheetFormatPr defaultColWidth="9.140625" defaultRowHeight="15" x14ac:dyDescent="0.25"/>
  <cols>
    <col min="1" max="1" width="9.42578125" style="2" customWidth="1"/>
    <col min="2" max="2" width="39.85546875" style="2" customWidth="1"/>
    <col min="3" max="3" width="23.140625" style="2" customWidth="1"/>
    <col min="4" max="4" width="3.28515625" style="2" customWidth="1"/>
    <col min="5" max="5" width="9.425781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0" t="s">
        <v>50</v>
      </c>
      <c r="C3" s="100"/>
      <c r="D3" s="100"/>
      <c r="E3" s="1"/>
    </row>
    <row r="4" spans="1:5" ht="15" customHeight="1"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16" t="s">
        <v>114</v>
      </c>
      <c r="C8" s="117"/>
      <c r="D8" s="118"/>
      <c r="E8" s="1"/>
    </row>
    <row r="9" spans="1:5" ht="15" customHeight="1" x14ac:dyDescent="0.25">
      <c r="A9" s="1"/>
      <c r="B9" s="17" t="s">
        <v>26</v>
      </c>
      <c r="C9" s="28" t="s">
        <v>146</v>
      </c>
      <c r="D9" s="28"/>
      <c r="E9" s="1"/>
    </row>
    <row r="10" spans="1:5" x14ac:dyDescent="0.25">
      <c r="A10" s="1"/>
      <c r="B10" s="23" t="s">
        <v>166</v>
      </c>
      <c r="C10" s="8">
        <v>384571</v>
      </c>
      <c r="D10" s="12" t="s">
        <v>3</v>
      </c>
      <c r="E10" s="1"/>
    </row>
    <row r="11" spans="1:5" x14ac:dyDescent="0.25">
      <c r="A11" s="1"/>
      <c r="B11" s="23" t="s">
        <v>167</v>
      </c>
      <c r="C11" s="8">
        <v>16684</v>
      </c>
      <c r="D11" s="12" t="s">
        <v>3</v>
      </c>
      <c r="E11" s="1"/>
    </row>
    <row r="12" spans="1:5" x14ac:dyDescent="0.25">
      <c r="A12" s="1"/>
      <c r="B12" s="23" t="s">
        <v>168</v>
      </c>
      <c r="C12" s="8">
        <v>52527</v>
      </c>
      <c r="D12" s="12" t="s">
        <v>3</v>
      </c>
      <c r="E12" s="1"/>
    </row>
    <row r="13" spans="1:5" x14ac:dyDescent="0.25">
      <c r="A13" s="1"/>
      <c r="B13" s="80" t="s">
        <v>115</v>
      </c>
      <c r="C13" s="10">
        <f>SUM(C10:C12)</f>
        <v>453782</v>
      </c>
      <c r="D13" s="11" t="s">
        <v>3</v>
      </c>
      <c r="E13" s="1"/>
    </row>
    <row r="14" spans="1:5" x14ac:dyDescent="0.25">
      <c r="A14" s="1"/>
      <c r="B14" s="80" t="s">
        <v>116</v>
      </c>
      <c r="C14" s="10">
        <f>C13*(1+'Fane 13. Nøgletal'!C15)^2</f>
        <v>486666.38355552003</v>
      </c>
      <c r="D14" s="11" t="s">
        <v>3</v>
      </c>
      <c r="E14" s="1"/>
    </row>
    <row r="15" spans="1:5" x14ac:dyDescent="0.25">
      <c r="A15" s="1"/>
      <c r="B15" s="14"/>
      <c r="C15" s="13"/>
      <c r="D15" s="13"/>
      <c r="E15" s="1"/>
    </row>
    <row r="16" spans="1:5" x14ac:dyDescent="0.25">
      <c r="A16" s="1"/>
      <c r="B16" s="14"/>
      <c r="C16" s="13"/>
      <c r="D16" s="13"/>
      <c r="E16" s="1"/>
    </row>
    <row r="17" spans="1:5" x14ac:dyDescent="0.25">
      <c r="A17" s="1"/>
      <c r="B17" s="116" t="s">
        <v>59</v>
      </c>
      <c r="C17" s="117"/>
      <c r="D17" s="118"/>
      <c r="E17" s="1"/>
    </row>
    <row r="18" spans="1:5" x14ac:dyDescent="0.25">
      <c r="A18" s="1"/>
      <c r="B18" s="23" t="s">
        <v>51</v>
      </c>
      <c r="C18" s="8">
        <v>0</v>
      </c>
      <c r="D18" s="12" t="s">
        <v>3</v>
      </c>
      <c r="E18" s="1"/>
    </row>
    <row r="19" spans="1:5" x14ac:dyDescent="0.25">
      <c r="A19" s="1"/>
      <c r="B19" s="23" t="s">
        <v>66</v>
      </c>
      <c r="C19" s="8">
        <v>0</v>
      </c>
      <c r="D19" s="12" t="s">
        <v>3</v>
      </c>
      <c r="E19" s="1"/>
    </row>
    <row r="20" spans="1:5" x14ac:dyDescent="0.25">
      <c r="A20" s="1"/>
      <c r="B20" s="23" t="s">
        <v>82</v>
      </c>
      <c r="C20" s="8">
        <v>0</v>
      </c>
      <c r="D20" s="12" t="s">
        <v>3</v>
      </c>
      <c r="E20" s="1"/>
    </row>
    <row r="21" spans="1:5" x14ac:dyDescent="0.25">
      <c r="A21" s="1"/>
      <c r="B21" s="25" t="s">
        <v>117</v>
      </c>
      <c r="C21" s="8">
        <v>0</v>
      </c>
      <c r="D21" s="12" t="s">
        <v>3</v>
      </c>
      <c r="E21" s="1"/>
    </row>
    <row r="22" spans="1:5" x14ac:dyDescent="0.25">
      <c r="A22" s="1"/>
      <c r="B22" s="116"/>
      <c r="C22" s="117"/>
      <c r="D22" s="118"/>
      <c r="E22" s="1"/>
    </row>
    <row r="23" spans="1:5" x14ac:dyDescent="0.25">
      <c r="A23" s="1"/>
      <c r="B23" s="1"/>
      <c r="C23" s="1"/>
      <c r="D23" s="1"/>
      <c r="E23" s="1"/>
    </row>
    <row r="24" spans="1:5" x14ac:dyDescent="0.25">
      <c r="A24" s="1"/>
      <c r="B24" s="1"/>
      <c r="C24" s="1"/>
      <c r="D24" s="1"/>
      <c r="E24" s="1"/>
    </row>
    <row r="25" spans="1:5" x14ac:dyDescent="0.25">
      <c r="A25" s="1"/>
      <c r="B25" s="116" t="s">
        <v>49</v>
      </c>
      <c r="C25" s="117"/>
      <c r="D25" s="118"/>
      <c r="E25" s="1"/>
    </row>
    <row r="26" spans="1:5" x14ac:dyDescent="0.25">
      <c r="A26" s="1"/>
      <c r="B26" s="23" t="s">
        <v>51</v>
      </c>
      <c r="C26" s="8">
        <v>0</v>
      </c>
      <c r="D26" s="12" t="s">
        <v>3</v>
      </c>
      <c r="E26" s="1"/>
    </row>
    <row r="27" spans="1:5" x14ac:dyDescent="0.25">
      <c r="A27" s="1"/>
      <c r="B27" s="23" t="s">
        <v>66</v>
      </c>
      <c r="C27" s="8">
        <v>0</v>
      </c>
      <c r="D27" s="12" t="s">
        <v>3</v>
      </c>
      <c r="E27" s="1"/>
    </row>
    <row r="28" spans="1:5" x14ac:dyDescent="0.25">
      <c r="A28" s="1"/>
      <c r="B28" s="23" t="s">
        <v>82</v>
      </c>
      <c r="C28" s="8">
        <v>0</v>
      </c>
      <c r="D28" s="12" t="s">
        <v>3</v>
      </c>
      <c r="E28" s="1"/>
    </row>
    <row r="29" spans="1:5" x14ac:dyDescent="0.25">
      <c r="A29" s="1"/>
      <c r="B29" s="25" t="s">
        <v>117</v>
      </c>
      <c r="C29" s="8">
        <v>0</v>
      </c>
      <c r="D29" s="35" t="s">
        <v>3</v>
      </c>
      <c r="E29" s="1"/>
    </row>
    <row r="30" spans="1:5" x14ac:dyDescent="0.25">
      <c r="A30" s="1"/>
      <c r="B30" s="116"/>
      <c r="C30" s="117"/>
      <c r="D30" s="118"/>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9SaR3IMiq3uQqG1t+X3xtePWSFj02ZBpJauP4xKO0V9ewbQ/VbjpKzwZEdDw6ZY1WVcrX4W20sno4Y44qfjw3A==" saltValue="KlLwfIGHfA2xz4Oj3ZIpXA==" spinCount="100000" sheet="1" objects="1" scenarios="1"/>
  <customSheetViews>
    <customSheetView guid="{8BCA264E-FE70-4497-B667-7DCB6C5E8A89}" showPageBreaks="1" showGridLines="0" view="pageLayout">
      <selection activeCell="B21" sqref="B21"/>
      <pageMargins left="0.75" right="0.7" top="0.75" bottom="0.75" header="0.3" footer="0.3"/>
      <pageSetup paperSize="9" orientation="portrait" r:id="rId1"/>
    </customSheetView>
  </customSheetViews>
  <mergeCells count="6">
    <mergeCell ref="B30:D30"/>
    <mergeCell ref="B3:D4"/>
    <mergeCell ref="B8:D8"/>
    <mergeCell ref="B17:D17"/>
    <mergeCell ref="B25:D25"/>
    <mergeCell ref="B22:D22"/>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2"/>
  <sheetViews>
    <sheetView showGridLines="0" view="pageLayout" zoomScale="106" zoomScaleNormal="100" zoomScalePageLayoutView="106"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4" t="s">
        <v>189</v>
      </c>
      <c r="C3" s="114"/>
      <c r="D3" s="114"/>
      <c r="E3" s="114"/>
      <c r="F3" s="114"/>
      <c r="G3" s="1"/>
    </row>
    <row r="4" spans="1:7" ht="15" customHeight="1" x14ac:dyDescent="0.25">
      <c r="A4" s="1"/>
      <c r="B4" s="114"/>
      <c r="C4" s="114"/>
      <c r="D4" s="114"/>
      <c r="E4" s="114"/>
      <c r="F4" s="114"/>
      <c r="G4" s="1"/>
    </row>
    <row r="5" spans="1:7" ht="15" customHeight="1" x14ac:dyDescent="0.25">
      <c r="A5" s="1"/>
      <c r="B5" s="68"/>
      <c r="C5" s="68"/>
      <c r="D5" s="68"/>
      <c r="E5" s="68"/>
      <c r="F5" s="68"/>
      <c r="G5" s="1"/>
    </row>
    <row r="6" spans="1:7" ht="15" customHeight="1" x14ac:dyDescent="0.25">
      <c r="A6" s="1"/>
      <c r="B6" s="68"/>
      <c r="C6" s="68"/>
      <c r="D6" s="68"/>
      <c r="E6" s="68"/>
      <c r="F6" s="68"/>
      <c r="G6" s="1"/>
    </row>
    <row r="7" spans="1:7" x14ac:dyDescent="0.25">
      <c r="A7" s="1"/>
      <c r="B7" s="1"/>
      <c r="C7" s="1"/>
      <c r="D7" s="1"/>
      <c r="E7" s="1"/>
      <c r="F7" s="1"/>
      <c r="G7" s="1"/>
    </row>
    <row r="8" spans="1:7" x14ac:dyDescent="0.25">
      <c r="A8" s="1"/>
      <c r="B8" s="116" t="s">
        <v>95</v>
      </c>
      <c r="C8" s="117"/>
      <c r="D8" s="117"/>
      <c r="E8" s="117"/>
      <c r="F8" s="118"/>
      <c r="G8" s="1"/>
    </row>
    <row r="9" spans="1:7" x14ac:dyDescent="0.25">
      <c r="A9" s="1"/>
      <c r="B9" s="129" t="s">
        <v>118</v>
      </c>
      <c r="C9" s="130"/>
      <c r="D9" s="131"/>
      <c r="E9" s="8">
        <v>-6069660.0689356066</v>
      </c>
      <c r="F9" s="12" t="s">
        <v>3</v>
      </c>
      <c r="G9" s="1"/>
    </row>
    <row r="10" spans="1:7" x14ac:dyDescent="0.25">
      <c r="A10" s="1"/>
      <c r="B10" s="132" t="s">
        <v>162</v>
      </c>
      <c r="C10" s="133"/>
      <c r="D10" s="134"/>
      <c r="E10" s="8">
        <v>0</v>
      </c>
      <c r="F10" s="58" t="s">
        <v>3</v>
      </c>
      <c r="G10" s="1"/>
    </row>
    <row r="11" spans="1:7" x14ac:dyDescent="0.25">
      <c r="A11" s="1"/>
      <c r="B11" s="80"/>
      <c r="C11" s="22"/>
      <c r="D11" s="22"/>
      <c r="E11" s="22"/>
      <c r="F11" s="81"/>
      <c r="G11" s="1"/>
    </row>
    <row r="12" spans="1:7" ht="67.150000000000006" customHeight="1" x14ac:dyDescent="0.25">
      <c r="A12" s="1"/>
      <c r="B12" s="126" t="s">
        <v>163</v>
      </c>
      <c r="C12" s="127"/>
      <c r="D12" s="127"/>
      <c r="E12" s="127"/>
      <c r="F12" s="128"/>
      <c r="G12" s="1"/>
    </row>
    <row r="13" spans="1:7" ht="16.149999999999999" customHeight="1" x14ac:dyDescent="0.25">
      <c r="A13" s="1"/>
      <c r="B13" s="1"/>
      <c r="C13" s="1"/>
      <c r="D13" s="1"/>
      <c r="E13" s="1"/>
      <c r="F13" s="1"/>
      <c r="G13" s="1"/>
    </row>
    <row r="14" spans="1:7" ht="28.5" customHeight="1" x14ac:dyDescent="0.25">
      <c r="A14" s="1"/>
      <c r="B14" s="116" t="s">
        <v>96</v>
      </c>
      <c r="C14" s="117"/>
      <c r="D14" s="117"/>
      <c r="E14" s="117"/>
      <c r="F14" s="118"/>
      <c r="G14" s="1"/>
    </row>
    <row r="15" spans="1:7" x14ac:dyDescent="0.25">
      <c r="A15" s="1"/>
      <c r="B15" s="129" t="s">
        <v>175</v>
      </c>
      <c r="C15" s="130"/>
      <c r="D15" s="131"/>
      <c r="E15" s="8">
        <v>0</v>
      </c>
      <c r="F15" s="12" t="s">
        <v>3</v>
      </c>
      <c r="G15" s="1"/>
    </row>
    <row r="16" spans="1:7" x14ac:dyDescent="0.25">
      <c r="A16" s="1"/>
      <c r="B16" s="129" t="s">
        <v>176</v>
      </c>
      <c r="C16" s="130"/>
      <c r="D16" s="131"/>
      <c r="E16" s="8">
        <v>0</v>
      </c>
      <c r="F16" s="12" t="s">
        <v>3</v>
      </c>
      <c r="G16" s="1"/>
    </row>
    <row r="17" spans="1:7" x14ac:dyDescent="0.25">
      <c r="A17" s="1"/>
      <c r="B17" s="129" t="s">
        <v>173</v>
      </c>
      <c r="C17" s="130"/>
      <c r="D17" s="131"/>
      <c r="E17" s="8">
        <v>0</v>
      </c>
      <c r="F17" s="12" t="s">
        <v>3</v>
      </c>
      <c r="G17" s="1"/>
    </row>
    <row r="18" spans="1:7" x14ac:dyDescent="0.25">
      <c r="A18" s="1"/>
      <c r="B18" s="129" t="s">
        <v>174</v>
      </c>
      <c r="C18" s="130"/>
      <c r="D18" s="131"/>
      <c r="E18" s="8">
        <v>0</v>
      </c>
      <c r="F18" s="12" t="s">
        <v>3</v>
      </c>
      <c r="G18" s="1"/>
    </row>
    <row r="19" spans="1:7" x14ac:dyDescent="0.25">
      <c r="A19" s="1"/>
      <c r="B19" s="80"/>
      <c r="C19" s="22"/>
      <c r="D19" s="22"/>
      <c r="E19" s="22"/>
      <c r="F19" s="81"/>
      <c r="G19" s="1"/>
    </row>
    <row r="20" spans="1:7" ht="31.5" customHeight="1" x14ac:dyDescent="0.25">
      <c r="A20" s="1"/>
      <c r="B20" s="126" t="s">
        <v>97</v>
      </c>
      <c r="C20" s="127"/>
      <c r="D20" s="127"/>
      <c r="E20" s="127"/>
      <c r="F20" s="128"/>
      <c r="G20" s="1"/>
    </row>
    <row r="21" spans="1:7" ht="17.25" customHeight="1" x14ac:dyDescent="0.25">
      <c r="A21" s="1"/>
      <c r="B21" s="1"/>
      <c r="C21" s="1"/>
      <c r="D21" s="1"/>
      <c r="E21" s="1"/>
      <c r="F21" s="1"/>
      <c r="G21" s="1"/>
    </row>
    <row r="22" spans="1:7" ht="28.5" customHeight="1" x14ac:dyDescent="0.25">
      <c r="A22" s="1"/>
      <c r="B22" s="70" t="s">
        <v>119</v>
      </c>
      <c r="C22" s="71"/>
      <c r="D22" s="71"/>
      <c r="E22" s="71"/>
      <c r="F22" s="72"/>
      <c r="G22" s="1"/>
    </row>
    <row r="23" spans="1:7" x14ac:dyDescent="0.25">
      <c r="A23" s="1"/>
      <c r="B23" s="74" t="s">
        <v>120</v>
      </c>
      <c r="C23" s="75"/>
      <c r="D23" s="76"/>
      <c r="E23" s="8">
        <v>30795560.094440725</v>
      </c>
      <c r="F23" s="12" t="s">
        <v>3</v>
      </c>
      <c r="G23" s="1"/>
    </row>
    <row r="24" spans="1:7" x14ac:dyDescent="0.25">
      <c r="A24" s="1"/>
      <c r="B24" s="74" t="s">
        <v>121</v>
      </c>
      <c r="C24" s="75"/>
      <c r="D24" s="76"/>
      <c r="E24" s="8">
        <v>29304743</v>
      </c>
      <c r="F24" s="12" t="s">
        <v>3</v>
      </c>
      <c r="G24" s="1"/>
    </row>
    <row r="25" spans="1:7" x14ac:dyDescent="0.25">
      <c r="A25" s="1"/>
      <c r="B25" s="74" t="s">
        <v>27</v>
      </c>
      <c r="C25" s="75"/>
      <c r="D25" s="76"/>
      <c r="E25" s="8">
        <v>0</v>
      </c>
      <c r="F25" s="12" t="s">
        <v>3</v>
      </c>
      <c r="G25" s="1"/>
    </row>
    <row r="26" spans="1:7" x14ac:dyDescent="0.25">
      <c r="A26" s="1"/>
      <c r="B26" s="65" t="s">
        <v>171</v>
      </c>
      <c r="C26" s="66"/>
      <c r="D26" s="67"/>
      <c r="E26" s="59">
        <f>E23-(E24-E25)</f>
        <v>1490817.0944407247</v>
      </c>
      <c r="F26" s="15" t="s">
        <v>3</v>
      </c>
      <c r="G26" s="1"/>
    </row>
    <row r="27" spans="1:7" x14ac:dyDescent="0.25">
      <c r="A27" s="1"/>
      <c r="B27" s="80"/>
      <c r="C27" s="22"/>
      <c r="D27" s="22"/>
      <c r="E27" s="22"/>
      <c r="F27" s="81"/>
      <c r="G27" s="1"/>
    </row>
    <row r="28" spans="1:7" x14ac:dyDescent="0.25">
      <c r="A28" s="1"/>
      <c r="B28" s="1"/>
      <c r="C28" s="1"/>
      <c r="D28" s="1"/>
      <c r="E28" s="1"/>
      <c r="F28" s="1"/>
      <c r="G28" s="1"/>
    </row>
    <row r="29" spans="1:7" ht="28.5" customHeight="1" x14ac:dyDescent="0.25">
      <c r="A29" s="1"/>
      <c r="B29" s="116" t="s">
        <v>164</v>
      </c>
      <c r="C29" s="117"/>
      <c r="D29" s="117"/>
      <c r="E29" s="117"/>
      <c r="F29" s="118"/>
      <c r="G29" s="1"/>
    </row>
    <row r="30" spans="1:7" x14ac:dyDescent="0.25">
      <c r="A30" s="1"/>
      <c r="B30" s="122" t="s">
        <v>73</v>
      </c>
      <c r="C30" s="123"/>
      <c r="D30" s="124"/>
      <c r="E30" s="8">
        <f>IF(AND(E10&gt;0,SUM(E10,E26)&gt;0),0,IF(AND(E10&gt;0,SUM(E10,E26)&lt;0),SUM(E10,E26),IF(AND(E10&lt;0,E26&lt;0),SUM(E10,E26),IF(AND(E10&lt;0,E26&gt;0),E10,0))))</f>
        <v>0</v>
      </c>
      <c r="F30" s="12" t="s">
        <v>3</v>
      </c>
      <c r="G30" s="1"/>
    </row>
    <row r="31" spans="1:7" x14ac:dyDescent="0.25">
      <c r="A31" s="1"/>
      <c r="B31" s="122" t="s">
        <v>55</v>
      </c>
      <c r="C31" s="123"/>
      <c r="D31" s="124"/>
      <c r="E31" s="8">
        <v>4</v>
      </c>
      <c r="F31" s="12" t="s">
        <v>18</v>
      </c>
      <c r="G31" s="1"/>
    </row>
    <row r="32" spans="1:7" x14ac:dyDescent="0.25">
      <c r="A32" s="1"/>
      <c r="B32" s="125" t="s">
        <v>98</v>
      </c>
      <c r="C32" s="125"/>
      <c r="D32" s="125"/>
      <c r="E32" s="9">
        <f>E30/E31</f>
        <v>0</v>
      </c>
      <c r="F32" s="15" t="s">
        <v>3</v>
      </c>
      <c r="G32" s="1"/>
    </row>
    <row r="33" spans="1:7" x14ac:dyDescent="0.25">
      <c r="A33" s="1"/>
      <c r="B33" s="119"/>
      <c r="C33" s="120"/>
      <c r="D33" s="120"/>
      <c r="E33" s="120"/>
      <c r="F33" s="12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B39" s="57"/>
      <c r="C39" s="57"/>
      <c r="D39" s="57"/>
      <c r="E39" s="57"/>
      <c r="F39" s="57"/>
    </row>
    <row r="40" spans="1:7" x14ac:dyDescent="0.25">
      <c r="A40" s="57"/>
      <c r="B40" s="57"/>
      <c r="C40" s="57"/>
      <c r="D40" s="57"/>
      <c r="E40" s="57"/>
      <c r="F40" s="57"/>
      <c r="G40" s="57"/>
    </row>
    <row r="41" spans="1:7" x14ac:dyDescent="0.25">
      <c r="A41" s="57"/>
      <c r="B41" s="57"/>
      <c r="C41" s="57"/>
      <c r="D41" s="57"/>
      <c r="E41" s="57"/>
      <c r="F41" s="57"/>
      <c r="G41" s="57"/>
    </row>
    <row r="42" spans="1:7" x14ac:dyDescent="0.25">
      <c r="A42" s="57"/>
      <c r="B42" s="57"/>
      <c r="C42" s="57"/>
      <c r="D42" s="57"/>
      <c r="E42" s="57"/>
      <c r="F42" s="57"/>
      <c r="G42" s="57"/>
    </row>
  </sheetData>
  <sheetProtection algorithmName="SHA-512" hashValue="XLzAnjVJ2Ni9DD3XZiaPFaMOMRYzSSQVKIPzCQfs5+VosHtRvNoFZ/C82MI0JV1pvfeJacMz0049CH2EwVs/6g==" saltValue="o7uM2PXG5ydfydKuecIWVQ==" spinCount="100000" sheet="1" objects="1" scenarios="1"/>
  <customSheetViews>
    <customSheetView guid="{8BCA264E-FE70-4497-B667-7DCB6C5E8A89}" showPageBreaks="1" showGridLines="0" view="pageLayout" topLeftCell="A23">
      <selection activeCell="E49" sqref="E49"/>
      <pageMargins left="0.79166666666666663" right="0.7" top="0.75" bottom="0.75" header="0.3" footer="0.3"/>
      <pageSetup paperSize="9" orientation="portrait" r:id="rId1"/>
    </customSheetView>
  </customSheetViews>
  <mergeCells count="16">
    <mergeCell ref="B17:D17"/>
    <mergeCell ref="B18:D18"/>
    <mergeCell ref="B3:F4"/>
    <mergeCell ref="B16:D16"/>
    <mergeCell ref="B8:F8"/>
    <mergeCell ref="B10:D10"/>
    <mergeCell ref="B9:D9"/>
    <mergeCell ref="B12:F12"/>
    <mergeCell ref="B14:F14"/>
    <mergeCell ref="B15:D15"/>
    <mergeCell ref="B33:F33"/>
    <mergeCell ref="B29:F29"/>
    <mergeCell ref="B31:D31"/>
    <mergeCell ref="B32:D32"/>
    <mergeCell ref="B20:F20"/>
    <mergeCell ref="B30:D30"/>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4" t="s">
        <v>122</v>
      </c>
      <c r="C3" s="114"/>
      <c r="D3" s="114"/>
      <c r="E3" s="114"/>
      <c r="F3" s="114"/>
      <c r="G3" s="1"/>
    </row>
    <row r="4" spans="1:7" ht="1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5" t="s">
        <v>123</v>
      </c>
      <c r="C9" s="135"/>
      <c r="D9" s="135"/>
      <c r="E9" s="135"/>
      <c r="F9" s="135"/>
      <c r="G9" s="1"/>
    </row>
    <row r="10" spans="1:7" x14ac:dyDescent="0.25">
      <c r="A10" s="1"/>
      <c r="B10" s="102" t="s">
        <v>52</v>
      </c>
      <c r="C10" s="102"/>
      <c r="D10" s="102"/>
      <c r="E10" s="7">
        <v>0</v>
      </c>
      <c r="F10" s="69" t="s">
        <v>3</v>
      </c>
      <c r="G10" s="1"/>
    </row>
    <row r="11" spans="1:7" x14ac:dyDescent="0.25">
      <c r="A11" s="1"/>
      <c r="B11" s="136" t="s">
        <v>124</v>
      </c>
      <c r="C11" s="136"/>
      <c r="D11" s="136"/>
      <c r="E11" s="7">
        <v>0</v>
      </c>
      <c r="F11" s="69" t="s">
        <v>3</v>
      </c>
      <c r="G11" s="1"/>
    </row>
    <row r="12" spans="1:7" x14ac:dyDescent="0.25">
      <c r="A12" s="1"/>
      <c r="B12" s="125" t="s">
        <v>53</v>
      </c>
      <c r="C12" s="125"/>
      <c r="D12" s="125"/>
      <c r="E12" s="9">
        <f>E11-E10</f>
        <v>0</v>
      </c>
      <c r="F12" s="28" t="s">
        <v>3</v>
      </c>
      <c r="G12" s="1"/>
    </row>
    <row r="13" spans="1:7" x14ac:dyDescent="0.25">
      <c r="A13" s="1"/>
      <c r="B13" s="135" t="s">
        <v>47</v>
      </c>
      <c r="C13" s="135"/>
      <c r="D13" s="135"/>
      <c r="E13" s="135"/>
      <c r="F13" s="135"/>
      <c r="G13" s="1"/>
    </row>
    <row r="14" spans="1:7" x14ac:dyDescent="0.25">
      <c r="A14" s="1"/>
      <c r="B14" s="136" t="s">
        <v>125</v>
      </c>
      <c r="C14" s="136"/>
      <c r="D14" s="136"/>
      <c r="E14" s="8">
        <v>0</v>
      </c>
      <c r="F14" s="69" t="s">
        <v>3</v>
      </c>
      <c r="G14" s="1"/>
    </row>
    <row r="15" spans="1:7" x14ac:dyDescent="0.25">
      <c r="A15" s="1"/>
      <c r="B15" s="136" t="s">
        <v>126</v>
      </c>
      <c r="C15" s="136"/>
      <c r="D15" s="136"/>
      <c r="E15" s="8">
        <v>0</v>
      </c>
      <c r="F15" s="69" t="s">
        <v>3</v>
      </c>
      <c r="G15" s="1"/>
    </row>
    <row r="16" spans="1:7" x14ac:dyDescent="0.25">
      <c r="A16" s="1"/>
      <c r="B16" s="125" t="s">
        <v>53</v>
      </c>
      <c r="C16" s="125"/>
      <c r="D16" s="125"/>
      <c r="E16" s="9">
        <f>E15-E14</f>
        <v>0</v>
      </c>
      <c r="F16" s="28" t="s">
        <v>3</v>
      </c>
      <c r="G16" s="1"/>
    </row>
    <row r="17" spans="1:7" x14ac:dyDescent="0.25">
      <c r="A17" s="1"/>
      <c r="B17" s="27" t="s">
        <v>127</v>
      </c>
      <c r="C17" s="27"/>
      <c r="D17" s="27"/>
      <c r="E17" s="10">
        <f>E12+E16</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L/84TPVozKEtPy+abRZ2eACwcaWbvp25mvSAiMESdzyKjzC5PPwi8DmO5+IOn5oJKqoeJrmOmNjAvi4Nj0d5yw==" saltValue="UVrsoEsXvrCgW9cD13m0UQ==" spinCount="100000" sheet="1" objects="1" scenarios="1"/>
  <customSheetViews>
    <customSheetView guid="{8BCA264E-FE70-4497-B667-7DCB6C5E8A89}" showPageBreaks="1" showGridLines="0" view="pageLayout">
      <selection activeCell="B17" sqref="B17"/>
      <pageMargins left="0.79166666666666663" right="0.7" top="0.75" bottom="0.75" header="0.3" footer="0.3"/>
      <pageSetup paperSize="9" orientation="portrait" r:id="rId1"/>
    </customSheetView>
  </customSheetViews>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17</vt:i4>
      </vt:variant>
    </vt:vector>
  </HeadingPairs>
  <TitlesOfParts>
    <vt:vector size="17"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Korrektion af ØR2021</vt:lpstr>
      <vt:lpstr>Fane 7. Skattesagen</vt:lpstr>
      <vt:lpstr>Fane 8. Anlægsprojekter (§ 19)</vt:lpstr>
      <vt:lpstr>Fane 9.1. Varige tillæg</vt:lpstr>
      <vt:lpstr>Fane 9.2. Engangstillæg</vt:lpstr>
      <vt:lpstr>Fane 10. Periodevise driftsomk.</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Anton Bay Andersen</cp:lastModifiedBy>
  <cp:lastPrinted>2016-06-14T12:57:30Z</cp:lastPrinted>
  <dcterms:created xsi:type="dcterms:W3CDTF">2016-06-02T08:51:18Z</dcterms:created>
  <dcterms:modified xsi:type="dcterms:W3CDTF">2022-08-17T09:07:10Z</dcterms:modified>
</cp:coreProperties>
</file>