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Denne_projektmappe" defaultThemeVersion="124226"/>
  <mc:AlternateContent xmlns:mc="http://schemas.openxmlformats.org/markup-compatibility/2006">
    <mc:Choice Requires="x15">
      <x15ac:absPath xmlns:x15ac="http://schemas.microsoft.com/office/spreadsheetml/2010/11/ac" url="E:\VAND\Sagsbehandling\Spildevand\FORS Spildevand Holbæk AS (S047)\ØR2025\"/>
    </mc:Choice>
  </mc:AlternateContent>
  <xr:revisionPtr revIDLastSave="0" documentId="13_ncr:1_{883AAEC9-56E8-4277-A9EC-F6AEA7BD5ABB}"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9" i="20" l="1"/>
  <c r="C23" i="43" l="1"/>
  <c r="C27" i="43" s="1"/>
  <c r="C32" i="2" s="1"/>
  <c r="C36" i="2" l="1"/>
  <c r="F10" i="11" l="1"/>
  <c r="C11" i="29"/>
  <c r="C10" i="36" l="1"/>
  <c r="C10" i="30"/>
  <c r="C20" i="23" l="1"/>
  <c r="C22" i="22"/>
  <c r="C22" i="15"/>
  <c r="C11" i="30" l="1"/>
  <c r="C15" i="30" s="1"/>
  <c r="C29" i="20" l="1"/>
  <c r="C28" i="20"/>
  <c r="C23" i="20"/>
  <c r="C22" i="20"/>
  <c r="C24" i="20" l="1"/>
  <c r="C30" i="20"/>
  <c r="C18" i="41"/>
  <c r="C16" i="20" l="1"/>
  <c r="C10" i="20"/>
  <c r="C31" i="43" l="1"/>
  <c r="C33" i="43" l="1"/>
  <c r="C20" i="22" l="1"/>
  <c r="C20" i="15"/>
  <c r="C12" i="29" l="1"/>
  <c r="E11" i="29"/>
  <c r="E12" i="29" s="1"/>
  <c r="E15" i="39"/>
  <c r="E16" i="39" s="1"/>
  <c r="C15" i="39"/>
  <c r="C16"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<sst xmlns="http://schemas.openxmlformats.org/spreadsheetml/2006/main" count="562" uniqueCount="240">
  <si>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</si>
  <si>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</si>
  <si>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</si>
  <si>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</si>
  <si>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</si>
  <si>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</si>
  <si>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</si>
  <si>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</si>
  <si>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</si>
  <si>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</si>
  <si>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</si>
  <si>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</si>
  <si>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</si>
  <si>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</si>
  <si>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</si>
  <si>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</si>
  <si>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</si>
  <si>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</si>
  <si>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</si>
  <si>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</si>
  <si>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</si>
  <si>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</si>
  <si>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</si>
  <si>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</si>
  <si>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</si>
  <si>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</si>
  <si>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</si>
  <si>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</si>
  <si>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</si>
  <si>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</si>
  <si>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</si>
  <si>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</si>
  <si>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</si>
  <si>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</si>
  <si>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</si>
  <si>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</si>
  <si>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</si>
  <si>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</si>
  <si>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</si>
  <si>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</si>
  <si>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</si>
  <si>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</si>
  <si>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</si>
  <si>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</si>
  <si>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</si>
  <si>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</si>
  <si>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</si>
  <si>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</si>
  <si>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</si>
  <si>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</si>
  <si>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</si>
  <si>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</si>
  <si>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</si>
  <si>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</si>
  <si>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</si>
  <si>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</si>
  <si>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</si>
  <si>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</si>
  <si>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</si>
  <si>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</si>
  <si>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</si>
  <si>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</si>
  <si>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</si>
  <si>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</si>
  <si>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</si>
  <si>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</si>
  <si>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</si>
  <si>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</si>
  <si>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</si>
  <si>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</si>
  <si>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</si>
  <si>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</si>
  <si>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</si>
  <si>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</si>
  <si>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</si>
  <si>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</si>
  <si>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</si>
  <si>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</si>
  <si>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</si>
  <si>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</si>
  <si>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</si>
  <si>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</si>
  <si>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</si>
  <si>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</si>
  <si>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</si>
  <si>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</si>
  <si>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</si>
  <si>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</si>
  <si>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</si>
  <si>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</si>
  <si>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</si>
  <si>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</si>
  <si>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</si>
  <si>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</si>
  <si>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</si>
  <si>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</si>
  <si>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</si>
  <si>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</si>
  <si>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</si>
  <si>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</si>
  <si>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</si>
  <si>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</si>
  <si>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</si>
  <si>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</si>
  <si>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</si>
  <si>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</si>
  <si>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</si>
  <si>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</si>
  <si>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</si>
  <si>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</si>
  <si>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</si>
  <si>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</si>
  <si>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</si>
  <si>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</si>
  <si>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</si>
  <si>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</si>
  <si>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</si>
  <si>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</si>
  <si>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</si>
  <si>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</si>
  <si>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</si>
  <si>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</si>
  <si>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</si>
  <si>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</si>
  <si>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</si>
  <si>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</si>
  <si>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</si>
  <si>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</si>
  <si>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</si>
  <si>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</si>
  <si>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</si>
  <si>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</si>
  <si>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</si>
  <si>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</si>
  <si>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</si>
  <si>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</si>
  <si>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</si>
  <si>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</si>
  <si>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</si>
  <si>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</si>
  <si>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</si>
  <si>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</si>
  <si>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</si>
  <si>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</si>
  <si>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</si>
  <si>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</si>
  <si>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</si>
  <si>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</si>
  <si>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</si>
  <si>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</si>
  <si>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</si>
  <si>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</si>
  <si>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</si>
  <si>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</si>
  <si>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</si>
  <si>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</si>
  <si>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</si>
  <si>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</si>
  <si>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</si>
  <si>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</si>
  <si>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</si>
  <si>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</si>
  <si>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</si>
  <si>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</si>
  <si>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</si>
  <si>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</si>
  <si>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</si>
  <si>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</si>
  <si>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</si>
  <si>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</si>
  <si>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</si>
  <si>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</si>
  <si>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</si>
  <si>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</si>
  <si>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</si>
  <si>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</si>
  <si>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</si>
  <si>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</si>
  <si>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</si>
  <si>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</si>
  <si>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</si>
  <si>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</si>
  <si>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</si>
  <si>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</si>
  <si>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</si>
  <si>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</si>
  <si>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</si>
  <si>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</si>
  <si>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</si>
  <si>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</si>
  <si>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</si>
  <si>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</si>
  <si>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</si>
  <si>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</si>
  <si>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</si>
  <si>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</si>
  <si>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</si>
  <si>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</si>
  <si>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</si>
  <si>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</si>
  <si>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</si>
  <si>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</si>
  <si>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</si>
  <si>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</si>
  <si>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</si>
  <si>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</si>
  <si>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</si>
  <si>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</si>
  <si>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</si>
  <si>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</si>
  <si>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</si>
  <si>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</si>
  <si>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</si>
  <si>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</si>
  <si>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</si>
  <si>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</si>
  <si>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</si>
  <si>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</si>
  <si>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</si>
  <si>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</si>
  <si>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</si>
  <si>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</si>
  <si>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</si>
  <si>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</si>
  <si>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</si>
  <si>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</si>
  <si>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</si>
  <si>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Spildevandsafgift</t>
  </si>
  <si>
    <t>Afgift til Forsyningssekretariatet</t>
  </si>
  <si>
    <t>Køb af ydelser og produkter fra andre vandselskaber reguleret af vandsektorloven</t>
  </si>
  <si>
    <t>Ejendomsskatter</t>
  </si>
  <si>
    <t>Tjenestemandspensioner</t>
  </si>
  <si>
    <t>Erstatninger</t>
  </si>
  <si>
    <t>Gebyr til Miljøstyrelsen</t>
  </si>
  <si>
    <t>Ledningsomlægninger 2023</t>
  </si>
  <si>
    <t>FSH- Byggemodninger 2023</t>
  </si>
  <si>
    <t>FSH-Byggemodninger 2023</t>
  </si>
  <si>
    <t>Periodevise driftsomkostninger (Kikhøjparken)</t>
  </si>
  <si>
    <t>Periodevise driftsomkostninger (Lundemarksvej)</t>
  </si>
  <si>
    <t>Periodevise driftsomkostninger (Stenhusvej)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</si>
</sst>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66" fontId="8" fillId="8" borderId="2" xfId="1" quotePrefix="1" applyNumberFormat="1" applyFont="1" applyFill="1" applyBorder="1" applyAlignment="1" applyProtection="1">
      <alignment horizontal="righ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6" t="s">
        <v>4</v>
      </c>
      <c r="D6" s="96"/>
      <c r="E6" s="96"/>
      <c r="F6" s="96"/>
      <c r="G6" s="3"/>
    </row>
    <row r="7" spans="1:7" ht="15" customHeight="1" x14ac:dyDescent="0.25">
      <c r="A7" s="1"/>
      <c r="B7" s="3"/>
      <c r="C7" s="96"/>
      <c r="D7" s="96"/>
      <c r="E7" s="96"/>
      <c r="F7" s="96"/>
      <c r="G7" s="3"/>
    </row>
    <row r="8" spans="1:7" ht="15.75" x14ac:dyDescent="0.25">
      <c r="A8" s="1"/>
      <c r="B8" s="4"/>
      <c r="C8" s="101" t="s">
        <v>226</v>
      </c>
      <c r="D8" s="101"/>
      <c r="E8" s="101"/>
      <c r="F8" s="101"/>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100" t="s">
        <v>5</v>
      </c>
      <c r="D11" s="100"/>
      <c r="E11" s="100"/>
      <c r="F11" s="100"/>
      <c r="G11" s="5"/>
    </row>
    <row r="12" spans="1:7" x14ac:dyDescent="0.25">
      <c r="A12" s="1"/>
      <c r="B12" s="1"/>
      <c r="C12" s="1"/>
      <c r="D12" s="1"/>
      <c r="E12" s="1"/>
      <c r="F12" s="1"/>
      <c r="G12" s="5"/>
    </row>
    <row r="13" spans="1:7" x14ac:dyDescent="0.25">
      <c r="A13" s="1"/>
      <c r="B13" s="6" t="s">
        <v>6</v>
      </c>
      <c r="C13" s="102" t="s">
        <v>127</v>
      </c>
      <c r="D13" s="103"/>
      <c r="E13" s="103"/>
      <c r="F13" s="104"/>
      <c r="G13" s="5"/>
    </row>
    <row r="14" spans="1:7" x14ac:dyDescent="0.25">
      <c r="A14" s="1"/>
      <c r="B14" s="6" t="s">
        <v>16</v>
      </c>
      <c r="C14" s="93" t="s">
        <v>186</v>
      </c>
      <c r="D14" s="94"/>
      <c r="E14" s="94"/>
      <c r="F14" s="95"/>
      <c r="G14" s="5"/>
    </row>
    <row r="15" spans="1:7" x14ac:dyDescent="0.25">
      <c r="A15" s="1"/>
      <c r="B15" s="6" t="s">
        <v>30</v>
      </c>
      <c r="C15" s="93" t="s">
        <v>149</v>
      </c>
      <c r="D15" s="94"/>
      <c r="E15" s="94"/>
      <c r="F15" s="95"/>
      <c r="G15" s="5"/>
    </row>
    <row r="16" spans="1:7" x14ac:dyDescent="0.25">
      <c r="A16" s="1"/>
      <c r="B16" s="6" t="s">
        <v>31</v>
      </c>
      <c r="C16" s="93" t="s">
        <v>151</v>
      </c>
      <c r="D16" s="94"/>
      <c r="E16" s="94"/>
      <c r="F16" s="95"/>
      <c r="G16" s="5"/>
    </row>
    <row r="17" spans="1:8" x14ac:dyDescent="0.25">
      <c r="A17" s="1"/>
      <c r="B17" s="6" t="s">
        <v>61</v>
      </c>
      <c r="C17" s="93" t="s">
        <v>152</v>
      </c>
      <c r="D17" s="94"/>
      <c r="E17" s="94"/>
      <c r="F17" s="95"/>
      <c r="G17" s="5"/>
    </row>
    <row r="18" spans="1:8" x14ac:dyDescent="0.25">
      <c r="A18" s="1"/>
      <c r="B18" s="6" t="s">
        <v>53</v>
      </c>
      <c r="C18" s="90" t="s">
        <v>45</v>
      </c>
      <c r="D18" s="91"/>
      <c r="E18" s="91"/>
      <c r="F18" s="92"/>
      <c r="G18" s="5"/>
    </row>
    <row r="19" spans="1:8" x14ac:dyDescent="0.25">
      <c r="A19" s="1"/>
      <c r="B19" s="6" t="s">
        <v>54</v>
      </c>
      <c r="C19" s="90" t="s">
        <v>46</v>
      </c>
      <c r="D19" s="91"/>
      <c r="E19" s="91"/>
      <c r="F19" s="92"/>
      <c r="G19" s="5"/>
    </row>
    <row r="20" spans="1:8" x14ac:dyDescent="0.25">
      <c r="A20" s="1"/>
      <c r="B20" s="6" t="s">
        <v>7</v>
      </c>
      <c r="C20" s="90" t="s">
        <v>10</v>
      </c>
      <c r="D20" s="91"/>
      <c r="E20" s="91"/>
      <c r="F20" s="92"/>
      <c r="G20" s="5"/>
    </row>
    <row r="21" spans="1:8" x14ac:dyDescent="0.25">
      <c r="A21" s="1"/>
      <c r="B21" s="6" t="s">
        <v>55</v>
      </c>
      <c r="C21" s="97" t="s">
        <v>12</v>
      </c>
      <c r="D21" s="98"/>
      <c r="E21" s="98"/>
      <c r="F21" s="99"/>
      <c r="G21" s="5"/>
    </row>
    <row r="22" spans="1:8" x14ac:dyDescent="0.25">
      <c r="A22" s="1"/>
      <c r="B22" s="6" t="s">
        <v>39</v>
      </c>
      <c r="C22" s="84" t="s">
        <v>153</v>
      </c>
      <c r="D22" s="85"/>
      <c r="E22" s="85"/>
      <c r="F22" s="86"/>
      <c r="G22" s="5"/>
    </row>
    <row r="23" spans="1:8" x14ac:dyDescent="0.25">
      <c r="A23" s="1"/>
      <c r="B23" s="6" t="s">
        <v>8</v>
      </c>
      <c r="C23" s="84" t="s">
        <v>112</v>
      </c>
      <c r="D23" s="85"/>
      <c r="E23" s="85"/>
      <c r="F23" s="86"/>
      <c r="G23" s="5"/>
    </row>
    <row r="24" spans="1:8" x14ac:dyDescent="0.25">
      <c r="A24" s="1"/>
      <c r="B24" s="6" t="s">
        <v>9</v>
      </c>
      <c r="C24" s="84" t="s">
        <v>154</v>
      </c>
      <c r="D24" s="85"/>
      <c r="E24" s="85"/>
      <c r="F24" s="86"/>
      <c r="G24" s="5"/>
    </row>
    <row r="25" spans="1:8" x14ac:dyDescent="0.25">
      <c r="A25" s="1"/>
      <c r="B25" s="6" t="s">
        <v>97</v>
      </c>
      <c r="C25" s="84" t="s">
        <v>91</v>
      </c>
      <c r="D25" s="85"/>
      <c r="E25" s="85"/>
      <c r="F25" s="86"/>
      <c r="G25" s="1"/>
    </row>
    <row r="26" spans="1:8" x14ac:dyDescent="0.25">
      <c r="A26" s="1"/>
      <c r="B26" s="6" t="s">
        <v>98</v>
      </c>
      <c r="C26" s="84" t="s">
        <v>40</v>
      </c>
      <c r="D26" s="85"/>
      <c r="E26" s="85"/>
      <c r="F26" s="86"/>
      <c r="G26" s="1"/>
    </row>
    <row r="27" spans="1:8" x14ac:dyDescent="0.25">
      <c r="A27" s="1"/>
      <c r="B27" s="6" t="s">
        <v>99</v>
      </c>
      <c r="C27" s="84" t="s">
        <v>41</v>
      </c>
      <c r="D27" s="85"/>
      <c r="E27" s="85"/>
      <c r="F27" s="86"/>
      <c r="G27" s="1"/>
    </row>
    <row r="28" spans="1:8" x14ac:dyDescent="0.25">
      <c r="A28" s="1"/>
      <c r="B28" s="6" t="s">
        <v>15</v>
      </c>
      <c r="C28" s="84" t="s">
        <v>42</v>
      </c>
      <c r="D28" s="85"/>
      <c r="E28" s="85"/>
      <c r="F28" s="86"/>
      <c r="G28" s="1"/>
      <c r="H28" s="2" t="s">
        <v>150</v>
      </c>
    </row>
    <row r="29" spans="1:8" x14ac:dyDescent="0.25">
      <c r="A29" s="1"/>
      <c r="B29" s="6" t="s">
        <v>33</v>
      </c>
      <c r="C29" s="84" t="s">
        <v>68</v>
      </c>
      <c r="D29" s="85"/>
      <c r="E29" s="85"/>
      <c r="F29" s="86"/>
      <c r="G29" s="1"/>
    </row>
    <row r="30" spans="1:8" x14ac:dyDescent="0.25">
      <c r="A30" s="1"/>
      <c r="B30" s="6" t="s">
        <v>34</v>
      </c>
      <c r="C30" s="84" t="s">
        <v>32</v>
      </c>
      <c r="D30" s="85"/>
      <c r="E30" s="85"/>
      <c r="F30" s="86"/>
      <c r="G30" s="1"/>
    </row>
    <row r="31" spans="1:8" x14ac:dyDescent="0.25">
      <c r="A31" s="1"/>
      <c r="B31" s="6" t="s">
        <v>100</v>
      </c>
      <c r="C31" s="87" t="s">
        <v>52</v>
      </c>
      <c r="D31" s="88"/>
      <c r="E31" s="88"/>
      <c r="F31" s="89"/>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3qfvsyJmveNWZDcPhpEACK6OiXMiU/5ssi1FiDSvRTXGnT0LiJz6lWpbjq14xclnLM2vj83xIA3hpvTEV6kK8w==" saltValue="8fuJbblzLzbETL/EJyCgEQ=="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58</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9" t="s">
        <v>165</v>
      </c>
      <c r="C8" s="110"/>
      <c r="D8" s="111"/>
      <c r="E8" s="1"/>
    </row>
    <row r="9" spans="1:5" ht="15" customHeight="1" x14ac:dyDescent="0.25">
      <c r="A9" s="1"/>
      <c r="B9" s="27" t="s">
        <v>28</v>
      </c>
      <c r="C9" s="67" t="s">
        <v>166</v>
      </c>
      <c r="D9" s="11"/>
      <c r="E9" s="1"/>
    </row>
    <row r="10" spans="1:5" ht="15" customHeight="1" x14ac:dyDescent="0.25">
      <c r="A10" s="1"/>
      <c r="B10" s="73" t="s">
        <v>227</v>
      </c>
      <c r="C10" s="74">
        <v>2311621</v>
      </c>
      <c r="D10" s="14" t="s">
        <v>3</v>
      </c>
      <c r="E10" s="1"/>
    </row>
    <row r="11" spans="1:5" ht="15" customHeight="1" x14ac:dyDescent="0.25">
      <c r="A11" s="1"/>
      <c r="B11" s="73" t="s">
        <v>228</v>
      </c>
      <c r="C11" s="74">
        <v>103839</v>
      </c>
      <c r="D11" s="14" t="s">
        <v>3</v>
      </c>
      <c r="E11" s="1"/>
    </row>
    <row r="12" spans="1:5" ht="25.5" x14ac:dyDescent="0.25">
      <c r="A12" s="1"/>
      <c r="B12" s="73" t="s">
        <v>229</v>
      </c>
      <c r="C12" s="74">
        <v>44169</v>
      </c>
      <c r="D12" s="14" t="s">
        <v>3</v>
      </c>
      <c r="E12" s="1"/>
    </row>
    <row r="13" spans="1:5" x14ac:dyDescent="0.25">
      <c r="A13" s="1"/>
      <c r="B13" s="73" t="s">
        <v>230</v>
      </c>
      <c r="C13" s="74">
        <v>574064</v>
      </c>
      <c r="D13" s="14" t="s">
        <v>3</v>
      </c>
      <c r="E13" s="1"/>
    </row>
    <row r="14" spans="1:5" x14ac:dyDescent="0.25">
      <c r="A14" s="1"/>
      <c r="B14" s="73" t="s">
        <v>231</v>
      </c>
      <c r="C14" s="74">
        <v>552609</v>
      </c>
      <c r="D14" s="14" t="s">
        <v>3</v>
      </c>
      <c r="E14" s="1"/>
    </row>
    <row r="15" spans="1:5" x14ac:dyDescent="0.25">
      <c r="A15" s="1"/>
      <c r="B15" s="73" t="s">
        <v>232</v>
      </c>
      <c r="C15" s="74">
        <v>298353</v>
      </c>
      <c r="D15" s="14" t="s">
        <v>3</v>
      </c>
      <c r="E15" s="1"/>
    </row>
    <row r="16" spans="1:5" x14ac:dyDescent="0.25">
      <c r="A16" s="1"/>
      <c r="B16" s="73" t="s">
        <v>233</v>
      </c>
      <c r="C16" s="74">
        <v>19475</v>
      </c>
      <c r="D16" s="14" t="s">
        <v>3</v>
      </c>
      <c r="E16" s="1"/>
    </row>
    <row r="17" spans="1:5" x14ac:dyDescent="0.25">
      <c r="A17" s="1"/>
      <c r="B17" s="73"/>
      <c r="C17" s="74"/>
      <c r="D17" s="14" t="s">
        <v>3</v>
      </c>
      <c r="E17" s="1"/>
    </row>
    <row r="18" spans="1:5" x14ac:dyDescent="0.25">
      <c r="A18" s="1"/>
      <c r="B18" s="73"/>
      <c r="C18" s="74"/>
      <c r="D18" s="14" t="s">
        <v>3</v>
      </c>
      <c r="E18" s="1"/>
    </row>
    <row r="19" spans="1:5" x14ac:dyDescent="0.25">
      <c r="A19" s="1"/>
      <c r="B19" s="73"/>
      <c r="C19" s="74"/>
      <c r="D19" s="14" t="s">
        <v>3</v>
      </c>
      <c r="E19" s="1"/>
    </row>
    <row r="20" spans="1:5" x14ac:dyDescent="0.25">
      <c r="A20" s="1"/>
      <c r="B20" s="33" t="s">
        <v>167</v>
      </c>
      <c r="C20" s="12">
        <f>SUM(C10:C19)</f>
        <v>3904130</v>
      </c>
      <c r="D20" s="13" t="s">
        <v>3</v>
      </c>
      <c r="E20" s="1"/>
    </row>
    <row r="21" spans="1:5" x14ac:dyDescent="0.25">
      <c r="A21" s="1"/>
      <c r="B21" s="33" t="s">
        <v>168</v>
      </c>
      <c r="C21" s="12">
        <f>C20*(1+'Fane 15. Nøgletal'!C10)^2</f>
        <v>4438978.9831996998</v>
      </c>
      <c r="D21" s="13" t="s">
        <v>3</v>
      </c>
      <c r="E21" s="1"/>
    </row>
    <row r="22" spans="1:5" x14ac:dyDescent="0.25">
      <c r="A22" s="1"/>
      <c r="B22" s="16"/>
      <c r="C22" s="15"/>
      <c r="D22" s="15"/>
      <c r="E22" s="1"/>
    </row>
    <row r="23" spans="1:5" x14ac:dyDescent="0.25">
      <c r="A23" s="1"/>
      <c r="B23" s="16"/>
      <c r="C23" s="15"/>
      <c r="D23" s="15"/>
      <c r="E23" s="1"/>
    </row>
    <row r="24" spans="1:5" x14ac:dyDescent="0.25">
      <c r="A24" s="1"/>
      <c r="B24" s="109" t="s">
        <v>60</v>
      </c>
      <c r="C24" s="110"/>
      <c r="D24" s="111"/>
      <c r="E24" s="1"/>
    </row>
    <row r="25" spans="1:5" x14ac:dyDescent="0.25">
      <c r="A25" s="1"/>
      <c r="B25" s="37" t="s">
        <v>72</v>
      </c>
      <c r="C25" s="9">
        <v>10000</v>
      </c>
      <c r="D25" s="14" t="s">
        <v>3</v>
      </c>
      <c r="E25" s="1"/>
    </row>
    <row r="26" spans="1:5" x14ac:dyDescent="0.25">
      <c r="A26" s="1"/>
      <c r="B26" s="37" t="s">
        <v>83</v>
      </c>
      <c r="C26" s="9">
        <v>10000</v>
      </c>
      <c r="D26" s="14" t="s">
        <v>3</v>
      </c>
      <c r="E26" s="1"/>
    </row>
    <row r="27" spans="1:5" x14ac:dyDescent="0.25">
      <c r="A27" s="1"/>
      <c r="B27" s="37" t="s">
        <v>148</v>
      </c>
      <c r="C27" s="9">
        <v>10000</v>
      </c>
      <c r="D27" s="14" t="s">
        <v>3</v>
      </c>
      <c r="E27" s="1"/>
    </row>
    <row r="28" spans="1:5" x14ac:dyDescent="0.25">
      <c r="A28" s="1"/>
      <c r="B28" s="34" t="s">
        <v>169</v>
      </c>
      <c r="C28" s="9">
        <v>10000</v>
      </c>
      <c r="D28" s="36" t="s">
        <v>3</v>
      </c>
      <c r="E28" s="1"/>
    </row>
    <row r="29" spans="1:5" x14ac:dyDescent="0.25">
      <c r="A29" s="1"/>
      <c r="B29" s="109"/>
      <c r="C29" s="110"/>
      <c r="D29" s="111"/>
      <c r="E29" s="1"/>
    </row>
    <row r="30" spans="1:5" x14ac:dyDescent="0.25">
      <c r="A30" s="1"/>
      <c r="B30" s="1"/>
      <c r="C30" s="1"/>
      <c r="D30" s="1"/>
      <c r="E30" s="1"/>
    </row>
    <row r="31" spans="1:5" x14ac:dyDescent="0.25">
      <c r="A31" s="1"/>
      <c r="B31" s="1"/>
      <c r="C31" s="1"/>
      <c r="D31" s="1"/>
      <c r="E31" s="1"/>
    </row>
    <row r="32" spans="1:5" x14ac:dyDescent="0.25">
      <c r="A32" s="1"/>
      <c r="B32" s="109" t="s">
        <v>47</v>
      </c>
      <c r="C32" s="110"/>
      <c r="D32" s="111"/>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09"/>
      <c r="C37" s="110"/>
      <c r="D37" s="11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1CZFkCSrNiZyOzA9tX4dAT/ctNwt/vX5IkO9GjwNqMYWvqbFQlEiIYRmVXKR5iTHwVhju5T8c8iB7G8er0Oofw==" saltValue="D7OhnPrthsxxRMApmmB3K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201</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6"/>
      <c r="C6" s="76"/>
      <c r="D6" s="76"/>
      <c r="E6" s="1"/>
    </row>
    <row r="7" spans="1:5" x14ac:dyDescent="0.25">
      <c r="A7" s="1"/>
      <c r="B7" s="1"/>
      <c r="C7" s="1"/>
      <c r="D7" s="1"/>
      <c r="E7" s="1"/>
    </row>
    <row r="8" spans="1:5" x14ac:dyDescent="0.25">
      <c r="A8" s="1"/>
      <c r="B8" s="109" t="s">
        <v>77</v>
      </c>
      <c r="C8" s="110"/>
      <c r="D8" s="111"/>
      <c r="E8" s="1"/>
    </row>
    <row r="9" spans="1:5" x14ac:dyDescent="0.25">
      <c r="A9" s="1"/>
      <c r="B9" s="65" t="s">
        <v>204</v>
      </c>
      <c r="C9" s="9">
        <v>3180111.8532556742</v>
      </c>
      <c r="D9" s="14" t="s">
        <v>3</v>
      </c>
      <c r="E9" s="1"/>
    </row>
    <row r="10" spans="1:5" x14ac:dyDescent="0.25">
      <c r="A10" s="1"/>
      <c r="B10" s="33"/>
      <c r="C10" s="28"/>
      <c r="D10" s="19"/>
      <c r="E10" s="1"/>
    </row>
    <row r="11" spans="1:5" ht="53.25" customHeight="1" x14ac:dyDescent="0.25">
      <c r="A11" s="1"/>
      <c r="B11" s="120" t="s">
        <v>212</v>
      </c>
      <c r="C11" s="121"/>
      <c r="D11" s="122"/>
      <c r="E11" s="1"/>
    </row>
    <row r="12" spans="1:5" x14ac:dyDescent="0.25">
      <c r="A12" s="1"/>
      <c r="B12" s="1"/>
      <c r="C12" s="1"/>
      <c r="D12" s="1"/>
      <c r="E12" s="1"/>
    </row>
    <row r="13" spans="1:5" x14ac:dyDescent="0.25">
      <c r="A13" s="1"/>
      <c r="B13" s="109" t="s">
        <v>78</v>
      </c>
      <c r="C13" s="110"/>
      <c r="D13" s="111"/>
      <c r="E13" s="1"/>
    </row>
    <row r="14" spans="1:5" x14ac:dyDescent="0.25">
      <c r="A14" s="1"/>
      <c r="B14" s="65" t="s">
        <v>202</v>
      </c>
      <c r="C14" s="9">
        <v>0</v>
      </c>
      <c r="D14" s="14" t="s">
        <v>3</v>
      </c>
      <c r="E14" s="1"/>
    </row>
    <row r="15" spans="1:5" x14ac:dyDescent="0.25">
      <c r="A15" s="1"/>
      <c r="B15" s="65" t="s">
        <v>203</v>
      </c>
      <c r="C15" s="9">
        <v>0</v>
      </c>
      <c r="D15" s="14" t="s">
        <v>3</v>
      </c>
      <c r="E15" s="1"/>
    </row>
    <row r="16" spans="1:5" x14ac:dyDescent="0.25">
      <c r="A16" s="1"/>
      <c r="B16" s="33"/>
      <c r="C16" s="28"/>
      <c r="D16" s="19"/>
      <c r="E16" s="1"/>
    </row>
    <row r="17" spans="1:5" ht="29.25" customHeight="1" x14ac:dyDescent="0.25">
      <c r="A17" s="1"/>
      <c r="B17" s="120" t="s">
        <v>121</v>
      </c>
      <c r="C17" s="121"/>
      <c r="D17" s="122"/>
      <c r="E17" s="1"/>
    </row>
    <row r="18" spans="1:5" x14ac:dyDescent="0.25">
      <c r="A18" s="1"/>
      <c r="B18" s="1"/>
      <c r="C18" s="1"/>
      <c r="D18" s="1"/>
      <c r="E18" s="1"/>
    </row>
    <row r="19" spans="1:5" x14ac:dyDescent="0.25">
      <c r="A19" s="1"/>
      <c r="B19" s="77" t="s">
        <v>205</v>
      </c>
      <c r="C19" s="78"/>
      <c r="D19" s="79"/>
      <c r="E19" s="1"/>
    </row>
    <row r="20" spans="1:5" x14ac:dyDescent="0.25">
      <c r="A20" s="1"/>
      <c r="B20" s="65" t="s">
        <v>206</v>
      </c>
      <c r="C20" s="9">
        <v>108911569.93723054</v>
      </c>
      <c r="D20" s="14" t="s">
        <v>3</v>
      </c>
      <c r="E20" s="1"/>
    </row>
    <row r="21" spans="1:5" x14ac:dyDescent="0.25">
      <c r="A21" s="1"/>
      <c r="B21" s="65" t="s">
        <v>207</v>
      </c>
      <c r="C21" s="9">
        <v>109718979</v>
      </c>
      <c r="D21" s="14" t="s">
        <v>3</v>
      </c>
      <c r="E21" s="1"/>
    </row>
    <row r="22" spans="1:5" x14ac:dyDescent="0.25">
      <c r="A22" s="1"/>
      <c r="B22" s="65" t="s">
        <v>29</v>
      </c>
      <c r="C22" s="9">
        <v>0</v>
      </c>
      <c r="D22" s="14" t="s">
        <v>3</v>
      </c>
      <c r="E22" s="1"/>
    </row>
    <row r="23" spans="1:5" x14ac:dyDescent="0.25">
      <c r="A23" s="1"/>
      <c r="B23" s="83" t="s">
        <v>208</v>
      </c>
      <c r="C23" s="57">
        <f>C20-C21-C22</f>
        <v>-807409.0627694577</v>
      </c>
      <c r="D23" s="17" t="s">
        <v>3</v>
      </c>
      <c r="E23" s="1"/>
    </row>
    <row r="24" spans="1:5" x14ac:dyDescent="0.25">
      <c r="A24" s="1"/>
      <c r="B24" s="33"/>
      <c r="C24" s="28"/>
      <c r="D24" s="19"/>
      <c r="E24" s="1"/>
    </row>
    <row r="25" spans="1:5" x14ac:dyDescent="0.25">
      <c r="A25" s="1"/>
      <c r="B25" s="1"/>
      <c r="C25" s="1"/>
      <c r="D25" s="1"/>
      <c r="E25" s="1"/>
    </row>
    <row r="26" spans="1:5" x14ac:dyDescent="0.25">
      <c r="A26" s="1"/>
      <c r="B26" s="109" t="s">
        <v>209</v>
      </c>
      <c r="C26" s="110"/>
      <c r="D26" s="111"/>
      <c r="E26" s="1"/>
    </row>
    <row r="27" spans="1:5" x14ac:dyDescent="0.25">
      <c r="A27" s="1"/>
      <c r="B27" s="83" t="s">
        <v>210</v>
      </c>
      <c r="C27" s="57">
        <f>IF(AND(C15&lt;0,C23&gt;0,ABS(SUM(C14:C15))&lt;C23),ABS(C14),IF(AND(C15&lt;0,C23&gt;0,ABS(SUM(C14:C15))&gt;C23),SUM(C14,C23),C15))</f>
        <v>0</v>
      </c>
      <c r="D27" s="17" t="s">
        <v>3</v>
      </c>
      <c r="E27" s="1"/>
    </row>
    <row r="28" spans="1:5" x14ac:dyDescent="0.25">
      <c r="A28" s="1"/>
      <c r="B28" s="109"/>
      <c r="C28" s="110"/>
      <c r="D28" s="111"/>
      <c r="E28" s="1"/>
    </row>
    <row r="29" spans="1:5" x14ac:dyDescent="0.25">
      <c r="A29" s="1"/>
      <c r="B29" s="1"/>
      <c r="C29" s="1"/>
      <c r="D29" s="1"/>
      <c r="E29" s="1"/>
    </row>
    <row r="30" spans="1:5" x14ac:dyDescent="0.25">
      <c r="A30" s="1"/>
      <c r="B30" s="109" t="s">
        <v>211</v>
      </c>
      <c r="C30" s="110"/>
      <c r="D30" s="111"/>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7"/>
      <c r="C34" s="118"/>
      <c r="D34" s="119"/>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0uiBTMmMZTqG4muGmlzobnXai51zb9dSzI7LmQ8DotXcta9fMERomN98lfjfcchD1yCWMf3xVS3jRBBG9onq6A==" saltValue="mDfYFLsh47DUOqE9c7ZTNw=="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7" t="s">
        <v>101</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x14ac:dyDescent="0.25">
      <c r="A8" s="1"/>
      <c r="B8" s="109" t="s">
        <v>120</v>
      </c>
      <c r="C8" s="110"/>
      <c r="D8" s="111"/>
      <c r="E8" s="1"/>
    </row>
    <row r="9" spans="1:5" ht="15" customHeight="1" x14ac:dyDescent="0.25">
      <c r="A9" s="1"/>
      <c r="B9" s="123" t="s">
        <v>102</v>
      </c>
      <c r="C9" s="124"/>
      <c r="D9" s="125"/>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7"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OchY+Bp/GnUtY8JWoNMQ/BK046k5zSBIBfTiUjaqC3x3WfyKmmB4ov8SzOKUevgxJ1aQv1o/p3PqCAPi9UVptw==" saltValue="6eICs1TmAHABHFht+vgqlg=="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170</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9" t="s">
        <v>171</v>
      </c>
      <c r="C8" s="110"/>
      <c r="D8" s="111"/>
      <c r="E8" s="1"/>
    </row>
    <row r="9" spans="1:5" ht="26.25" x14ac:dyDescent="0.25">
      <c r="A9" s="1"/>
      <c r="B9" s="80" t="s">
        <v>215</v>
      </c>
      <c r="C9" s="7">
        <v>1015468.9906588334</v>
      </c>
      <c r="D9" s="8" t="s">
        <v>3</v>
      </c>
      <c r="E9" s="1"/>
    </row>
    <row r="10" spans="1:5" ht="14.25" customHeight="1" x14ac:dyDescent="0.25">
      <c r="A10" s="1"/>
      <c r="B10" s="65" t="s">
        <v>172</v>
      </c>
      <c r="C10" s="7">
        <v>945305</v>
      </c>
      <c r="D10" s="8" t="s">
        <v>3</v>
      </c>
      <c r="E10" s="1"/>
    </row>
    <row r="11" spans="1:5" ht="14.25" customHeight="1" x14ac:dyDescent="0.25">
      <c r="A11" s="1"/>
      <c r="B11" s="83" t="s">
        <v>48</v>
      </c>
      <c r="C11" s="10">
        <f>C10-C9</f>
        <v>-70163.990658833412</v>
      </c>
      <c r="D11" s="11" t="s">
        <v>3</v>
      </c>
      <c r="E11" s="1"/>
    </row>
    <row r="12" spans="1:5" ht="14.25" customHeight="1" x14ac:dyDescent="0.25">
      <c r="A12" s="1"/>
      <c r="B12" s="109" t="s">
        <v>217</v>
      </c>
      <c r="C12" s="110"/>
      <c r="D12" s="111"/>
      <c r="E12" s="1"/>
    </row>
    <row r="13" spans="1:5" ht="26.25" x14ac:dyDescent="0.25">
      <c r="A13" s="1"/>
      <c r="B13" s="80" t="s">
        <v>216</v>
      </c>
      <c r="C13" s="7">
        <v>10000</v>
      </c>
      <c r="D13" s="8" t="s">
        <v>3</v>
      </c>
      <c r="E13" s="1"/>
    </row>
    <row r="14" spans="1:5" ht="14.25" customHeight="1" x14ac:dyDescent="0.25">
      <c r="A14" s="1"/>
      <c r="B14" s="65" t="s">
        <v>173</v>
      </c>
      <c r="C14" s="7">
        <v>0</v>
      </c>
      <c r="D14" s="8" t="s">
        <v>3</v>
      </c>
      <c r="E14" s="1"/>
    </row>
    <row r="15" spans="1:5" ht="14.25" customHeight="1" x14ac:dyDescent="0.25">
      <c r="A15" s="1"/>
      <c r="B15" s="83" t="s">
        <v>48</v>
      </c>
      <c r="C15" s="10">
        <f>C14-C13</f>
        <v>-10000</v>
      </c>
      <c r="D15" s="11" t="s">
        <v>3</v>
      </c>
      <c r="E15" s="1"/>
    </row>
    <row r="16" spans="1:5" ht="14.25" customHeight="1" x14ac:dyDescent="0.25">
      <c r="A16" s="1"/>
      <c r="B16" s="33" t="s">
        <v>174</v>
      </c>
      <c r="C16" s="12">
        <f>C11+C15</f>
        <v>-80163.990658833412</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IN0kTf4cXWQjYHiPFSFww07dCphGHBcLIyyhxqw3iRaNp92LUuJRSJrasn7+y1qMz8RXL5bY78kTXOzUTbNfDw==" saltValue="duv35PmDTh+Qt+AOzjlPXw=="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5" t="s">
        <v>113</v>
      </c>
      <c r="C3" s="105"/>
      <c r="D3" s="105"/>
      <c r="E3" s="105"/>
      <c r="F3" s="105"/>
      <c r="G3" s="105"/>
      <c r="H3" s="105"/>
      <c r="I3" s="105"/>
      <c r="J3" s="105"/>
      <c r="K3" s="105"/>
      <c r="L3" s="1"/>
    </row>
    <row r="4" spans="1:12" ht="15" customHeight="1" x14ac:dyDescent="0.25">
      <c r="A4" s="1"/>
      <c r="B4" s="105"/>
      <c r="C4" s="105"/>
      <c r="D4" s="105"/>
      <c r="E4" s="105"/>
      <c r="F4" s="105"/>
      <c r="G4" s="105"/>
      <c r="H4" s="105"/>
      <c r="I4" s="105"/>
      <c r="J4" s="105"/>
      <c r="K4" s="10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9" t="s">
        <v>86</v>
      </c>
      <c r="C8" s="110"/>
      <c r="D8" s="110"/>
      <c r="E8" s="110"/>
      <c r="F8" s="110"/>
      <c r="G8" s="110"/>
      <c r="H8" s="110"/>
      <c r="I8" s="110"/>
      <c r="J8" s="110"/>
      <c r="K8" s="111"/>
      <c r="L8" s="1"/>
    </row>
    <row r="9" spans="1:12" ht="39.75" customHeight="1" x14ac:dyDescent="0.25">
      <c r="A9" s="1"/>
      <c r="B9" s="18" t="s">
        <v>0</v>
      </c>
      <c r="C9" s="18" t="s">
        <v>1</v>
      </c>
      <c r="D9" s="126" t="s">
        <v>96</v>
      </c>
      <c r="E9" s="127"/>
      <c r="F9" s="126" t="s">
        <v>2</v>
      </c>
      <c r="G9" s="127"/>
      <c r="H9" s="126" t="s">
        <v>95</v>
      </c>
      <c r="I9" s="127"/>
      <c r="J9" s="126" t="s">
        <v>26</v>
      </c>
      <c r="K9" s="127"/>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7" t="s">
        <v>219</v>
      </c>
      <c r="C11" s="78"/>
      <c r="D11" s="79"/>
      <c r="E11" s="79"/>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7TAM68+rrGlXKAf5uishiLrSWRRDwCGugvxEjYAxTLNs6X589uQMiNCqnIy6C1l7OHvafDT4PuqWPJf7w50EfQ==" saltValue="c2cjeyo0f8T8IaXNDYfcM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114</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1" t="s">
        <v>17</v>
      </c>
      <c r="C9" s="83" t="s">
        <v>11</v>
      </c>
      <c r="D9" s="82"/>
      <c r="E9" s="83"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234</v>
      </c>
      <c r="C11" s="21">
        <v>0</v>
      </c>
      <c r="D11" s="14" t="s">
        <v>3</v>
      </c>
      <c r="E11" s="9">
        <v>128615</v>
      </c>
      <c r="F11" s="14" t="s">
        <v>3</v>
      </c>
      <c r="G11" s="1"/>
    </row>
    <row r="12" spans="1:7" x14ac:dyDescent="0.25">
      <c r="A12" s="1"/>
      <c r="B12" s="24" t="s">
        <v>235</v>
      </c>
      <c r="C12" s="21">
        <v>519956</v>
      </c>
      <c r="D12" s="14" t="s">
        <v>3</v>
      </c>
      <c r="E12" s="9">
        <v>1937467</v>
      </c>
      <c r="F12" s="14" t="s">
        <v>3</v>
      </c>
      <c r="G12" s="1"/>
    </row>
    <row r="13" spans="1:7" x14ac:dyDescent="0.25">
      <c r="A13" s="1"/>
      <c r="B13" s="24" t="s">
        <v>237</v>
      </c>
      <c r="C13" s="21">
        <v>95844</v>
      </c>
      <c r="D13" s="14" t="s">
        <v>3</v>
      </c>
      <c r="E13" s="9">
        <v>0</v>
      </c>
      <c r="F13" s="14" t="s">
        <v>3</v>
      </c>
      <c r="G13" s="1"/>
    </row>
    <row r="14" spans="1:7" x14ac:dyDescent="0.25">
      <c r="A14" s="1"/>
      <c r="B14" s="24" t="s">
        <v>238</v>
      </c>
      <c r="C14" s="21">
        <v>80712</v>
      </c>
      <c r="D14" s="14" t="s">
        <v>3</v>
      </c>
      <c r="E14" s="9">
        <v>0</v>
      </c>
      <c r="F14" s="14" t="s">
        <v>3</v>
      </c>
      <c r="G14" s="1"/>
    </row>
    <row r="15" spans="1:7" x14ac:dyDescent="0.25">
      <c r="A15" s="1"/>
      <c r="B15" s="24" t="s">
        <v>239</v>
      </c>
      <c r="C15" s="21">
        <v>127051</v>
      </c>
      <c r="D15" s="14" t="s">
        <v>3</v>
      </c>
      <c r="E15" s="9">
        <v>0</v>
      </c>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823563</v>
      </c>
      <c r="D19" s="13" t="s">
        <v>3</v>
      </c>
      <c r="E19" s="12">
        <f>SUM(E10:E18)</f>
        <v>2066082</v>
      </c>
      <c r="F19" s="13" t="s">
        <v>3</v>
      </c>
      <c r="G19" s="1"/>
    </row>
    <row r="20" spans="1:7" x14ac:dyDescent="0.25">
      <c r="A20" s="1"/>
      <c r="B20" s="33" t="s">
        <v>175</v>
      </c>
      <c r="C20" s="12">
        <f>C19*(1+'Fane 15. Nøgletal'!C10)</f>
        <v>878165.22690000001</v>
      </c>
      <c r="D20" s="13" t="s">
        <v>3</v>
      </c>
      <c r="E20" s="12">
        <f>E19*(1+'Fane 15. Nøgletal'!C10)</f>
        <v>2203063.2365999999</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gWJMvYMXlFnzFOOFtJOyGAdb+xZotaYAnoUGWPrXEy5l5KSKfA6SZIVjEVNG8TWFnUgejWHaaMHLltQrWf+Gg==" saltValue="Tv0sfPmJwwzD+2aQPei38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1"/>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115</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9" t="s">
        <v>176</v>
      </c>
      <c r="C8" s="110"/>
      <c r="D8" s="110"/>
      <c r="E8" s="110"/>
      <c r="F8" s="111"/>
      <c r="G8" s="1"/>
    </row>
    <row r="9" spans="1:7" x14ac:dyDescent="0.25">
      <c r="A9" s="1"/>
      <c r="B9" s="81" t="s">
        <v>17</v>
      </c>
      <c r="C9" s="83" t="s">
        <v>11</v>
      </c>
      <c r="D9" s="82"/>
      <c r="E9" s="83" t="s">
        <v>27</v>
      </c>
      <c r="F9" s="32"/>
      <c r="G9" s="1"/>
    </row>
    <row r="10" spans="1:7" x14ac:dyDescent="0.25">
      <c r="A10" s="1"/>
      <c r="B10" s="24" t="s">
        <v>234</v>
      </c>
      <c r="C10" s="21">
        <v>0</v>
      </c>
      <c r="D10" s="14" t="s">
        <v>3</v>
      </c>
      <c r="E10" s="9">
        <v>76314</v>
      </c>
      <c r="F10" s="14" t="s">
        <v>3</v>
      </c>
      <c r="G10" s="1"/>
    </row>
    <row r="11" spans="1:7" x14ac:dyDescent="0.25">
      <c r="A11" s="1"/>
      <c r="B11" s="24" t="s">
        <v>236</v>
      </c>
      <c r="C11" s="21">
        <v>0</v>
      </c>
      <c r="D11" s="14" t="s">
        <v>3</v>
      </c>
      <c r="E11" s="9">
        <v>890651</v>
      </c>
      <c r="F11" s="14" t="s">
        <v>3</v>
      </c>
      <c r="G11" s="1"/>
    </row>
    <row r="12" spans="1:7" x14ac:dyDescent="0.25">
      <c r="A12" s="1"/>
      <c r="B12" s="24" t="s">
        <v>237</v>
      </c>
      <c r="C12" s="21">
        <v>1437661</v>
      </c>
      <c r="D12" s="14" t="s">
        <v>3</v>
      </c>
      <c r="E12" s="9">
        <v>0</v>
      </c>
      <c r="F12" s="14" t="s">
        <v>3</v>
      </c>
      <c r="G12" s="1"/>
    </row>
    <row r="13" spans="1:7" x14ac:dyDescent="0.25">
      <c r="A13" s="1"/>
      <c r="B13" s="24" t="s">
        <v>238</v>
      </c>
      <c r="C13" s="21">
        <v>807118</v>
      </c>
      <c r="D13" s="14" t="s">
        <v>3</v>
      </c>
      <c r="E13" s="9">
        <v>0</v>
      </c>
      <c r="F13" s="14" t="s">
        <v>3</v>
      </c>
      <c r="G13" s="1"/>
    </row>
    <row r="14" spans="1:7" x14ac:dyDescent="0.25">
      <c r="A14" s="1"/>
      <c r="B14" s="24" t="s">
        <v>239</v>
      </c>
      <c r="C14" s="21">
        <v>1270512</v>
      </c>
      <c r="D14" s="14" t="s">
        <v>3</v>
      </c>
      <c r="E14" s="9"/>
      <c r="F14" s="14" t="s">
        <v>3</v>
      </c>
      <c r="G14" s="1"/>
    </row>
    <row r="15" spans="1:7" x14ac:dyDescent="0.25">
      <c r="A15" s="1"/>
      <c r="B15" s="33" t="s">
        <v>177</v>
      </c>
      <c r="C15" s="12">
        <f>SUM(C10:C14)</f>
        <v>3515291</v>
      </c>
      <c r="D15" s="13" t="s">
        <v>3</v>
      </c>
      <c r="E15" s="12">
        <f>SUM(E10:E14)</f>
        <v>966965</v>
      </c>
      <c r="F15" s="13" t="s">
        <v>3</v>
      </c>
      <c r="G15" s="1"/>
    </row>
    <row r="16" spans="1:7" x14ac:dyDescent="0.25">
      <c r="A16" s="1"/>
      <c r="B16" s="33" t="s">
        <v>178</v>
      </c>
      <c r="C16" s="12">
        <f>C15*(1+'Fane 15. Nøgletal'!C10)^2</f>
        <v>3996870.7160957898</v>
      </c>
      <c r="D16" s="13" t="s">
        <v>3</v>
      </c>
      <c r="E16" s="12">
        <f>E15*(1+'Fane 15. Nøgletal'!C10)^2</f>
        <v>1099435.0373808499</v>
      </c>
      <c r="F16" s="13" t="s">
        <v>3</v>
      </c>
      <c r="G16" s="1"/>
    </row>
    <row r="17" spans="1:7" x14ac:dyDescent="0.25">
      <c r="A17" s="1"/>
      <c r="B17" s="1"/>
      <c r="C17" s="1"/>
      <c r="D17" s="1"/>
      <c r="E17" s="1"/>
      <c r="F17" s="1"/>
      <c r="G17" s="1"/>
    </row>
    <row r="18" spans="1:7" x14ac:dyDescent="0.25">
      <c r="A18" s="1"/>
      <c r="B18" s="128"/>
      <c r="C18" s="128"/>
      <c r="D18" s="128"/>
      <c r="E18" s="128"/>
      <c r="F18" s="128"/>
      <c r="G18" s="1"/>
    </row>
    <row r="19" spans="1:7" x14ac:dyDescent="0.25">
      <c r="A19" s="1"/>
      <c r="B19" s="47"/>
      <c r="C19" s="47"/>
      <c r="D19" s="47"/>
      <c r="E19" s="47"/>
      <c r="F19" s="48"/>
      <c r="G19" s="1"/>
    </row>
    <row r="20" spans="1:7" x14ac:dyDescent="0.25">
      <c r="A20" s="1"/>
      <c r="B20" s="49"/>
      <c r="C20" s="50"/>
      <c r="D20" s="51"/>
      <c r="E20" s="52"/>
      <c r="F20" s="51"/>
      <c r="G20" s="1"/>
    </row>
    <row r="21" spans="1:7" x14ac:dyDescent="0.25">
      <c r="A21" s="1"/>
      <c r="B21" s="49"/>
      <c r="C21" s="50"/>
      <c r="D21" s="51"/>
      <c r="E21" s="52"/>
      <c r="F21" s="51"/>
      <c r="G21" s="1"/>
    </row>
    <row r="22" spans="1:7" x14ac:dyDescent="0.25">
      <c r="A22" s="1"/>
      <c r="B22" s="53"/>
      <c r="C22" s="54"/>
      <c r="D22" s="55"/>
      <c r="E22" s="54"/>
      <c r="F22" s="55"/>
      <c r="G22" s="1"/>
    </row>
    <row r="23" spans="1:7" x14ac:dyDescent="0.25">
      <c r="A23" s="1"/>
      <c r="B23" s="53"/>
      <c r="C23" s="54"/>
      <c r="D23" s="55"/>
      <c r="E23" s="54"/>
      <c r="F23" s="55"/>
      <c r="G23" s="1"/>
    </row>
    <row r="24" spans="1:7" x14ac:dyDescent="0.25">
      <c r="A24" s="1"/>
      <c r="B24" s="46"/>
      <c r="C24" s="46"/>
      <c r="D24" s="46"/>
      <c r="E24" s="46"/>
      <c r="F24" s="46"/>
      <c r="G24" s="1"/>
    </row>
    <row r="25" spans="1:7" x14ac:dyDescent="0.25">
      <c r="A25" s="1"/>
      <c r="B25" s="47"/>
      <c r="C25" s="47"/>
      <c r="D25" s="47"/>
      <c r="E25" s="47"/>
      <c r="F25" s="48"/>
      <c r="G25" s="1"/>
    </row>
    <row r="26" spans="1:7" x14ac:dyDescent="0.25">
      <c r="A26" s="1"/>
      <c r="B26" s="49"/>
      <c r="C26" s="50"/>
      <c r="D26" s="51"/>
      <c r="E26" s="52"/>
      <c r="F26" s="51"/>
      <c r="G26" s="1"/>
    </row>
    <row r="27" spans="1:7" x14ac:dyDescent="0.25">
      <c r="A27" s="1"/>
      <c r="B27" s="49"/>
      <c r="C27" s="50"/>
      <c r="D27" s="51"/>
      <c r="E27" s="52"/>
      <c r="F27" s="51"/>
      <c r="G27" s="1"/>
    </row>
    <row r="28" spans="1:7" x14ac:dyDescent="0.25">
      <c r="A28" s="1"/>
      <c r="B28" s="53"/>
      <c r="C28" s="54"/>
      <c r="D28" s="55"/>
      <c r="E28" s="54"/>
      <c r="F28" s="55"/>
      <c r="G28" s="1"/>
    </row>
    <row r="29" spans="1:7" x14ac:dyDescent="0.25">
      <c r="A29" s="1"/>
      <c r="B29" s="53"/>
      <c r="C29" s="54"/>
      <c r="D29" s="55"/>
      <c r="E29" s="54"/>
      <c r="F29" s="55"/>
      <c r="G29" s="1"/>
    </row>
    <row r="30" spans="1:7" x14ac:dyDescent="0.25">
      <c r="A30" s="1"/>
      <c r="B30" s="46"/>
      <c r="C30" s="46"/>
      <c r="D30" s="46"/>
      <c r="E30" s="46"/>
      <c r="F30" s="46"/>
      <c r="G30" s="1"/>
    </row>
    <row r="31" spans="1:7" x14ac:dyDescent="0.25">
      <c r="A31" s="1"/>
      <c r="B31" s="128"/>
      <c r="C31" s="128"/>
      <c r="D31" s="128"/>
      <c r="E31" s="128"/>
      <c r="F31" s="128"/>
      <c r="G31" s="1"/>
    </row>
    <row r="32" spans="1:7" x14ac:dyDescent="0.25">
      <c r="A32" s="1"/>
      <c r="B32" s="47"/>
      <c r="C32" s="47"/>
      <c r="D32" s="47"/>
      <c r="E32" s="47"/>
      <c r="F32" s="48"/>
      <c r="G32" s="1"/>
    </row>
    <row r="33" spans="1:7" x14ac:dyDescent="0.25">
      <c r="A33" s="1"/>
      <c r="B33" s="49"/>
      <c r="C33" s="50"/>
      <c r="D33" s="51"/>
      <c r="E33" s="52"/>
      <c r="F33" s="51"/>
      <c r="G33" s="1"/>
    </row>
    <row r="34" spans="1:7" x14ac:dyDescent="0.25">
      <c r="A34" s="1"/>
      <c r="B34" s="49"/>
      <c r="C34" s="50"/>
      <c r="D34" s="51"/>
      <c r="E34" s="52"/>
      <c r="F34" s="51"/>
      <c r="G34" s="1"/>
    </row>
    <row r="35" spans="1:7" x14ac:dyDescent="0.25">
      <c r="A35" s="1"/>
      <c r="B35" s="53"/>
      <c r="C35" s="54"/>
      <c r="D35" s="55"/>
      <c r="E35" s="54"/>
      <c r="F35" s="55"/>
      <c r="G35" s="1"/>
    </row>
    <row r="36" spans="1:7" x14ac:dyDescent="0.25">
      <c r="A36" s="1"/>
      <c r="B36" s="53"/>
      <c r="C36" s="54"/>
      <c r="D36" s="55"/>
      <c r="E36" s="54"/>
      <c r="F36" s="55"/>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sheetData>
  <sheetProtection algorithmName="SHA-512" hashValue="SZbACSt9OtpP8ajL/635eF9SFcLdYbiPKZ5LCyTTkkCOh2HyVZDzwhROimJSGIewclGjEB3MK039P0VhzJizTg==" saltValue="adQ9XpZ5ZoFWduTeJnMqIg==" spinCount="100000" sheet="1" objects="1" scenarios="1"/>
  <mergeCells count="4">
    <mergeCell ref="B31:F31"/>
    <mergeCell ref="B3:F4"/>
    <mergeCell ref="B8:F8"/>
    <mergeCell ref="B18:F18"/>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116</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ht="14.25" customHeight="1" x14ac:dyDescent="0.25">
      <c r="A8" s="1"/>
      <c r="B8" s="109" t="s">
        <v>73</v>
      </c>
      <c r="C8" s="110"/>
      <c r="D8" s="111"/>
      <c r="E8" s="1"/>
    </row>
    <row r="9" spans="1:5" x14ac:dyDescent="0.25">
      <c r="A9" s="1"/>
      <c r="B9" s="68" t="s">
        <v>179</v>
      </c>
      <c r="C9" s="9">
        <f>1790363.9396296*(1+'Fane 15. Nøgletal'!C9)</f>
        <v>1935025.3459516715</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-38700.506919033432</v>
      </c>
      <c r="D11" s="14" t="s">
        <v>3</v>
      </c>
      <c r="E11" s="1"/>
    </row>
    <row r="12" spans="1:5" x14ac:dyDescent="0.25">
      <c r="A12" s="1"/>
      <c r="B12" s="77" t="s">
        <v>74</v>
      </c>
      <c r="C12" s="12">
        <f>SUM(C9:C11)*(1+'Fane 15. Nøgletal'!C9)^2</f>
        <v>2215151.3552174144</v>
      </c>
      <c r="D12" s="13" t="s">
        <v>3</v>
      </c>
      <c r="E12" s="1"/>
    </row>
    <row r="13" spans="1:5" x14ac:dyDescent="0.25">
      <c r="A13" s="1"/>
      <c r="B13" s="1"/>
      <c r="C13" s="1"/>
      <c r="D13" s="1"/>
      <c r="E13" s="1"/>
    </row>
    <row r="14" spans="1:5" ht="15" customHeight="1" x14ac:dyDescent="0.25">
      <c r="A14" s="1"/>
      <c r="B14" s="109" t="s">
        <v>84</v>
      </c>
      <c r="C14" s="110"/>
      <c r="D14" s="111"/>
      <c r="E14" s="1"/>
    </row>
    <row r="15" spans="1:5" x14ac:dyDescent="0.25">
      <c r="A15" s="1"/>
      <c r="B15" s="68" t="s">
        <v>179</v>
      </c>
      <c r="C15" s="9">
        <v>1854100.8958804095</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-37082.017917608195</v>
      </c>
      <c r="D17" s="14" t="s">
        <v>3</v>
      </c>
      <c r="E17" s="1"/>
    </row>
    <row r="18" spans="1:5" x14ac:dyDescent="0.25">
      <c r="A18" s="1"/>
      <c r="B18" s="77" t="s">
        <v>85</v>
      </c>
      <c r="C18" s="12">
        <f>SUM(C15:C17)*(1+'Fane 15. Nøgletal'!C10)^3</f>
        <v>2202914.6294531035</v>
      </c>
      <c r="D18" s="13" t="s">
        <v>3</v>
      </c>
      <c r="E18" s="1"/>
    </row>
    <row r="19" spans="1:5" x14ac:dyDescent="0.25">
      <c r="A19" s="1"/>
      <c r="B19" s="1"/>
      <c r="C19" s="1"/>
      <c r="D19" s="1"/>
      <c r="E19" s="1"/>
    </row>
    <row r="20" spans="1:5" ht="15" customHeight="1" x14ac:dyDescent="0.25">
      <c r="A20" s="1"/>
      <c r="B20" s="109" t="s">
        <v>140</v>
      </c>
      <c r="C20" s="110"/>
      <c r="D20" s="111"/>
      <c r="E20" s="1"/>
    </row>
    <row r="21" spans="1:5" x14ac:dyDescent="0.25">
      <c r="A21" s="1"/>
      <c r="B21" s="68" t="s">
        <v>179</v>
      </c>
      <c r="C21" s="9">
        <v>1854100.8958804095</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-37082.017917608195</v>
      </c>
      <c r="D23" s="14" t="s">
        <v>3</v>
      </c>
      <c r="E23" s="1"/>
    </row>
    <row r="24" spans="1:5" x14ac:dyDescent="0.25">
      <c r="A24" s="1"/>
      <c r="B24" s="77" t="s">
        <v>141</v>
      </c>
      <c r="C24" s="12">
        <f>SUM(C21:C23)*(1+'Fane 15. Nøgletal'!C10)^4</f>
        <v>2348967.8693858441</v>
      </c>
      <c r="D24" s="13" t="s">
        <v>3</v>
      </c>
      <c r="E24" s="1"/>
    </row>
    <row r="25" spans="1:5" x14ac:dyDescent="0.25">
      <c r="A25" s="1"/>
      <c r="B25" s="1"/>
      <c r="C25" s="1"/>
      <c r="D25" s="1"/>
      <c r="E25" s="1"/>
    </row>
    <row r="26" spans="1:5" ht="15" customHeight="1" x14ac:dyDescent="0.25">
      <c r="A26" s="1"/>
      <c r="B26" s="109" t="s">
        <v>180</v>
      </c>
      <c r="C26" s="110"/>
      <c r="D26" s="111"/>
      <c r="E26" s="1"/>
    </row>
    <row r="27" spans="1:5" ht="14.25" customHeight="1" x14ac:dyDescent="0.25">
      <c r="A27" s="1"/>
      <c r="B27" s="68" t="s">
        <v>179</v>
      </c>
      <c r="C27" s="9">
        <v>1854100.8958804095</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-37082.017917608195</v>
      </c>
      <c r="D29" s="14" t="s">
        <v>3</v>
      </c>
      <c r="E29" s="1"/>
    </row>
    <row r="30" spans="1:5" x14ac:dyDescent="0.25">
      <c r="A30" s="1"/>
      <c r="B30" s="77" t="s">
        <v>181</v>
      </c>
      <c r="C30" s="12">
        <f>SUM(C27:C29)*(1+'Fane 15. Nøgletal'!C10)^5</f>
        <v>2504704.4391261255</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6sWTWtirIWt5zn8KA8kHKw7JZsDK2pwngVsrQaVJkadHVHdUf8nYZUgkWMJi1lB1ROrUsBO2To1nnODsJdoJyw==" saltValue="l4JoU92B2gxUqHV07iQmhQ=="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x14ac:dyDescent="0.25">
      <c r="A8" s="1"/>
      <c r="B8" s="109" t="s">
        <v>66</v>
      </c>
      <c r="C8" s="110"/>
      <c r="D8" s="110"/>
      <c r="E8" s="110"/>
      <c r="F8" s="111"/>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kwrOFB3i2/eZQJlvzc4Z6JIaJo1snN7tZOJN5Nn+CCZRB6lYJBI4XFgaDkUO7B6aAoIgp79bmaGe4EtQlGJXeg==" saltValue="AM3/zm0Ksf77r2+vpluCVA=="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9" t="s">
        <v>183</v>
      </c>
      <c r="C8" s="110"/>
      <c r="D8" s="110"/>
      <c r="E8" s="110"/>
      <c r="F8" s="111"/>
      <c r="G8" s="1"/>
    </row>
    <row r="9" spans="1:7" x14ac:dyDescent="0.25">
      <c r="A9" s="1"/>
      <c r="B9" s="31" t="s">
        <v>18</v>
      </c>
      <c r="C9" s="129" t="s">
        <v>11</v>
      </c>
      <c r="D9" s="130"/>
      <c r="E9" s="129" t="s">
        <v>27</v>
      </c>
      <c r="F9" s="130"/>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8"/>
      <c r="C14" s="128"/>
      <c r="D14" s="128"/>
      <c r="E14" s="128"/>
      <c r="F14" s="128"/>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8"/>
      <c r="C21" s="128"/>
      <c r="D21" s="128"/>
      <c r="E21" s="128"/>
      <c r="F21" s="128"/>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8"/>
      <c r="C27" s="128"/>
      <c r="D27" s="128"/>
      <c r="E27" s="128"/>
      <c r="F27" s="128"/>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9rXJ3+M6f90mDI2HRWAOv4NFfKBjsH0kxHt7Yo4ENRIHYT1B+W39yq+DpD+dlWS4BOiqYwHTbr5leraHyaid1w==" saltValue="1QOdqJa7SBQc1i+GUFjOuw=="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155</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111687339.24338475</v>
      </c>
      <c r="D9" s="8" t="s">
        <v>3</v>
      </c>
      <c r="E9" s="1"/>
    </row>
    <row r="10" spans="1:5" ht="17.25" customHeight="1" x14ac:dyDescent="0.25">
      <c r="A10" s="1"/>
      <c r="B10" s="64" t="s">
        <v>35</v>
      </c>
      <c r="C10" s="7">
        <f>'Fane 11.1. Varige tillæg'!C20</f>
        <v>878165.22690000001</v>
      </c>
      <c r="D10" s="8" t="s">
        <v>3</v>
      </c>
      <c r="E10" s="1"/>
    </row>
    <row r="11" spans="1:5" ht="17.25" customHeight="1" x14ac:dyDescent="0.25">
      <c r="A11" s="1"/>
      <c r="B11" s="64" t="s">
        <v>36</v>
      </c>
      <c r="C11" s="9">
        <f>'Fane 11.1. Varige tillæg'!E20</f>
        <v>2203063.2365999999</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9228622.4579955377</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-778110.98907706956</v>
      </c>
      <c r="D18" s="8" t="s">
        <v>3</v>
      </c>
      <c r="E18" s="1"/>
    </row>
    <row r="19" spans="1:5" ht="17.25" customHeight="1" x14ac:dyDescent="0.25">
      <c r="A19" s="1"/>
      <c r="B19" s="64" t="s">
        <v>23</v>
      </c>
      <c r="C19" s="38">
        <f>-'Fane 4.2. Gen. krav - anlæg'!C17</f>
        <v>0</v>
      </c>
      <c r="D19" s="8" t="s">
        <v>3</v>
      </c>
      <c r="E19" s="43"/>
    </row>
    <row r="20" spans="1:5" ht="17.25" customHeight="1" x14ac:dyDescent="0.25">
      <c r="A20" s="1"/>
      <c r="B20" s="83" t="s">
        <v>21</v>
      </c>
      <c r="C20" s="10">
        <f>SUM(C9:C19)</f>
        <v>123219079.1758032</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4448978.9831996998</v>
      </c>
      <c r="D22" s="11" t="s">
        <v>3</v>
      </c>
      <c r="E22" s="1"/>
    </row>
    <row r="23" spans="1:5" ht="15" customHeight="1" x14ac:dyDescent="0.25">
      <c r="A23" s="1"/>
      <c r="B23" s="33" t="s">
        <v>42</v>
      </c>
      <c r="C23" s="28"/>
      <c r="D23" s="19"/>
      <c r="E23" s="1"/>
    </row>
    <row r="24" spans="1:5" ht="15" customHeight="1" x14ac:dyDescent="0.25">
      <c r="A24" s="1"/>
      <c r="B24" s="83" t="s">
        <v>42</v>
      </c>
      <c r="C24" s="10">
        <f>'Fane 12. Periodevise driftsomk.'!C12</f>
        <v>2215151.3552174144</v>
      </c>
      <c r="D24" s="11" t="s">
        <v>3</v>
      </c>
      <c r="E24" s="1"/>
    </row>
    <row r="25" spans="1:5" ht="15" customHeight="1" x14ac:dyDescent="0.25">
      <c r="A25" s="1"/>
      <c r="B25" s="41" t="s">
        <v>41</v>
      </c>
      <c r="C25" s="39"/>
      <c r="D25" s="40"/>
      <c r="E25" s="1"/>
    </row>
    <row r="26" spans="1:5" ht="15" customHeight="1" x14ac:dyDescent="0.25">
      <c r="A26" s="1"/>
      <c r="B26" s="64" t="s">
        <v>89</v>
      </c>
      <c r="C26" s="38">
        <f>'Fane 11.2. Engangstillæg'!C16</f>
        <v>3996870.7160957898</v>
      </c>
      <c r="D26" s="8" t="s">
        <v>3</v>
      </c>
      <c r="E26" s="1"/>
    </row>
    <row r="27" spans="1:5" ht="15" customHeight="1" x14ac:dyDescent="0.25">
      <c r="A27" s="1"/>
      <c r="B27" s="64" t="s">
        <v>38</v>
      </c>
      <c r="C27" s="38">
        <f>'Fane 11.2. Engangstillæg'!E16</f>
        <v>1099435.0373808499</v>
      </c>
      <c r="D27" s="8" t="s">
        <v>3</v>
      </c>
      <c r="E27" s="1"/>
    </row>
    <row r="28" spans="1:5" ht="15" customHeight="1" x14ac:dyDescent="0.25">
      <c r="A28" s="1"/>
      <c r="B28" s="64" t="s">
        <v>92</v>
      </c>
      <c r="C28" s="38">
        <f>-C26*('Fane 15. Nøgletal'!C21+'Fane 5. Individuelt eff. krav'!C9)</f>
        <v>-79937.4143219158</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5016368.339154724</v>
      </c>
      <c r="D30" s="11" t="s">
        <v>3</v>
      </c>
      <c r="E30" s="1"/>
    </row>
    <row r="31" spans="1:5" x14ac:dyDescent="0.25">
      <c r="A31" s="1"/>
      <c r="B31" s="33" t="s">
        <v>69</v>
      </c>
      <c r="C31" s="28"/>
      <c r="D31" s="19"/>
      <c r="E31" s="1"/>
    </row>
    <row r="32" spans="1:5" x14ac:dyDescent="0.25">
      <c r="A32" s="1"/>
      <c r="B32" s="31" t="s">
        <v>79</v>
      </c>
      <c r="C32" s="62">
        <f>'Fane 7. Kontrol af ØR2023'!C27</f>
        <v>0</v>
      </c>
      <c r="D32" s="11" t="s">
        <v>3</v>
      </c>
      <c r="E32" s="1"/>
    </row>
    <row r="33" spans="1:5" ht="15" customHeight="1" x14ac:dyDescent="0.25">
      <c r="A33" s="1"/>
      <c r="B33" s="33" t="s">
        <v>154</v>
      </c>
      <c r="C33" s="28"/>
      <c r="D33" s="19"/>
      <c r="E33" s="1"/>
    </row>
    <row r="34" spans="1:5" x14ac:dyDescent="0.25">
      <c r="A34" s="1"/>
      <c r="B34" s="31" t="s">
        <v>154</v>
      </c>
      <c r="C34" s="10">
        <f>'Fane 9. Korrektion af ØR2023'!C16</f>
        <v>-80163.990658833412</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134819413.8627162</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FeHB9gilPaWU99l8L4HuWcMMCzYIPQNprq99DShlbIgTagD0rE5o8bAx/KN3AcR2xdXzzSHf2hsfPhMVvEhn3A==" saltValue="pjlMZ+cx0uasS2WmuJ4Hz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15" customHeight="1" x14ac:dyDescent="0.25">
      <c r="A4" s="1"/>
      <c r="B4" s="107"/>
      <c r="C4" s="107"/>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weDBhqXa0ntkLVvNMBlkW9237eVKXhWbuDHCdVTf18WTeMAdGJFNzWoIKqO/Dg4TAa9BpZ0Xa/o5hE4JNsyN2g==" saltValue="kK/fIKJJVof2HoFQHjjnV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156</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123219079.1758032</v>
      </c>
      <c r="D9" s="8" t="s">
        <v>3</v>
      </c>
      <c r="E9" s="1"/>
    </row>
    <row r="10" spans="1:5" ht="15" customHeight="1" x14ac:dyDescent="0.25">
      <c r="A10" s="1"/>
      <c r="B10" s="26" t="s">
        <v>19</v>
      </c>
      <c r="C10" s="7">
        <f>C9*'Fane 15. Nøgletal'!C10</f>
        <v>8169424.9493557522</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-813105.75269982172</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130575398.37245913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4743283.2897858396</v>
      </c>
      <c r="D16" s="11" t="s">
        <v>3</v>
      </c>
      <c r="E16" s="1"/>
    </row>
    <row r="17" spans="1:5" ht="15" customHeight="1" x14ac:dyDescent="0.25">
      <c r="A17" s="1"/>
      <c r="B17" s="33" t="s">
        <v>42</v>
      </c>
      <c r="C17" s="28"/>
      <c r="D17" s="19"/>
      <c r="E17" s="1"/>
    </row>
    <row r="18" spans="1:5" ht="15" customHeight="1" x14ac:dyDescent="0.25">
      <c r="A18" s="1"/>
      <c r="B18" s="83" t="s">
        <v>42</v>
      </c>
      <c r="C18" s="10">
        <f>'Fane 12. Periodevise driftsomk.'!C18</f>
        <v>2202914.6294531035</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137521596.29169807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ZaWWEBsa9lhxRaoLMswdaZvxTlL4HrU2jBfRSRdoaOFnUWjssQWDu8FeKYszTcYWzi8IIsHEGdH4F2dNusGqWw==" saltValue="Bn0ThhTZLkp1sKtkimzQD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157</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130575398.37245913</v>
      </c>
      <c r="D9" s="8" t="s">
        <v>3</v>
      </c>
      <c r="E9" s="1"/>
    </row>
    <row r="10" spans="1:5" ht="15" customHeight="1" x14ac:dyDescent="0.25">
      <c r="A10" s="1"/>
      <c r="B10" s="26" t="s">
        <v>19</v>
      </c>
      <c r="C10" s="7">
        <f>SUM(C9:C9)*'Fane 15. Nøgletal'!C10</f>
        <v>8657148.9120940398</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-849674.37082174362</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138382872.91373143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5057099.9718986414</v>
      </c>
      <c r="D16" s="11" t="s">
        <v>3</v>
      </c>
      <c r="E16" s="1"/>
    </row>
    <row r="17" spans="1:5" ht="15" customHeight="1" x14ac:dyDescent="0.25">
      <c r="A17" s="1"/>
      <c r="B17" s="33" t="s">
        <v>42</v>
      </c>
      <c r="C17" s="28"/>
      <c r="D17" s="19"/>
      <c r="E17" s="1"/>
    </row>
    <row r="18" spans="1:5" ht="15" customHeight="1" x14ac:dyDescent="0.25">
      <c r="A18" s="1"/>
      <c r="B18" s="83" t="s">
        <v>42</v>
      </c>
      <c r="C18" s="10">
        <f>'Fane 12. Periodevise driftsomk.'!C24</f>
        <v>2348967.8693858441</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145788940.75501591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pP1bIUDx0D/G3zmVpeqqWtBWSp8uREJ1bEMidxwGshHHUKeGJVjzoKjmEzaDaivLgSFTD1hSZWtRB+sPiVfhrA==" saltValue="79Q6i3+YmtNI2FYIsyiig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158</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138382872.91373143</v>
      </c>
      <c r="D9" s="8" t="s">
        <v>3</v>
      </c>
      <c r="E9" s="1"/>
    </row>
    <row r="10" spans="1:5" ht="15" customHeight="1" x14ac:dyDescent="0.25">
      <c r="A10" s="1"/>
      <c r="B10" s="26" t="s">
        <v>19</v>
      </c>
      <c r="C10" s="7">
        <f>SUM(C9:C9)*'Fane 15. Nøgletal'!C10</f>
        <v>9174784.4741803929</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-887887.62597508077</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146669769.76193675</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5391722.7000355218</v>
      </c>
      <c r="D16" s="11" t="s">
        <v>3</v>
      </c>
      <c r="E16" s="1"/>
    </row>
    <row r="17" spans="1:5" ht="15" customHeight="1" x14ac:dyDescent="0.25">
      <c r="A17" s="1"/>
      <c r="B17" s="33" t="s">
        <v>42</v>
      </c>
      <c r="C17" s="28"/>
      <c r="D17" s="19"/>
      <c r="E17" s="1"/>
    </row>
    <row r="18" spans="1:5" ht="15" customHeight="1" x14ac:dyDescent="0.25">
      <c r="A18" s="1"/>
      <c r="B18" s="83" t="s">
        <v>42</v>
      </c>
      <c r="C18" s="10">
        <f>'Fane 12. Periodevise driftsomk.'!C30</f>
        <v>2504704.4391261255</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154566196.9010984</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OsjWUp92HUZGxR225Hz3DwqtO9mY5z+F1NundiuFQ2TmLSXcIE3KGIzmiASmamTt/8F8gws0k2vVa9lzJa8PGg==" saltValue="XKS12h8h6qbFjRudq4Z+X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7" t="s">
        <v>161</v>
      </c>
      <c r="C3" s="107"/>
      <c r="D3" s="107"/>
      <c r="E3" s="1"/>
    </row>
    <row r="4" spans="1:5" ht="15" customHeight="1" x14ac:dyDescent="0.25">
      <c r="A4" s="1"/>
      <c r="B4" s="107"/>
      <c r="C4" s="107"/>
      <c r="D4" s="107"/>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103557508.04437816</v>
      </c>
      <c r="D9" s="8" t="s">
        <v>3</v>
      </c>
      <c r="E9" s="1"/>
    </row>
    <row r="10" spans="1:5" ht="15" customHeight="1" x14ac:dyDescent="0.25">
      <c r="A10" s="1"/>
      <c r="B10" s="64" t="s">
        <v>35</v>
      </c>
      <c r="C10" s="7">
        <v>127077.2216</v>
      </c>
      <c r="D10" s="8" t="s">
        <v>3</v>
      </c>
      <c r="E10" s="1"/>
    </row>
    <row r="11" spans="1:5" ht="15" customHeight="1" x14ac:dyDescent="0.25">
      <c r="A11" s="1"/>
      <c r="B11" s="64" t="s">
        <v>36</v>
      </c>
      <c r="C11" s="9">
        <v>316423.6544</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8403281.5207665544</v>
      </c>
      <c r="D16" s="8" t="s">
        <v>3</v>
      </c>
      <c r="E16" s="1"/>
    </row>
    <row r="17" spans="1:5" ht="15" customHeight="1" x14ac:dyDescent="0.25">
      <c r="A17" s="1"/>
      <c r="B17" s="64" t="s">
        <v>10</v>
      </c>
      <c r="C17" s="38">
        <v>0</v>
      </c>
      <c r="D17" s="8" t="s">
        <v>3</v>
      </c>
      <c r="E17" s="1"/>
    </row>
    <row r="18" spans="1:5" ht="15" customHeight="1" x14ac:dyDescent="0.25">
      <c r="A18" s="1"/>
      <c r="B18" s="64" t="s">
        <v>22</v>
      </c>
      <c r="C18" s="38">
        <v>-716951.19775997405</v>
      </c>
      <c r="D18" s="8" t="s">
        <v>3</v>
      </c>
      <c r="E18" s="1"/>
    </row>
    <row r="19" spans="1:5" ht="15" customHeight="1" x14ac:dyDescent="0.25">
      <c r="A19" s="1"/>
      <c r="B19" s="64" t="s">
        <v>23</v>
      </c>
      <c r="C19" s="38">
        <v>0</v>
      </c>
      <c r="D19" s="8" t="s">
        <v>3</v>
      </c>
      <c r="E19" s="43"/>
    </row>
    <row r="20" spans="1:5" ht="15" customHeight="1" x14ac:dyDescent="0.25">
      <c r="A20" s="1"/>
      <c r="B20" s="83" t="s">
        <v>21</v>
      </c>
      <c r="C20" s="10">
        <v>111687339.24338475</v>
      </c>
      <c r="D20" s="11" t="s">
        <v>3</v>
      </c>
      <c r="E20" s="1"/>
    </row>
    <row r="21" spans="1:5" ht="15" customHeight="1" x14ac:dyDescent="0.25">
      <c r="A21" s="1"/>
      <c r="B21" s="33" t="s">
        <v>12</v>
      </c>
      <c r="C21" s="28"/>
      <c r="D21" s="19"/>
      <c r="E21" s="1"/>
    </row>
    <row r="22" spans="1:5" ht="15" customHeight="1" x14ac:dyDescent="0.25">
      <c r="A22" s="1"/>
      <c r="B22" s="31" t="s">
        <v>12</v>
      </c>
      <c r="C22" s="10">
        <v>4455021.3652793597</v>
      </c>
      <c r="D22" s="11" t="s">
        <v>3</v>
      </c>
      <c r="E22" s="1"/>
    </row>
    <row r="23" spans="1:5" ht="15" customHeight="1" x14ac:dyDescent="0.25">
      <c r="A23" s="1"/>
      <c r="B23" s="33" t="s">
        <v>42</v>
      </c>
      <c r="C23" s="28"/>
      <c r="D23" s="19"/>
      <c r="E23" s="1"/>
    </row>
    <row r="24" spans="1:5" ht="15" customHeight="1" x14ac:dyDescent="0.25">
      <c r="A24" s="1"/>
      <c r="B24" s="83" t="s">
        <v>42</v>
      </c>
      <c r="C24" s="10">
        <v>2049547.88602647</v>
      </c>
      <c r="D24" s="11" t="s">
        <v>3</v>
      </c>
      <c r="E24" s="1"/>
    </row>
    <row r="25" spans="1:5" x14ac:dyDescent="0.25">
      <c r="A25" s="1"/>
      <c r="B25" s="41" t="s">
        <v>41</v>
      </c>
      <c r="C25" s="39"/>
      <c r="D25" s="40"/>
      <c r="E25" s="1"/>
    </row>
    <row r="26" spans="1:5" ht="15" customHeight="1" x14ac:dyDescent="0.25">
      <c r="A26" s="1"/>
      <c r="B26" s="64" t="s">
        <v>89</v>
      </c>
      <c r="C26" s="71">
        <v>332665.51474239997</v>
      </c>
      <c r="D26" s="8" t="s">
        <v>3</v>
      </c>
      <c r="E26" s="1"/>
    </row>
    <row r="27" spans="1:5" ht="15" customHeight="1" x14ac:dyDescent="0.25">
      <c r="A27" s="1"/>
      <c r="B27" s="64" t="s">
        <v>38</v>
      </c>
      <c r="C27" s="72">
        <v>0</v>
      </c>
      <c r="D27" s="8" t="s">
        <v>3</v>
      </c>
      <c r="E27" s="1"/>
    </row>
    <row r="28" spans="1:5" ht="15" customHeight="1" x14ac:dyDescent="0.25">
      <c r="A28" s="1"/>
      <c r="B28" s="64" t="s">
        <v>92</v>
      </c>
      <c r="C28" s="71">
        <v>-6653.310294848</v>
      </c>
      <c r="D28" s="8" t="s">
        <v>3</v>
      </c>
      <c r="E28" s="1"/>
    </row>
    <row r="29" spans="1:5" ht="15" customHeight="1" x14ac:dyDescent="0.25">
      <c r="A29" s="1"/>
      <c r="B29" s="64" t="s">
        <v>93</v>
      </c>
      <c r="C29" s="72">
        <v>0</v>
      </c>
      <c r="D29" s="8" t="s">
        <v>3</v>
      </c>
      <c r="E29" s="1"/>
    </row>
    <row r="30" spans="1:5" ht="15" customHeight="1" x14ac:dyDescent="0.25">
      <c r="A30" s="1"/>
      <c r="B30" s="67" t="s">
        <v>43</v>
      </c>
      <c r="C30" s="10">
        <v>326012.20444755198</v>
      </c>
      <c r="D30" s="11" t="s">
        <v>3</v>
      </c>
      <c r="E30" s="1"/>
    </row>
    <row r="31" spans="1:5" ht="15" customHeight="1" x14ac:dyDescent="0.25">
      <c r="A31" s="1"/>
      <c r="B31" s="33" t="s">
        <v>69</v>
      </c>
      <c r="C31" s="28"/>
      <c r="D31" s="19"/>
      <c r="E31" s="1"/>
    </row>
    <row r="32" spans="1:5" ht="15" customHeight="1" x14ac:dyDescent="0.25">
      <c r="A32" s="1"/>
      <c r="B32" s="31" t="s">
        <v>79</v>
      </c>
      <c r="C32" s="10">
        <v>0</v>
      </c>
      <c r="D32" s="11" t="s">
        <v>3</v>
      </c>
      <c r="E32" s="1"/>
    </row>
    <row r="33" spans="1:5" x14ac:dyDescent="0.25">
      <c r="A33" s="1"/>
      <c r="B33" s="33" t="s">
        <v>128</v>
      </c>
      <c r="C33" s="28"/>
      <c r="D33" s="19"/>
      <c r="E33" s="1"/>
    </row>
    <row r="34" spans="1:5" ht="15.4" customHeight="1" x14ac:dyDescent="0.25">
      <c r="A34" s="1"/>
      <c r="B34" s="31" t="s">
        <v>128</v>
      </c>
      <c r="C34" s="10">
        <v>-10000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118507920.69913813</v>
      </c>
      <c r="D37" s="30" t="s">
        <v>3</v>
      </c>
      <c r="E37" s="1"/>
    </row>
    <row r="38" spans="1:5" ht="30" customHeight="1" x14ac:dyDescent="0.25">
      <c r="A38" s="1"/>
      <c r="B38" s="108" t="s">
        <v>223</v>
      </c>
      <c r="C38" s="108"/>
      <c r="D38" s="108"/>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QTHp9ABpFblTZmtNRMSrMKEJyOr+CglaQi+Vxg1WwaFEKRCl+K0fMAEAPPPYRux4xEW9llUzPEVHs41yrwANQ==" saltValue="01FZ6XnTL8SR11jYNcjX/w=="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7" t="s">
        <v>56</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6"/>
      <c r="C6" s="76"/>
      <c r="D6" s="76"/>
      <c r="E6" s="1"/>
    </row>
    <row r="7" spans="1:5" x14ac:dyDescent="0.25">
      <c r="A7" s="1"/>
      <c r="B7" s="1"/>
      <c r="C7" s="1"/>
      <c r="D7" s="1"/>
      <c r="E7" s="1"/>
    </row>
    <row r="8" spans="1:5" x14ac:dyDescent="0.25">
      <c r="A8" s="1"/>
      <c r="B8" s="109" t="s">
        <v>123</v>
      </c>
      <c r="C8" s="110"/>
      <c r="D8" s="111"/>
      <c r="E8" s="1"/>
    </row>
    <row r="9" spans="1:5" x14ac:dyDescent="0.25">
      <c r="A9" s="1"/>
      <c r="B9" s="65" t="s">
        <v>88</v>
      </c>
      <c r="C9" s="23">
        <v>35710214.826893412</v>
      </c>
      <c r="D9" s="14" t="s">
        <v>3</v>
      </c>
      <c r="E9" s="1"/>
    </row>
    <row r="10" spans="1:5" x14ac:dyDescent="0.25">
      <c r="A10" s="1"/>
      <c r="B10" s="65" t="s">
        <v>125</v>
      </c>
      <c r="C10" s="23">
        <f>('Fane 3. Omkostninger i ØR2024'!C10+'Fane 3. Omkostninger i ØR2024'!C12+'Fane 3. Omkostninger i ØR2024'!C14)*(1+'Fane 15. Nøgletal'!C9)</f>
        <v>137345.06110528001</v>
      </c>
      <c r="D10" s="14" t="s">
        <v>3</v>
      </c>
      <c r="E10" s="1"/>
    </row>
    <row r="11" spans="1:5" x14ac:dyDescent="0.25">
      <c r="A11" s="1"/>
      <c r="B11" s="65" t="s">
        <v>131</v>
      </c>
      <c r="C11" s="23">
        <f>C9*'Fane 15. Nøgletal'!C21+C10*'Fane 15. Nøgletal'!C21</f>
        <v>716951.19775997382</v>
      </c>
      <c r="D11" s="14" t="s">
        <v>3</v>
      </c>
      <c r="E11" s="1"/>
    </row>
    <row r="12" spans="1:5" x14ac:dyDescent="0.25">
      <c r="A12" s="1"/>
      <c r="B12" s="33"/>
      <c r="C12" s="28"/>
      <c r="D12" s="19"/>
      <c r="E12" s="1"/>
    </row>
    <row r="13" spans="1:5" x14ac:dyDescent="0.25">
      <c r="A13" s="1"/>
      <c r="B13" s="1"/>
      <c r="C13" s="1"/>
      <c r="D13" s="1"/>
      <c r="E13" s="1"/>
    </row>
    <row r="14" spans="1:5" x14ac:dyDescent="0.25">
      <c r="A14" s="1"/>
      <c r="B14" s="109" t="s">
        <v>124</v>
      </c>
      <c r="C14" s="110"/>
      <c r="D14" s="111"/>
      <c r="E14" s="1"/>
    </row>
    <row r="15" spans="1:5" x14ac:dyDescent="0.25">
      <c r="A15" s="1"/>
      <c r="B15" s="65" t="s">
        <v>133</v>
      </c>
      <c r="C15" s="23">
        <f>(C9+C10-C11)*(1+'Fane 15. Nøgletal'!C9)</f>
        <v>37969161.872410007</v>
      </c>
      <c r="D15" s="14" t="s">
        <v>3</v>
      </c>
      <c r="E15" s="1"/>
    </row>
    <row r="16" spans="1:5" x14ac:dyDescent="0.25">
      <c r="A16" s="1"/>
      <c r="B16" s="65" t="s">
        <v>184</v>
      </c>
      <c r="C16" s="23">
        <f>('Fane 2.1. Økonomisk ramme 2025'!C10+'Fane 2.1. Økonomisk ramme 2025'!C12+'Fane 2.1. Økonomisk ramme 2025'!C14)*(1+'Fane 15. Nøgletal'!C10)</f>
        <v>936387.58144347009</v>
      </c>
      <c r="D16" s="14" t="s">
        <v>3</v>
      </c>
      <c r="E16" s="1"/>
    </row>
    <row r="17" spans="1:5" x14ac:dyDescent="0.25">
      <c r="A17" s="1"/>
      <c r="B17" s="65" t="s">
        <v>132</v>
      </c>
      <c r="C17" s="23">
        <f>C15*'Fane 15. Nøgletal'!C21+C16*'Fane 15. Nøgletal'!C21</f>
        <v>778110.98907706956</v>
      </c>
      <c r="D17" s="14" t="s">
        <v>3</v>
      </c>
      <c r="E17" s="1"/>
    </row>
    <row r="18" spans="1:5" x14ac:dyDescent="0.25">
      <c r="A18" s="1"/>
      <c r="B18" s="33"/>
      <c r="C18" s="28"/>
      <c r="D18" s="19"/>
      <c r="E18" s="1"/>
    </row>
    <row r="19" spans="1:5" x14ac:dyDescent="0.25">
      <c r="A19" s="1"/>
      <c r="B19" s="1"/>
      <c r="C19" s="63"/>
      <c r="D19" s="1"/>
      <c r="E19" s="1"/>
    </row>
    <row r="20" spans="1:5" x14ac:dyDescent="0.25">
      <c r="A20" s="1"/>
      <c r="B20" s="109" t="s">
        <v>145</v>
      </c>
      <c r="C20" s="110"/>
      <c r="D20" s="111"/>
      <c r="E20" s="1"/>
    </row>
    <row r="21" spans="1:5" x14ac:dyDescent="0.25">
      <c r="A21" s="1"/>
      <c r="B21" s="65" t="s">
        <v>189</v>
      </c>
      <c r="C21" s="23">
        <f>(C15+C16-C17)*(1+'Fane 15. Nøgletal'!C10)</f>
        <v>40655287.634991087</v>
      </c>
      <c r="D21" s="14" t="s">
        <v>3</v>
      </c>
      <c r="E21" s="1"/>
    </row>
    <row r="22" spans="1:5" x14ac:dyDescent="0.25">
      <c r="A22" s="1"/>
      <c r="B22" s="65" t="s">
        <v>196</v>
      </c>
      <c r="C22" s="23">
        <f>C21*'Fane 15. Nøgletal'!C21</f>
        <v>813105.75269982172</v>
      </c>
      <c r="D22" s="14" t="s">
        <v>3</v>
      </c>
      <c r="E22" s="1"/>
    </row>
    <row r="23" spans="1:5" x14ac:dyDescent="0.25">
      <c r="A23" s="1"/>
      <c r="B23" s="33"/>
      <c r="C23" s="28"/>
      <c r="D23" s="19"/>
      <c r="E23" s="1"/>
    </row>
    <row r="24" spans="1:5" x14ac:dyDescent="0.25">
      <c r="A24" s="1"/>
      <c r="B24" s="1"/>
      <c r="C24" s="1"/>
      <c r="D24" s="1"/>
      <c r="E24" s="1"/>
    </row>
    <row r="25" spans="1:5" x14ac:dyDescent="0.25">
      <c r="A25" s="1"/>
      <c r="B25" s="109" t="s">
        <v>187</v>
      </c>
      <c r="C25" s="110"/>
      <c r="D25" s="111"/>
      <c r="E25" s="1"/>
    </row>
    <row r="26" spans="1:5" x14ac:dyDescent="0.25">
      <c r="A26" s="1"/>
      <c r="B26" s="65" t="s">
        <v>190</v>
      </c>
      <c r="C26" s="23">
        <f>(C21-C22)*(1+'Fane 15. Nøgletal'!C10)</f>
        <v>42483718.54108718</v>
      </c>
      <c r="D26" s="14" t="s">
        <v>3</v>
      </c>
      <c r="E26" s="1"/>
    </row>
    <row r="27" spans="1:5" x14ac:dyDescent="0.25">
      <c r="A27" s="1"/>
      <c r="B27" s="65" t="s">
        <v>194</v>
      </c>
      <c r="C27" s="23">
        <f>C26*'Fane 15. Nøgletal'!C21</f>
        <v>849674.37082174362</v>
      </c>
      <c r="D27" s="14" t="s">
        <v>3</v>
      </c>
      <c r="E27" s="1"/>
    </row>
    <row r="28" spans="1:5" x14ac:dyDescent="0.25">
      <c r="A28" s="1"/>
      <c r="B28" s="33"/>
      <c r="C28" s="28"/>
      <c r="D28" s="19"/>
      <c r="E28" s="1"/>
    </row>
    <row r="29" spans="1:5" x14ac:dyDescent="0.25">
      <c r="A29" s="1"/>
      <c r="B29" s="1"/>
      <c r="C29" s="1"/>
      <c r="D29" s="1"/>
      <c r="E29" s="1"/>
    </row>
    <row r="30" spans="1:5" x14ac:dyDescent="0.25">
      <c r="A30" s="1"/>
      <c r="B30" s="109" t="s">
        <v>188</v>
      </c>
      <c r="C30" s="110"/>
      <c r="D30" s="111"/>
      <c r="E30" s="1"/>
    </row>
    <row r="31" spans="1:5" x14ac:dyDescent="0.25">
      <c r="A31" s="1"/>
      <c r="B31" s="65" t="s">
        <v>191</v>
      </c>
      <c r="C31" s="23">
        <f>(C26-C27)*(1+'Fane 15. Nøgletal'!C10)</f>
        <v>44394381.298754036</v>
      </c>
      <c r="D31" s="14" t="s">
        <v>3</v>
      </c>
      <c r="E31" s="1"/>
    </row>
    <row r="32" spans="1:5" x14ac:dyDescent="0.25">
      <c r="A32" s="1"/>
      <c r="B32" s="65" t="s">
        <v>195</v>
      </c>
      <c r="C32" s="23">
        <f>C31*'Fane 15. Nøgletal'!C21</f>
        <v>887887.62597508077</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QHgWwTjGVXUAtf0rWRb94tbmXnHlXSA+kmkjnjF9+3kPgdXH9A09Bq6vqJtfgTAVDOXolefquVITaNK/3JR8ew==" saltValue="DAXsRpxZATKLqAn9WteM5Q=="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2" t="s">
        <v>57</v>
      </c>
      <c r="C3" s="112"/>
      <c r="D3" s="112"/>
      <c r="E3" s="1"/>
    </row>
    <row r="4" spans="1:5" ht="15" customHeight="1" x14ac:dyDescent="0.25">
      <c r="A4" s="1"/>
      <c r="B4" s="112"/>
      <c r="C4" s="112"/>
      <c r="D4" s="112"/>
      <c r="E4" s="1"/>
    </row>
    <row r="5" spans="1:5" ht="15" customHeight="1" x14ac:dyDescent="0.25">
      <c r="A5" s="1"/>
      <c r="B5" s="112"/>
      <c r="C5" s="112"/>
      <c r="D5" s="112"/>
      <c r="E5" s="1"/>
    </row>
    <row r="6" spans="1:5" ht="15" customHeight="1" x14ac:dyDescent="0.35">
      <c r="A6" s="1"/>
      <c r="B6" s="69"/>
      <c r="C6" s="69"/>
      <c r="D6" s="69"/>
      <c r="E6" s="1"/>
    </row>
    <row r="7" spans="1:5" x14ac:dyDescent="0.25">
      <c r="A7" s="1"/>
      <c r="B7" s="1"/>
      <c r="C7" s="1"/>
      <c r="D7" s="1"/>
      <c r="E7" s="1"/>
    </row>
    <row r="8" spans="1:5" x14ac:dyDescent="0.25">
      <c r="A8" s="1"/>
      <c r="B8" s="109" t="s">
        <v>147</v>
      </c>
      <c r="C8" s="110"/>
      <c r="D8" s="111"/>
      <c r="E8" s="1"/>
    </row>
    <row r="9" spans="1:5" x14ac:dyDescent="0.25">
      <c r="A9" s="1"/>
      <c r="B9" s="65" t="s">
        <v>134</v>
      </c>
      <c r="C9" s="23">
        <v>91963522.479785278</v>
      </c>
      <c r="D9" s="14" t="s">
        <v>3</v>
      </c>
      <c r="E9" s="1"/>
    </row>
    <row r="10" spans="1:5" x14ac:dyDescent="0.25">
      <c r="A10" s="1"/>
      <c r="B10" s="65" t="s">
        <v>126</v>
      </c>
      <c r="C10" s="23">
        <f>('Fane 3. Omkostninger i ØR2024'!C11+'Fane 3. Omkostninger i ØR2024'!C13+'Fane 3. Omkostninger i ØR2024'!C15)*(1+'Fane 15. Nøgletal'!C9)</f>
        <v>341990.68567551998</v>
      </c>
      <c r="D10" s="14" t="s">
        <v>3</v>
      </c>
      <c r="E10" s="1"/>
    </row>
    <row r="11" spans="1:5" x14ac:dyDescent="0.25">
      <c r="A11" s="1"/>
      <c r="B11" s="65" t="s">
        <v>135</v>
      </c>
      <c r="C11" s="2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9" t="s">
        <v>146</v>
      </c>
      <c r="C14" s="110"/>
      <c r="D14" s="111"/>
      <c r="E14" s="1"/>
    </row>
    <row r="15" spans="1:5" x14ac:dyDescent="0.25">
      <c r="A15" s="1"/>
      <c r="B15" s="65" t="s">
        <v>136</v>
      </c>
      <c r="C15" s="23">
        <f>(C9+C10-C11)*(1+'Fane 15. Nøgletal'!C9)</f>
        <v>99763798.629230022</v>
      </c>
      <c r="D15" s="14" t="s">
        <v>3</v>
      </c>
      <c r="E15" s="1"/>
    </row>
    <row r="16" spans="1:5" x14ac:dyDescent="0.25">
      <c r="A16" s="1"/>
      <c r="B16" s="65" t="s">
        <v>185</v>
      </c>
      <c r="C16" s="23">
        <f>('Fane 2.1. Økonomisk ramme 2025'!C11+'Fane 2.1. Økonomisk ramme 2025'!C13+'Fane 2.1. Økonomisk ramme 2025'!C15)*(1+'Fane 15. Nøgletal'!C10)</f>
        <v>2349126.3291865801</v>
      </c>
      <c r="D16" s="14" t="s">
        <v>3</v>
      </c>
      <c r="E16" s="1"/>
    </row>
    <row r="17" spans="1:5" x14ac:dyDescent="0.25">
      <c r="A17" s="1"/>
      <c r="B17" s="65" t="s">
        <v>137</v>
      </c>
      <c r="C17" s="2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9" t="s">
        <v>82</v>
      </c>
      <c r="C20" s="110"/>
      <c r="D20" s="111"/>
      <c r="E20" s="1"/>
    </row>
    <row r="21" spans="1:5" x14ac:dyDescent="0.25">
      <c r="A21" s="1"/>
      <c r="B21" s="65" t="s">
        <v>192</v>
      </c>
      <c r="C21" s="23">
        <f>(C15+C16-C17)*(1+'Fane 15. Nøgletal'!C10)</f>
        <v>108883011.88315962</v>
      </c>
      <c r="D21" s="14" t="s">
        <v>3</v>
      </c>
      <c r="E21" s="1"/>
    </row>
    <row r="22" spans="1:5" x14ac:dyDescent="0.25">
      <c r="A22" s="1"/>
      <c r="B22" s="65" t="s">
        <v>197</v>
      </c>
      <c r="C22" s="2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9" t="s">
        <v>138</v>
      </c>
      <c r="C25" s="110"/>
      <c r="D25" s="111"/>
      <c r="E25" s="1"/>
    </row>
    <row r="26" spans="1:5" x14ac:dyDescent="0.25">
      <c r="A26" s="1"/>
      <c r="B26" s="65" t="s">
        <v>193</v>
      </c>
      <c r="C26" s="23">
        <f>(C21-C22)*(1+'Fane 15. Nøgletal'!C10)</f>
        <v>116101955.57101311</v>
      </c>
      <c r="D26" s="14" t="s">
        <v>3</v>
      </c>
      <c r="E26" s="1"/>
    </row>
    <row r="27" spans="1:5" x14ac:dyDescent="0.25">
      <c r="A27" s="1"/>
      <c r="B27" s="65" t="s">
        <v>198</v>
      </c>
      <c r="C27" s="2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9" t="s">
        <v>163</v>
      </c>
      <c r="C30" s="110"/>
      <c r="D30" s="111"/>
      <c r="E30" s="1"/>
    </row>
    <row r="31" spans="1:5" x14ac:dyDescent="0.25">
      <c r="A31" s="1"/>
      <c r="B31" s="65" t="s">
        <v>200</v>
      </c>
      <c r="C31" s="23">
        <f>(C26-C27)*(1+'Fane 15. Nøgletal'!C10)</f>
        <v>123799515.22537129</v>
      </c>
      <c r="D31" s="14" t="s">
        <v>3</v>
      </c>
      <c r="E31" s="1"/>
    </row>
    <row r="32" spans="1:5" x14ac:dyDescent="0.25">
      <c r="A32" s="1"/>
      <c r="B32" s="65" t="s">
        <v>199</v>
      </c>
      <c r="C32" s="2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O5QoEPB/bcuZWBGEBXb6Jly5rVIXvyF9djxKlhs+TCPM6x6SkHkxD89D2b+RZhug2Pj/TtoQEP3MbNIX8pmnvQ==" saltValue="/p/jlvtldFduUUplJknsMA=="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5" t="s">
        <v>44</v>
      </c>
      <c r="C3" s="105"/>
      <c r="D3" s="1"/>
    </row>
    <row r="4" spans="1:4" ht="15" customHeight="1" x14ac:dyDescent="0.25">
      <c r="A4" s="1"/>
      <c r="B4" s="105"/>
      <c r="C4" s="10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9" t="s">
        <v>10</v>
      </c>
      <c r="C8" s="111"/>
      <c r="D8" s="1"/>
    </row>
    <row r="9" spans="1:4" x14ac:dyDescent="0.25">
      <c r="A9" s="1"/>
      <c r="B9" s="65" t="s">
        <v>164</v>
      </c>
      <c r="C9" s="22">
        <v>0</v>
      </c>
      <c r="D9" s="1"/>
    </row>
    <row r="10" spans="1:4" x14ac:dyDescent="0.25">
      <c r="A10" s="1"/>
      <c r="B10" s="33"/>
      <c r="C10" s="19"/>
      <c r="D10" s="1"/>
    </row>
    <row r="11" spans="1:4" x14ac:dyDescent="0.25">
      <c r="A11" s="1"/>
      <c r="B11" s="113" t="s">
        <v>218</v>
      </c>
      <c r="C11" s="114"/>
      <c r="D11" s="1"/>
    </row>
    <row r="12" spans="1:4" x14ac:dyDescent="0.25">
      <c r="A12" s="1"/>
      <c r="B12" s="115"/>
      <c r="C12" s="11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pPS24uBVV/s+R1OzP8+xChxprt2cjHGOOQmhRkBLpMeqfATQVmjWiLux6jr7/tYe0A6toBz+221nRw4q9+2GTw==" saltValue="EUYp7frnF6dm3DLfor18LQ=="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2024-05-06T07:45:39Z</cp:lastPrinted>
  <dcterms:created xsi:type="dcterms:W3CDTF">2016-06-02T08:51:18Z</dcterms:created>
  <dcterms:modified xsi:type="dcterms:W3CDTF">2024-10-09T07:33:27Z</dcterms:modified>
</cp:coreProperties>
</file>