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codeName="Denne_projektmappe" defaultThemeVersion="124226"/>
  <mc:AlternateContent xmlns:mc="http://schemas.openxmlformats.org/markup-compatibility/2006">
    <mc:Choice Requires="x15">
      <x15ac:absPath xmlns:x15ac="http://schemas.microsoft.com/office/spreadsheetml/2010/11/ac" url="E:\VAND\Sagsbehandling\Spildevand\Novafos Spildevand Allerød AS (S002)\ØR2025\"/>
    </mc:Choice>
  </mc:AlternateContent>
  <xr:revisionPtr revIDLastSave="0" documentId="13_ncr:1_{B199E9A0-D667-4192-BCE1-68F32C26E631}"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ØR2024'!$B$8:$D$40</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23" i="43" l="1"/>
  <c r="C27" i="43" s="1"/>
  <c r="C32" i="2" l="1"/>
  <c r="F10" i="11" l="1"/>
  <c r="C11" i="29"/>
  <c r="C10" i="36" l="1"/>
  <c r="C10" i="30"/>
  <c r="C20" i="23" l="1"/>
  <c r="C22" i="22"/>
  <c r="C22" i="15"/>
  <c r="C36" i="2"/>
  <c r="C11" i="30" l="1"/>
  <c r="C15" i="30" s="1"/>
  <c r="C29" i="20" l="1"/>
  <c r="C28" i="20"/>
  <c r="C23" i="20"/>
  <c r="C22" i="20"/>
  <c r="C24" i="20" l="1"/>
  <c r="C30" i="20"/>
  <c r="C18" i="41"/>
  <c r="C16" i="20" l="1"/>
  <c r="C10" i="20"/>
  <c r="C31" i="43" l="1"/>
  <c r="C33" i="43" l="1"/>
  <c r="C20" i="22" l="1"/>
  <c r="C20" i="15"/>
  <c r="C12" i="29" l="1"/>
  <c r="E11" i="29"/>
  <c r="E12" i="29" s="1"/>
  <c r="E13" i="39"/>
  <c r="E14" i="39" s="1"/>
  <c r="C13" i="39"/>
  <c r="C14" i="39" s="1"/>
  <c r="J11" i="11"/>
  <c r="H11" i="11"/>
  <c r="C10" i="37" s="1"/>
  <c r="C20" i="19"/>
  <c r="C21"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2" i="20" s="1"/>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<sst xmlns="http://schemas.openxmlformats.org/spreadsheetml/2006/main" count="553" uniqueCount="238">
  <si>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</si>
  <si>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</si>
  <si>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</si>
  <si>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</si>
  <si>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</si>
  <si>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</si>
  <si>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</si>
  <si>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</si>
  <si>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</si>
  <si>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</si>
  <si>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</si>
  <si>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</si>
  <si>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</si>
  <si>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</si>
  <si>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</si>
  <si>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</si>
  <si>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</si>
  <si>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</si>
  <si>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</si>
  <si>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</si>
  <si>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</si>
  <si>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</si>
  <si>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</si>
  <si>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</si>
  <si>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</si>
  <si>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</si>
  <si>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</si>
  <si>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</si>
  <si>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</si>
  <si>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</si>
  <si>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</si>
  <si>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</si>
  <si>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</si>
  <si>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</si>
  <si>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</si>
  <si>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</si>
  <si>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</si>
  <si>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</si>
  <si>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</si>
  <si>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</si>
  <si>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</si>
  <si>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</si>
  <si>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</si>
  <si>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</si>
  <si>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</si>
  <si>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</si>
  <si>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</si>
  <si>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</si>
  <si>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</si>
  <si>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</si>
  <si>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</si>
  <si>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</si>
  <si>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</si>
  <si>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</si>
  <si>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</si>
  <si>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</si>
  <si>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</si>
  <si>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</si>
  <si>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</si>
  <si>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</si>
  <si>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</si>
  <si>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</si>
  <si>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</si>
  <si>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</si>
  <si>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</si>
  <si>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</si>
  <si>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</si>
  <si>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</si>
  <si>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</si>
  <si>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</si>
  <si>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</si>
  <si>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</si>
  <si>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</si>
  <si>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</si>
  <si>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</si>
  <si>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</si>
  <si>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</si>
  <si>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</si>
  <si>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</si>
  <si>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</si>
  <si>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</si>
  <si>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</si>
  <si>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</si>
  <si>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</si>
  <si>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</si>
  <si>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</si>
  <si>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</si>
  <si>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</si>
  <si>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</si>
  <si>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</si>
  <si>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</si>
  <si>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</si>
  <si>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</si>
  <si>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</si>
  <si>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</si>
  <si>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</si>
  <si>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</si>
  <si>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</si>
  <si>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</si>
  <si>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</si>
  <si>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</si>
  <si>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</si>
  <si>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</si>
  <si>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</si>
  <si>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</si>
  <si>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</si>
  <si>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</si>
  <si>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</si>
  <si>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</si>
  <si>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</si>
  <si>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</si>
  <si>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</si>
  <si>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</si>
  <si>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</si>
  <si>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</si>
  <si>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</si>
  <si>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</si>
  <si>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</si>
  <si>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</si>
  <si>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</si>
  <si>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</si>
  <si>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</si>
  <si>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</si>
  <si>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</si>
  <si>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</si>
  <si>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</si>
  <si>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</si>
  <si>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</si>
  <si>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</si>
  <si>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</si>
  <si>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</si>
  <si>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</si>
  <si>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</si>
  <si>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</si>
  <si>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</si>
  <si>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</si>
  <si>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</si>
  <si>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</si>
  <si>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</si>
  <si>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</si>
  <si>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</si>
  <si>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</si>
  <si>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</si>
  <si>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</si>
  <si>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</si>
  <si>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</si>
  <si>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</si>
  <si>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</si>
  <si>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</si>
  <si>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</si>
  <si>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</si>
  <si>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</si>
  <si>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</si>
  <si>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</si>
  <si>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</si>
  <si>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</si>
  <si>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</si>
  <si>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</si>
  <si>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</si>
  <si>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</si>
  <si>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</si>
  <si>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</si>
  <si>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</si>
  <si>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</si>
  <si>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</si>
  <si>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</si>
  <si>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</si>
  <si>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</si>
  <si>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</si>
  <si>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</si>
  <si>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</si>
  <si>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</si>
  <si>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</si>
  <si>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</si>
  <si>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</si>
  <si>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</si>
  <si>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</si>
  <si>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</si>
  <si>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</si>
  <si>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</si>
  <si>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</si>
  <si>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</si>
  <si>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</si>
  <si>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</si>
  <si>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</si>
  <si>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</si>
  <si>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</si>
  <si>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</si>
  <si>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</si>
  <si>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</si>
  <si>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</si>
  <si>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</si>
  <si>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</si>
  <si>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</si>
  <si>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</si>
  <si>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</si>
  <si>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</si>
  <si>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</si>
  <si>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</si>
  <si>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</si>
  <si>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</si>
  <si>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</si>
  <si>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</si>
  <si>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</si>
  <si>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</si>
  <si>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</si>
  <si>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</si>
  <si>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</si>
  <si>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</si>
  <si>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</si>
  <si>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</si>
  <si>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</si>
  <si>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Justering af den økonomiske ramme</t>
  </si>
  <si>
    <t>Justering af den økonomiske ramme for stigende el-omkostninger</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</si>
  <si>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</si>
  <si>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</si>
  <si>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</si>
  <si>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</si>
  <si>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</si>
  <si>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</si>
  <si>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</si>
  <si>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</si>
  <si>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</si>
  <si>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</si>
  <si>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</si>
  <si>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Individuelt effektiviseringskrav til de økonomiske rammer for 2024-2025</t>
  </si>
  <si>
    <t>Prisudvikling til brug for nye omkostninger i ØR2025</t>
  </si>
  <si>
    <t>Generelt effektiviseringskrav til brug for nye anlægsomkostninger i ØR2025</t>
  </si>
  <si>
    <t>Spildevandsafgift</t>
  </si>
  <si>
    <t>Afgift til Forsyningssekretariatet</t>
  </si>
  <si>
    <t>Køb af ydelser og produkter fra andre vandselskaber reguleret af vandsektorloven</t>
  </si>
  <si>
    <t>Ejendomsskatter</t>
  </si>
  <si>
    <t>Gebyr til Miljøstyrelsen</t>
  </si>
  <si>
    <t>Til statusmeddelelse for 2025</t>
  </si>
  <si>
    <t>SAL Søparkens dobbeltbrønde, Etape E,F og G</t>
  </si>
  <si>
    <t>SÆR Ignition Platform</t>
  </si>
  <si>
    <t>SAL Byggemodninger og Stiketableringer</t>
  </si>
  <si>
    <t>SAL VasNOE2 - Forsinkelse på materielgården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</si>
</sst>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3" fontId="8" fillId="4" borderId="1" xfId="0" applyNumberFormat="1" applyFont="1" applyFill="1" applyBorder="1" applyProtection="1"/>
    <xf numFmtId="3" fontId="8" fillId="0" borderId="1" xfId="0" applyNumberFormat="1" applyFont="1" applyFill="1" applyBorder="1" applyProtection="1"/>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1" fontId="8" fillId="8" borderId="1" xfId="1" applyNumberFormat="1" applyFont="1" applyFill="1" applyBorder="1" applyProtection="1"/>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86" t="s">
        <v>4</v>
      </c>
      <c r="D6" s="86"/>
      <c r="E6" s="86"/>
      <c r="F6" s="86"/>
      <c r="G6" s="3"/>
    </row>
    <row r="7" spans="1:7" ht="15" customHeight="1" x14ac:dyDescent="0.25">
      <c r="A7" s="1"/>
      <c r="B7" s="3"/>
      <c r="C7" s="86"/>
      <c r="D7" s="86"/>
      <c r="E7" s="86"/>
      <c r="F7" s="86"/>
      <c r="G7" s="3"/>
    </row>
    <row r="8" spans="1:7" ht="15.75" x14ac:dyDescent="0.25">
      <c r="A8" s="1"/>
      <c r="B8" s="4"/>
      <c r="C8" s="94" t="s">
        <v>233</v>
      </c>
      <c r="D8" s="94"/>
      <c r="E8" s="94"/>
      <c r="F8" s="94"/>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93" t="s">
        <v>5</v>
      </c>
      <c r="D11" s="93"/>
      <c r="E11" s="93"/>
      <c r="F11" s="93"/>
      <c r="G11" s="5"/>
    </row>
    <row r="12" spans="1:7" x14ac:dyDescent="0.25">
      <c r="A12" s="1"/>
      <c r="B12" s="1"/>
      <c r="C12" s="1"/>
      <c r="D12" s="1"/>
      <c r="E12" s="1"/>
      <c r="F12" s="1"/>
      <c r="G12" s="5"/>
    </row>
    <row r="13" spans="1:7" x14ac:dyDescent="0.25">
      <c r="A13" s="1"/>
      <c r="B13" s="6" t="s">
        <v>6</v>
      </c>
      <c r="C13" s="98" t="s">
        <v>127</v>
      </c>
      <c r="D13" s="99"/>
      <c r="E13" s="99"/>
      <c r="F13" s="100"/>
      <c r="G13" s="5"/>
    </row>
    <row r="14" spans="1:7" x14ac:dyDescent="0.25">
      <c r="A14" s="1"/>
      <c r="B14" s="6" t="s">
        <v>16</v>
      </c>
      <c r="C14" s="83" t="s">
        <v>185</v>
      </c>
      <c r="D14" s="84"/>
      <c r="E14" s="84"/>
      <c r="F14" s="85"/>
      <c r="G14" s="5"/>
    </row>
    <row r="15" spans="1:7" x14ac:dyDescent="0.25">
      <c r="A15" s="1"/>
      <c r="B15" s="6" t="s">
        <v>30</v>
      </c>
      <c r="C15" s="83" t="s">
        <v>149</v>
      </c>
      <c r="D15" s="84"/>
      <c r="E15" s="84"/>
      <c r="F15" s="85"/>
      <c r="G15" s="5"/>
    </row>
    <row r="16" spans="1:7" x14ac:dyDescent="0.25">
      <c r="A16" s="1"/>
      <c r="B16" s="6" t="s">
        <v>31</v>
      </c>
      <c r="C16" s="83" t="s">
        <v>151</v>
      </c>
      <c r="D16" s="84"/>
      <c r="E16" s="84"/>
      <c r="F16" s="85"/>
      <c r="G16" s="5"/>
    </row>
    <row r="17" spans="1:8" x14ac:dyDescent="0.25">
      <c r="A17" s="1"/>
      <c r="B17" s="6" t="s">
        <v>61</v>
      </c>
      <c r="C17" s="83" t="s">
        <v>152</v>
      </c>
      <c r="D17" s="84"/>
      <c r="E17" s="84"/>
      <c r="F17" s="85"/>
      <c r="G17" s="5"/>
    </row>
    <row r="18" spans="1:8" x14ac:dyDescent="0.25">
      <c r="A18" s="1"/>
      <c r="B18" s="6" t="s">
        <v>53</v>
      </c>
      <c r="C18" s="95" t="s">
        <v>45</v>
      </c>
      <c r="D18" s="96"/>
      <c r="E18" s="96"/>
      <c r="F18" s="97"/>
      <c r="G18" s="5"/>
    </row>
    <row r="19" spans="1:8" x14ac:dyDescent="0.25">
      <c r="A19" s="1"/>
      <c r="B19" s="6" t="s">
        <v>54</v>
      </c>
      <c r="C19" s="95" t="s">
        <v>46</v>
      </c>
      <c r="D19" s="96"/>
      <c r="E19" s="96"/>
      <c r="F19" s="97"/>
      <c r="G19" s="5"/>
    </row>
    <row r="20" spans="1:8" x14ac:dyDescent="0.25">
      <c r="A20" s="1"/>
      <c r="B20" s="6" t="s">
        <v>7</v>
      </c>
      <c r="C20" s="95" t="s">
        <v>10</v>
      </c>
      <c r="D20" s="96"/>
      <c r="E20" s="96"/>
      <c r="F20" s="97"/>
      <c r="G20" s="5"/>
    </row>
    <row r="21" spans="1:8" x14ac:dyDescent="0.25">
      <c r="A21" s="1"/>
      <c r="B21" s="6" t="s">
        <v>55</v>
      </c>
      <c r="C21" s="87" t="s">
        <v>12</v>
      </c>
      <c r="D21" s="88"/>
      <c r="E21" s="88"/>
      <c r="F21" s="89"/>
      <c r="G21" s="5"/>
    </row>
    <row r="22" spans="1:8" x14ac:dyDescent="0.25">
      <c r="A22" s="1"/>
      <c r="B22" s="6" t="s">
        <v>39</v>
      </c>
      <c r="C22" s="90" t="s">
        <v>153</v>
      </c>
      <c r="D22" s="91"/>
      <c r="E22" s="91"/>
      <c r="F22" s="92"/>
      <c r="G22" s="5"/>
    </row>
    <row r="23" spans="1:8" x14ac:dyDescent="0.25">
      <c r="A23" s="1"/>
      <c r="B23" s="6" t="s">
        <v>8</v>
      </c>
      <c r="C23" s="90" t="s">
        <v>112</v>
      </c>
      <c r="D23" s="91"/>
      <c r="E23" s="91"/>
      <c r="F23" s="92"/>
      <c r="G23" s="5"/>
    </row>
    <row r="24" spans="1:8" x14ac:dyDescent="0.25">
      <c r="A24" s="1"/>
      <c r="B24" s="6" t="s">
        <v>9</v>
      </c>
      <c r="C24" s="90" t="s">
        <v>154</v>
      </c>
      <c r="D24" s="91"/>
      <c r="E24" s="91"/>
      <c r="F24" s="92"/>
      <c r="G24" s="5"/>
    </row>
    <row r="25" spans="1:8" x14ac:dyDescent="0.25">
      <c r="A25" s="1"/>
      <c r="B25" s="6" t="s">
        <v>97</v>
      </c>
      <c r="C25" s="90" t="s">
        <v>91</v>
      </c>
      <c r="D25" s="91"/>
      <c r="E25" s="91"/>
      <c r="F25" s="92"/>
      <c r="G25" s="1"/>
    </row>
    <row r="26" spans="1:8" x14ac:dyDescent="0.25">
      <c r="A26" s="1"/>
      <c r="B26" s="6" t="s">
        <v>98</v>
      </c>
      <c r="C26" s="90" t="s">
        <v>40</v>
      </c>
      <c r="D26" s="91"/>
      <c r="E26" s="91"/>
      <c r="F26" s="92"/>
      <c r="G26" s="1"/>
    </row>
    <row r="27" spans="1:8" x14ac:dyDescent="0.25">
      <c r="A27" s="1"/>
      <c r="B27" s="6" t="s">
        <v>99</v>
      </c>
      <c r="C27" s="90" t="s">
        <v>41</v>
      </c>
      <c r="D27" s="91"/>
      <c r="E27" s="91"/>
      <c r="F27" s="92"/>
      <c r="G27" s="1"/>
    </row>
    <row r="28" spans="1:8" x14ac:dyDescent="0.25">
      <c r="A28" s="1"/>
      <c r="B28" s="6" t="s">
        <v>15</v>
      </c>
      <c r="C28" s="90" t="s">
        <v>42</v>
      </c>
      <c r="D28" s="91"/>
      <c r="E28" s="91"/>
      <c r="F28" s="92"/>
      <c r="G28" s="1"/>
      <c r="H28" s="2" t="s">
        <v>150</v>
      </c>
    </row>
    <row r="29" spans="1:8" x14ac:dyDescent="0.25">
      <c r="A29" s="1"/>
      <c r="B29" s="6" t="s">
        <v>33</v>
      </c>
      <c r="C29" s="90" t="s">
        <v>68</v>
      </c>
      <c r="D29" s="91"/>
      <c r="E29" s="91"/>
      <c r="F29" s="92"/>
      <c r="G29" s="1"/>
    </row>
    <row r="30" spans="1:8" x14ac:dyDescent="0.25">
      <c r="A30" s="1"/>
      <c r="B30" s="6" t="s">
        <v>34</v>
      </c>
      <c r="C30" s="90" t="s">
        <v>32</v>
      </c>
      <c r="D30" s="91"/>
      <c r="E30" s="91"/>
      <c r="F30" s="92"/>
      <c r="G30" s="1"/>
    </row>
    <row r="31" spans="1:8" x14ac:dyDescent="0.25">
      <c r="A31" s="1"/>
      <c r="B31" s="6" t="s">
        <v>100</v>
      </c>
      <c r="C31" s="101" t="s">
        <v>52</v>
      </c>
      <c r="D31" s="102"/>
      <c r="E31" s="102"/>
      <c r="F31" s="103"/>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2"/>
      <c r="B50" s="42"/>
      <c r="C50" s="42"/>
      <c r="D50" s="42"/>
      <c r="E50" s="42"/>
      <c r="F50" s="42"/>
      <c r="G50" s="42"/>
    </row>
  </sheetData>
  <sheetProtection algorithmName="SHA-512" hashValue="tMUUeDSUW8COMRNfv+epDSonKYh6e/NwZ32LHzURJDPcGWKFcSJqyI0mM4sPsXmPl8iHV+pWZThN9Vsx/LMCKw==" saltValue="NrkxXGNBb8WA53sjtNRqKg==" spinCount="100000" sheet="1" objects="1" scenarios="1"/>
  <mergeCells count="22">
    <mergeCell ref="C30:F30"/>
    <mergeCell ref="C31:F31"/>
    <mergeCell ref="C18:F18"/>
    <mergeCell ref="C25:F25"/>
    <mergeCell ref="C26:F26"/>
    <mergeCell ref="C29:F29"/>
    <mergeCell ref="C27:F27"/>
    <mergeCell ref="C28:F28"/>
    <mergeCell ref="C24:F24"/>
    <mergeCell ref="C23:F23"/>
    <mergeCell ref="C14:F14"/>
    <mergeCell ref="C6:F7"/>
    <mergeCell ref="C21:F21"/>
    <mergeCell ref="C22:F22"/>
    <mergeCell ref="C11:F11"/>
    <mergeCell ref="C8:F8"/>
    <mergeCell ref="C15:F15"/>
    <mergeCell ref="C16:F16"/>
    <mergeCell ref="C19:F19"/>
    <mergeCell ref="C13:F13"/>
    <mergeCell ref="C17:F17"/>
    <mergeCell ref="C20:F20"/>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58</v>
      </c>
      <c r="C3" s="104"/>
      <c r="D3" s="104"/>
      <c r="E3" s="1"/>
    </row>
    <row r="4" spans="1:5" ht="15" customHeight="1" x14ac:dyDescent="0.25">
      <c r="A4" s="1"/>
      <c r="B4" s="104"/>
      <c r="C4" s="104"/>
      <c r="D4" s="10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08" t="s">
        <v>164</v>
      </c>
      <c r="C8" s="109"/>
      <c r="D8" s="110"/>
      <c r="E8" s="1"/>
    </row>
    <row r="9" spans="1:5" ht="15" customHeight="1" x14ac:dyDescent="0.25">
      <c r="A9" s="1"/>
      <c r="B9" s="26" t="s">
        <v>28</v>
      </c>
      <c r="C9" s="65" t="s">
        <v>165</v>
      </c>
      <c r="D9" s="10"/>
      <c r="E9" s="1"/>
    </row>
    <row r="10" spans="1:5" ht="15" customHeight="1" x14ac:dyDescent="0.25">
      <c r="A10" s="1"/>
      <c r="B10" s="71" t="s">
        <v>228</v>
      </c>
      <c r="C10" s="72">
        <v>672317</v>
      </c>
      <c r="D10" s="13" t="s">
        <v>3</v>
      </c>
      <c r="E10" s="1"/>
    </row>
    <row r="11" spans="1:5" ht="15" customHeight="1" x14ac:dyDescent="0.25">
      <c r="A11" s="1"/>
      <c r="B11" s="71" t="s">
        <v>229</v>
      </c>
      <c r="C11" s="72">
        <v>62255</v>
      </c>
      <c r="D11" s="13" t="s">
        <v>3</v>
      </c>
      <c r="E11" s="1"/>
    </row>
    <row r="12" spans="1:5" ht="25.5" x14ac:dyDescent="0.25">
      <c r="A12" s="1"/>
      <c r="B12" s="71" t="s">
        <v>230</v>
      </c>
      <c r="C12" s="72">
        <v>97041</v>
      </c>
      <c r="D12" s="13" t="s">
        <v>3</v>
      </c>
      <c r="E12" s="1"/>
    </row>
    <row r="13" spans="1:5" x14ac:dyDescent="0.25">
      <c r="A13" s="1"/>
      <c r="B13" s="71" t="s">
        <v>231</v>
      </c>
      <c r="C13" s="72">
        <v>112970</v>
      </c>
      <c r="D13" s="13" t="s">
        <v>3</v>
      </c>
      <c r="E13" s="1"/>
    </row>
    <row r="14" spans="1:5" x14ac:dyDescent="0.25">
      <c r="A14" s="1"/>
      <c r="B14" s="71" t="s">
        <v>232</v>
      </c>
      <c r="C14" s="72">
        <v>12878</v>
      </c>
      <c r="D14" s="13" t="s">
        <v>3</v>
      </c>
      <c r="E14" s="1"/>
    </row>
    <row r="15" spans="1:5" x14ac:dyDescent="0.25">
      <c r="A15" s="1"/>
      <c r="B15" s="71"/>
      <c r="C15" s="72"/>
      <c r="D15" s="13" t="s">
        <v>3</v>
      </c>
      <c r="E15" s="1"/>
    </row>
    <row r="16" spans="1:5" x14ac:dyDescent="0.25">
      <c r="A16" s="1"/>
      <c r="B16" s="71"/>
      <c r="C16" s="72"/>
      <c r="D16" s="13" t="s">
        <v>3</v>
      </c>
      <c r="E16" s="1"/>
    </row>
    <row r="17" spans="1:5" x14ac:dyDescent="0.25">
      <c r="A17" s="1"/>
      <c r="B17" s="71"/>
      <c r="C17" s="72"/>
      <c r="D17" s="13" t="s">
        <v>3</v>
      </c>
      <c r="E17" s="1"/>
    </row>
    <row r="18" spans="1:5" x14ac:dyDescent="0.25">
      <c r="A18" s="1"/>
      <c r="B18" s="71"/>
      <c r="C18" s="72"/>
      <c r="D18" s="13" t="s">
        <v>3</v>
      </c>
      <c r="E18" s="1"/>
    </row>
    <row r="19" spans="1:5" x14ac:dyDescent="0.25">
      <c r="A19" s="1"/>
      <c r="B19" s="71"/>
      <c r="C19" s="72"/>
      <c r="D19" s="13" t="s">
        <v>3</v>
      </c>
      <c r="E19" s="1"/>
    </row>
    <row r="20" spans="1:5" x14ac:dyDescent="0.25">
      <c r="A20" s="1"/>
      <c r="B20" s="32" t="s">
        <v>166</v>
      </c>
      <c r="C20" s="11">
        <f>SUM(C10:C19)</f>
        <v>957461</v>
      </c>
      <c r="D20" s="12" t="s">
        <v>3</v>
      </c>
      <c r="E20" s="1"/>
    </row>
    <row r="21" spans="1:5" x14ac:dyDescent="0.25">
      <c r="A21" s="1"/>
      <c r="B21" s="32" t="s">
        <v>167</v>
      </c>
      <c r="C21" s="11">
        <f>C20*(1+'Fane 15. Nøgletal'!C10)^2</f>
        <v>1088629.03034309</v>
      </c>
      <c r="D21" s="12" t="s">
        <v>3</v>
      </c>
      <c r="E21" s="1"/>
    </row>
    <row r="22" spans="1:5" x14ac:dyDescent="0.25">
      <c r="A22" s="1"/>
      <c r="B22" s="15"/>
      <c r="C22" s="14"/>
      <c r="D22" s="14"/>
      <c r="E22" s="1"/>
    </row>
    <row r="23" spans="1:5" x14ac:dyDescent="0.25">
      <c r="A23" s="1"/>
      <c r="B23" s="15"/>
      <c r="C23" s="14"/>
      <c r="D23" s="14"/>
      <c r="E23" s="1"/>
    </row>
    <row r="24" spans="1:5" x14ac:dyDescent="0.25">
      <c r="A24" s="1"/>
      <c r="B24" s="108" t="s">
        <v>60</v>
      </c>
      <c r="C24" s="109"/>
      <c r="D24" s="110"/>
      <c r="E24" s="1"/>
    </row>
    <row r="25" spans="1:5" x14ac:dyDescent="0.25">
      <c r="A25" s="1"/>
      <c r="B25" s="36" t="s">
        <v>72</v>
      </c>
      <c r="C25" s="9">
        <v>0</v>
      </c>
      <c r="D25" s="13" t="s">
        <v>3</v>
      </c>
      <c r="E25" s="1"/>
    </row>
    <row r="26" spans="1:5" x14ac:dyDescent="0.25">
      <c r="A26" s="1"/>
      <c r="B26" s="36" t="s">
        <v>83</v>
      </c>
      <c r="C26" s="9">
        <v>0</v>
      </c>
      <c r="D26" s="13" t="s">
        <v>3</v>
      </c>
      <c r="E26" s="1"/>
    </row>
    <row r="27" spans="1:5" x14ac:dyDescent="0.25">
      <c r="A27" s="1"/>
      <c r="B27" s="36" t="s">
        <v>148</v>
      </c>
      <c r="C27" s="9">
        <v>0</v>
      </c>
      <c r="D27" s="13" t="s">
        <v>3</v>
      </c>
      <c r="E27" s="1"/>
    </row>
    <row r="28" spans="1:5" x14ac:dyDescent="0.25">
      <c r="A28" s="1"/>
      <c r="B28" s="33" t="s">
        <v>168</v>
      </c>
      <c r="C28" s="9">
        <v>0</v>
      </c>
      <c r="D28" s="35" t="s">
        <v>3</v>
      </c>
      <c r="E28" s="1"/>
    </row>
    <row r="29" spans="1:5" x14ac:dyDescent="0.25">
      <c r="A29" s="1"/>
      <c r="B29" s="108"/>
      <c r="C29" s="109"/>
      <c r="D29" s="110"/>
      <c r="E29" s="1"/>
    </row>
    <row r="30" spans="1:5" x14ac:dyDescent="0.25">
      <c r="A30" s="1"/>
      <c r="B30" s="1"/>
      <c r="C30" s="1"/>
      <c r="D30" s="1"/>
      <c r="E30" s="1"/>
    </row>
    <row r="31" spans="1:5" x14ac:dyDescent="0.25">
      <c r="A31" s="1"/>
      <c r="B31" s="1"/>
      <c r="C31" s="1"/>
      <c r="D31" s="1"/>
      <c r="E31" s="1"/>
    </row>
    <row r="32" spans="1:5" x14ac:dyDescent="0.25">
      <c r="A32" s="1"/>
      <c r="B32" s="108" t="s">
        <v>47</v>
      </c>
      <c r="C32" s="109"/>
      <c r="D32" s="110"/>
      <c r="E32" s="1"/>
    </row>
    <row r="33" spans="1:5" x14ac:dyDescent="0.25">
      <c r="A33" s="1"/>
      <c r="B33" s="36" t="s">
        <v>72</v>
      </c>
      <c r="C33" s="9">
        <v>269306</v>
      </c>
      <c r="D33" s="13" t="s">
        <v>3</v>
      </c>
      <c r="E33" s="1"/>
    </row>
    <row r="34" spans="1:5" x14ac:dyDescent="0.25">
      <c r="A34" s="1"/>
      <c r="B34" s="36" t="s">
        <v>83</v>
      </c>
      <c r="C34" s="9">
        <v>269305</v>
      </c>
      <c r="D34" s="13" t="s">
        <v>3</v>
      </c>
      <c r="E34" s="1"/>
    </row>
    <row r="35" spans="1:5" x14ac:dyDescent="0.25">
      <c r="A35" s="1"/>
      <c r="B35" s="36" t="s">
        <v>148</v>
      </c>
      <c r="C35" s="9">
        <v>0</v>
      </c>
      <c r="D35" s="13" t="s">
        <v>3</v>
      </c>
      <c r="E35" s="1"/>
    </row>
    <row r="36" spans="1:5" x14ac:dyDescent="0.25">
      <c r="A36" s="1"/>
      <c r="B36" s="33" t="s">
        <v>168</v>
      </c>
      <c r="C36" s="9">
        <v>0</v>
      </c>
      <c r="D36" s="35" t="s">
        <v>3</v>
      </c>
      <c r="E36" s="1"/>
    </row>
    <row r="37" spans="1:5" x14ac:dyDescent="0.25">
      <c r="A37" s="1"/>
      <c r="B37" s="108"/>
      <c r="C37" s="109"/>
      <c r="D37" s="110"/>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42"/>
      <c r="B50" s="42"/>
      <c r="C50" s="42"/>
      <c r="D50" s="42"/>
      <c r="E50" s="42"/>
    </row>
    <row r="51" spans="1:5" hidden="1" x14ac:dyDescent="0.25">
      <c r="A51" s="42"/>
      <c r="B51" s="42"/>
      <c r="C51" s="42"/>
      <c r="D51" s="42"/>
      <c r="E51" s="42"/>
    </row>
    <row r="52" spans="1:5" hidden="1" x14ac:dyDescent="0.25">
      <c r="A52" s="42"/>
      <c r="B52" s="42"/>
      <c r="C52" s="42"/>
      <c r="D52" s="42"/>
      <c r="E52" s="42"/>
    </row>
    <row r="53" spans="1:5" hidden="1" x14ac:dyDescent="0.25">
      <c r="A53" s="42"/>
      <c r="B53" s="42"/>
      <c r="C53" s="42"/>
      <c r="D53" s="42"/>
      <c r="E53" s="42"/>
    </row>
    <row r="54" spans="1:5" hidden="1" x14ac:dyDescent="0.25">
      <c r="A54" s="42"/>
      <c r="B54" s="42"/>
      <c r="C54" s="42"/>
      <c r="D54" s="42"/>
      <c r="E54" s="42"/>
    </row>
    <row r="55" spans="1:5" hidden="1" x14ac:dyDescent="0.25">
      <c r="A55" s="42"/>
      <c r="B55" s="42"/>
      <c r="C55" s="42"/>
      <c r="D55" s="42"/>
      <c r="E55" s="42"/>
    </row>
    <row r="56" spans="1:5" hidden="1" x14ac:dyDescent="0.25">
      <c r="A56" s="42"/>
      <c r="B56" s="42"/>
      <c r="C56" s="42"/>
      <c r="D56" s="42"/>
      <c r="E56" s="42"/>
    </row>
  </sheetData>
  <sheetProtection algorithmName="SHA-512" hashValue="R/3o0op8ADRikLOu8AZTFmTeuFsEAZ/WnRuTrSr3W1gvrfu8HIzCsO3bA0VApipMq2WnN0Xmw/z4pSG0tCn74Q==" saltValue="mGG1VpzOwXrtfx5eLdc4jw=="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200</v>
      </c>
      <c r="C3" s="107"/>
      <c r="D3" s="107"/>
      <c r="E3" s="1"/>
    </row>
    <row r="4" spans="1:5" ht="15" customHeight="1" x14ac:dyDescent="0.25">
      <c r="A4" s="1"/>
      <c r="B4" s="107"/>
      <c r="C4" s="107"/>
      <c r="D4" s="107"/>
      <c r="E4" s="1"/>
    </row>
    <row r="5" spans="1:5" ht="15" customHeight="1" x14ac:dyDescent="0.25">
      <c r="A5" s="1"/>
      <c r="B5" s="107"/>
      <c r="C5" s="107"/>
      <c r="D5" s="107"/>
      <c r="E5" s="1"/>
    </row>
    <row r="6" spans="1:5" ht="15" customHeight="1" x14ac:dyDescent="0.25">
      <c r="A6" s="1"/>
      <c r="B6" s="74"/>
      <c r="C6" s="74"/>
      <c r="D6" s="74"/>
      <c r="E6" s="1"/>
    </row>
    <row r="7" spans="1:5" x14ac:dyDescent="0.25">
      <c r="A7" s="1"/>
      <c r="B7" s="1"/>
      <c r="C7" s="1"/>
      <c r="D7" s="1"/>
      <c r="E7" s="1"/>
    </row>
    <row r="8" spans="1:5" x14ac:dyDescent="0.25">
      <c r="A8" s="1"/>
      <c r="B8" s="108" t="s">
        <v>77</v>
      </c>
      <c r="C8" s="109"/>
      <c r="D8" s="110"/>
      <c r="E8" s="1"/>
    </row>
    <row r="9" spans="1:5" x14ac:dyDescent="0.25">
      <c r="A9" s="1"/>
      <c r="B9" s="63" t="s">
        <v>203</v>
      </c>
      <c r="C9" s="9">
        <v>-254377.33728954196</v>
      </c>
      <c r="D9" s="13" t="s">
        <v>3</v>
      </c>
      <c r="E9" s="1"/>
    </row>
    <row r="10" spans="1:5" x14ac:dyDescent="0.25">
      <c r="A10" s="1"/>
      <c r="B10" s="32"/>
      <c r="C10" s="27"/>
      <c r="D10" s="18"/>
      <c r="E10" s="1"/>
    </row>
    <row r="11" spans="1:5" ht="53.25" customHeight="1" x14ac:dyDescent="0.25">
      <c r="A11" s="1"/>
      <c r="B11" s="119" t="s">
        <v>211</v>
      </c>
      <c r="C11" s="120"/>
      <c r="D11" s="121"/>
      <c r="E11" s="1"/>
    </row>
    <row r="12" spans="1:5" x14ac:dyDescent="0.25">
      <c r="A12" s="1"/>
      <c r="B12" s="1"/>
      <c r="C12" s="1"/>
      <c r="D12" s="1"/>
      <c r="E12" s="1"/>
    </row>
    <row r="13" spans="1:5" x14ac:dyDescent="0.25">
      <c r="A13" s="1"/>
      <c r="B13" s="108" t="s">
        <v>78</v>
      </c>
      <c r="C13" s="109"/>
      <c r="D13" s="110"/>
      <c r="E13" s="1"/>
    </row>
    <row r="14" spans="1:5" x14ac:dyDescent="0.25">
      <c r="A14" s="1"/>
      <c r="B14" s="63" t="s">
        <v>201</v>
      </c>
      <c r="C14" s="9">
        <v>-655187</v>
      </c>
      <c r="D14" s="13" t="s">
        <v>3</v>
      </c>
      <c r="E14" s="1"/>
    </row>
    <row r="15" spans="1:5" x14ac:dyDescent="0.25">
      <c r="A15" s="1"/>
      <c r="B15" s="63" t="s">
        <v>202</v>
      </c>
      <c r="C15" s="9">
        <v>-655187</v>
      </c>
      <c r="D15" s="13" t="s">
        <v>3</v>
      </c>
      <c r="E15" s="1"/>
    </row>
    <row r="16" spans="1:5" x14ac:dyDescent="0.25">
      <c r="A16" s="1"/>
      <c r="B16" s="32"/>
      <c r="C16" s="27"/>
      <c r="D16" s="18"/>
      <c r="E16" s="1"/>
    </row>
    <row r="17" spans="1:5" ht="29.25" customHeight="1" x14ac:dyDescent="0.25">
      <c r="A17" s="1"/>
      <c r="B17" s="119" t="s">
        <v>121</v>
      </c>
      <c r="C17" s="120"/>
      <c r="D17" s="121"/>
      <c r="E17" s="1"/>
    </row>
    <row r="18" spans="1:5" x14ac:dyDescent="0.25">
      <c r="A18" s="1"/>
      <c r="B18" s="1"/>
      <c r="C18" s="1"/>
      <c r="D18" s="1"/>
      <c r="E18" s="1"/>
    </row>
    <row r="19" spans="1:5" x14ac:dyDescent="0.25">
      <c r="A19" s="1"/>
      <c r="B19" s="75" t="s">
        <v>204</v>
      </c>
      <c r="C19" s="76"/>
      <c r="D19" s="77"/>
      <c r="E19" s="1"/>
    </row>
    <row r="20" spans="1:5" x14ac:dyDescent="0.25">
      <c r="A20" s="1"/>
      <c r="B20" s="63" t="s">
        <v>205</v>
      </c>
      <c r="C20" s="9">
        <v>42630466.536669642</v>
      </c>
      <c r="D20" s="13" t="s">
        <v>3</v>
      </c>
      <c r="E20" s="1"/>
    </row>
    <row r="21" spans="1:5" x14ac:dyDescent="0.25">
      <c r="A21" s="1"/>
      <c r="B21" s="63" t="s">
        <v>206</v>
      </c>
      <c r="C21" s="9">
        <v>37798441</v>
      </c>
      <c r="D21" s="13" t="s">
        <v>3</v>
      </c>
      <c r="E21" s="1"/>
    </row>
    <row r="22" spans="1:5" x14ac:dyDescent="0.25">
      <c r="A22" s="1"/>
      <c r="B22" s="63" t="s">
        <v>29</v>
      </c>
      <c r="C22" s="9">
        <v>0</v>
      </c>
      <c r="D22" s="13" t="s">
        <v>3</v>
      </c>
      <c r="E22" s="1"/>
    </row>
    <row r="23" spans="1:5" x14ac:dyDescent="0.25">
      <c r="A23" s="1"/>
      <c r="B23" s="81" t="s">
        <v>207</v>
      </c>
      <c r="C23" s="55">
        <f>C20-C21-C22</f>
        <v>4832025.5366696417</v>
      </c>
      <c r="D23" s="16" t="s">
        <v>3</v>
      </c>
      <c r="E23" s="1"/>
    </row>
    <row r="24" spans="1:5" x14ac:dyDescent="0.25">
      <c r="A24" s="1"/>
      <c r="B24" s="32"/>
      <c r="C24" s="27"/>
      <c r="D24" s="18"/>
      <c r="E24" s="1"/>
    </row>
    <row r="25" spans="1:5" x14ac:dyDescent="0.25">
      <c r="A25" s="1"/>
      <c r="B25" s="1"/>
      <c r="C25" s="1"/>
      <c r="D25" s="1"/>
      <c r="E25" s="1"/>
    </row>
    <row r="26" spans="1:5" x14ac:dyDescent="0.25">
      <c r="A26" s="1"/>
      <c r="B26" s="108" t="s">
        <v>208</v>
      </c>
      <c r="C26" s="109"/>
      <c r="D26" s="110"/>
      <c r="E26" s="1"/>
    </row>
    <row r="27" spans="1:5" x14ac:dyDescent="0.25">
      <c r="A27" s="1"/>
      <c r="B27" s="81" t="s">
        <v>209</v>
      </c>
      <c r="C27" s="55">
        <f>IF(AND(C15&lt;0,C23&gt;0,ABS(SUM(C14:C15))&lt;C23),ABS(C14),IF(AND(C15&lt;0,C23&gt;0,ABS(SUM(C14:C15))&gt;C23),SUM(C14,C23),C15))</f>
        <v>655187</v>
      </c>
      <c r="D27" s="16" t="s">
        <v>3</v>
      </c>
      <c r="E27" s="1"/>
    </row>
    <row r="28" spans="1:5" x14ac:dyDescent="0.25">
      <c r="A28" s="1"/>
      <c r="B28" s="108"/>
      <c r="C28" s="109"/>
      <c r="D28" s="110"/>
      <c r="E28" s="1"/>
    </row>
    <row r="29" spans="1:5" x14ac:dyDescent="0.25">
      <c r="A29" s="1"/>
      <c r="B29" s="1"/>
      <c r="C29" s="1"/>
      <c r="D29" s="1"/>
      <c r="E29" s="1"/>
    </row>
    <row r="30" spans="1:5" x14ac:dyDescent="0.25">
      <c r="A30" s="1"/>
      <c r="B30" s="108" t="s">
        <v>210</v>
      </c>
      <c r="C30" s="109"/>
      <c r="D30" s="110"/>
      <c r="E30" s="1"/>
    </row>
    <row r="31" spans="1:5" x14ac:dyDescent="0.25">
      <c r="A31" s="1"/>
      <c r="B31" s="64" t="s">
        <v>69</v>
      </c>
      <c r="C31" s="56">
        <f>IF(AND(C9&gt;0,(C9+C23)&gt;0),0,IF(AND(C9&gt;0,(C9+C23)&lt;0),(C9+C23),IF(AND(C9&lt;0,C23&lt;0),C23,0)))</f>
        <v>0</v>
      </c>
      <c r="D31" s="13" t="s">
        <v>3</v>
      </c>
      <c r="E31" s="1"/>
    </row>
    <row r="32" spans="1:5" x14ac:dyDescent="0.25">
      <c r="A32" s="1"/>
      <c r="B32" s="64" t="s">
        <v>49</v>
      </c>
      <c r="C32" s="9">
        <v>2</v>
      </c>
      <c r="D32" s="13" t="s">
        <v>20</v>
      </c>
      <c r="E32" s="1"/>
    </row>
    <row r="33" spans="1:5" x14ac:dyDescent="0.25">
      <c r="A33" s="1"/>
      <c r="B33" s="65" t="s">
        <v>70</v>
      </c>
      <c r="C33" s="55">
        <f>C31/C32</f>
        <v>0</v>
      </c>
      <c r="D33" s="16" t="s">
        <v>3</v>
      </c>
      <c r="E33" s="1"/>
    </row>
    <row r="34" spans="1:5" x14ac:dyDescent="0.25">
      <c r="A34" s="1"/>
      <c r="B34" s="116"/>
      <c r="C34" s="117"/>
      <c r="D34" s="118"/>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2"/>
      <c r="B46" s="42"/>
      <c r="C46" s="42"/>
      <c r="D46" s="42"/>
      <c r="E46" s="42"/>
    </row>
    <row r="47" spans="1:5" hidden="1" x14ac:dyDescent="0.25">
      <c r="A47" s="42"/>
      <c r="B47" s="42"/>
      <c r="C47" s="42"/>
      <c r="D47" s="42"/>
      <c r="E47" s="42"/>
    </row>
    <row r="48" spans="1:5" hidden="1" x14ac:dyDescent="0.25">
      <c r="A48" s="42"/>
      <c r="B48" s="42"/>
      <c r="C48" s="42"/>
      <c r="D48" s="42"/>
      <c r="E48" s="42"/>
    </row>
    <row r="49" spans="1:5" hidden="1" x14ac:dyDescent="0.25">
      <c r="A49" s="42"/>
      <c r="B49" s="42"/>
      <c r="C49" s="42"/>
      <c r="D49" s="42"/>
      <c r="E49" s="42"/>
    </row>
    <row r="50" spans="1:5" hidden="1" x14ac:dyDescent="0.25">
      <c r="A50" s="42"/>
      <c r="B50" s="42"/>
      <c r="C50" s="42"/>
      <c r="D50" s="42"/>
      <c r="E50" s="42"/>
    </row>
    <row r="51" spans="1:5" hidden="1" x14ac:dyDescent="0.25">
      <c r="A51" s="42"/>
      <c r="B51" s="42"/>
      <c r="C51" s="42"/>
      <c r="D51" s="42"/>
      <c r="E51" s="42"/>
    </row>
    <row r="52" spans="1:5" hidden="1" x14ac:dyDescent="0.25">
      <c r="A52" s="42"/>
      <c r="B52" s="42"/>
      <c r="C52" s="42"/>
      <c r="D52" s="42"/>
      <c r="E52" s="42"/>
    </row>
    <row r="53" spans="1:5" hidden="1" x14ac:dyDescent="0.25">
      <c r="A53" s="42"/>
      <c r="E53" s="42"/>
    </row>
  </sheetData>
  <sheetProtection algorithmName="SHA-512" hashValue="MnZbrpOP7jBiC/zob6/O9FTm+OZqp9Gc7yHQlE4UWpjMczWKJUQbhl/qLvep3k7p8PwzDD/v3WHrVefw92WfPQ==" saltValue="LYv76JsHFPvm7ujEh340ng=="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5" zeroHeight="1" x14ac:dyDescent="0.25"/>
  <cols>
    <col min="1" max="1" width="5.28515625" style="54" customWidth="1"/>
    <col min="2" max="2" width="57.140625" style="54" customWidth="1"/>
    <col min="3" max="3" width="12.5703125" style="54" customWidth="1"/>
    <col min="4" max="4" width="3.140625" style="54" customWidth="1"/>
    <col min="5" max="5" width="5.28515625" style="54" customWidth="1"/>
    <col min="6" max="16384" width="9.140625" style="54" hidden="1"/>
  </cols>
  <sheetData>
    <row r="1" spans="1:5" x14ac:dyDescent="0.25">
      <c r="A1" s="1"/>
      <c r="B1" s="1"/>
      <c r="C1" s="1"/>
      <c r="D1" s="1"/>
      <c r="E1" s="1"/>
    </row>
    <row r="2" spans="1:5" x14ac:dyDescent="0.25">
      <c r="A2" s="1"/>
      <c r="B2" s="1"/>
      <c r="C2" s="1"/>
      <c r="D2" s="1"/>
      <c r="E2" s="1"/>
    </row>
    <row r="3" spans="1:5" ht="15" customHeight="1" x14ac:dyDescent="0.25">
      <c r="A3" s="1"/>
      <c r="B3" s="107" t="s">
        <v>101</v>
      </c>
      <c r="C3" s="107"/>
      <c r="D3" s="107"/>
      <c r="E3" s="1"/>
    </row>
    <row r="4" spans="1:5" ht="15" customHeight="1" x14ac:dyDescent="0.25">
      <c r="A4" s="1"/>
      <c r="B4" s="107"/>
      <c r="C4" s="107"/>
      <c r="D4" s="107"/>
      <c r="E4" s="1"/>
    </row>
    <row r="5" spans="1:5" x14ac:dyDescent="0.25">
      <c r="A5" s="1"/>
      <c r="B5" s="107"/>
      <c r="C5" s="107"/>
      <c r="D5" s="107"/>
      <c r="E5" s="1"/>
    </row>
    <row r="6" spans="1:5" x14ac:dyDescent="0.25">
      <c r="A6" s="1"/>
      <c r="B6" s="1"/>
      <c r="C6" s="1"/>
      <c r="D6" s="1"/>
      <c r="E6" s="1"/>
    </row>
    <row r="7" spans="1:5" x14ac:dyDescent="0.25">
      <c r="A7" s="1"/>
      <c r="B7" s="1"/>
      <c r="C7" s="1"/>
      <c r="D7" s="1"/>
      <c r="E7" s="1"/>
    </row>
    <row r="8" spans="1:5" x14ac:dyDescent="0.25">
      <c r="A8" s="1"/>
      <c r="B8" s="108" t="s">
        <v>120</v>
      </c>
      <c r="C8" s="109"/>
      <c r="D8" s="110"/>
      <c r="E8" s="1"/>
    </row>
    <row r="9" spans="1:5" ht="15" customHeight="1" x14ac:dyDescent="0.25">
      <c r="A9" s="1"/>
      <c r="B9" s="122" t="s">
        <v>102</v>
      </c>
      <c r="C9" s="123"/>
      <c r="D9" s="124"/>
      <c r="E9" s="1"/>
    </row>
    <row r="10" spans="1:5" x14ac:dyDescent="0.25">
      <c r="A10" s="1"/>
      <c r="B10" s="66" t="s">
        <v>103</v>
      </c>
      <c r="C10" s="9"/>
      <c r="D10" s="9" t="s">
        <v>3</v>
      </c>
      <c r="E10" s="1"/>
    </row>
    <row r="11" spans="1:5" x14ac:dyDescent="0.25">
      <c r="A11" s="1"/>
      <c r="B11" s="66" t="s">
        <v>104</v>
      </c>
      <c r="C11" s="9"/>
      <c r="D11" s="9" t="s">
        <v>3</v>
      </c>
      <c r="E11" s="1"/>
    </row>
    <row r="12" spans="1:5" x14ac:dyDescent="0.25">
      <c r="A12" s="1"/>
      <c r="B12" s="66" t="s">
        <v>105</v>
      </c>
      <c r="C12" s="9"/>
      <c r="D12" s="9" t="s">
        <v>3</v>
      </c>
      <c r="E12" s="1"/>
    </row>
    <row r="13" spans="1:5" x14ac:dyDescent="0.25">
      <c r="A13" s="1"/>
      <c r="B13" s="66" t="s">
        <v>106</v>
      </c>
      <c r="C13" s="9"/>
      <c r="D13" s="9" t="s">
        <v>3</v>
      </c>
      <c r="E13" s="1"/>
    </row>
    <row r="14" spans="1:5" x14ac:dyDescent="0.25">
      <c r="A14" s="1"/>
      <c r="B14" s="66" t="s">
        <v>107</v>
      </c>
      <c r="C14" s="9"/>
      <c r="D14" s="9" t="s">
        <v>3</v>
      </c>
      <c r="E14" s="1"/>
    </row>
    <row r="15" spans="1:5" x14ac:dyDescent="0.25">
      <c r="A15" s="1"/>
      <c r="B15" s="66" t="s">
        <v>108</v>
      </c>
      <c r="C15" s="9"/>
      <c r="D15" s="9" t="s">
        <v>3</v>
      </c>
      <c r="E15" s="1"/>
    </row>
    <row r="16" spans="1:5" x14ac:dyDescent="0.25">
      <c r="A16" s="1"/>
      <c r="B16" s="66" t="s">
        <v>109</v>
      </c>
      <c r="C16" s="9"/>
      <c r="D16" s="9" t="s">
        <v>3</v>
      </c>
      <c r="E16" s="1"/>
    </row>
    <row r="17" spans="1:5" x14ac:dyDescent="0.25">
      <c r="A17" s="1"/>
      <c r="B17" s="66" t="s">
        <v>110</v>
      </c>
      <c r="C17" s="9"/>
      <c r="D17" s="9" t="s">
        <v>3</v>
      </c>
      <c r="E17" s="1"/>
    </row>
    <row r="18" spans="1:5" x14ac:dyDescent="0.25">
      <c r="A18" s="1"/>
      <c r="B18" s="75" t="s">
        <v>111</v>
      </c>
      <c r="C18" s="11">
        <f>SUM(C10:C17)</f>
        <v>0</v>
      </c>
      <c r="D18" s="12"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EPZzZnSKf30SlXyQz2odFzfevXx0RE5wLIy1EuI2UeKyoeFXcO+F6JXQlgxvOVDJ9g+GHYPASmitQHVWhbroLQ==" saltValue="7eBdeGYzzOzbDvhIGuXzXA=="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169</v>
      </c>
      <c r="C3" s="107"/>
      <c r="D3" s="107"/>
      <c r="E3" s="1"/>
    </row>
    <row r="4" spans="1:5" ht="15" customHeight="1" x14ac:dyDescent="0.25">
      <c r="A4" s="1"/>
      <c r="B4" s="107"/>
      <c r="C4" s="107"/>
      <c r="D4" s="107"/>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08" t="s">
        <v>170</v>
      </c>
      <c r="C8" s="109"/>
      <c r="D8" s="110"/>
      <c r="E8" s="1"/>
    </row>
    <row r="9" spans="1:5" ht="26.25" x14ac:dyDescent="0.25">
      <c r="A9" s="1"/>
      <c r="B9" s="78" t="s">
        <v>216</v>
      </c>
      <c r="C9" s="7"/>
      <c r="D9" s="8" t="s">
        <v>3</v>
      </c>
      <c r="E9" s="1"/>
    </row>
    <row r="10" spans="1:5" ht="14.25" customHeight="1" x14ac:dyDescent="0.25">
      <c r="A10" s="1"/>
      <c r="B10" s="63" t="s">
        <v>171</v>
      </c>
      <c r="C10" s="7"/>
      <c r="D10" s="8" t="s">
        <v>3</v>
      </c>
      <c r="E10" s="1"/>
    </row>
    <row r="11" spans="1:5" ht="14.25" customHeight="1" x14ac:dyDescent="0.25">
      <c r="A11" s="1"/>
      <c r="B11" s="81" t="s">
        <v>48</v>
      </c>
      <c r="C11" s="69">
        <f>C10-C9</f>
        <v>0</v>
      </c>
      <c r="D11" s="10" t="s">
        <v>3</v>
      </c>
      <c r="E11" s="1"/>
    </row>
    <row r="12" spans="1:5" ht="14.25" customHeight="1" x14ac:dyDescent="0.25">
      <c r="A12" s="1"/>
      <c r="B12" s="108" t="s">
        <v>218</v>
      </c>
      <c r="C12" s="109"/>
      <c r="D12" s="110"/>
      <c r="E12" s="1"/>
    </row>
    <row r="13" spans="1:5" ht="26.25" x14ac:dyDescent="0.25">
      <c r="A13" s="1"/>
      <c r="B13" s="78" t="s">
        <v>217</v>
      </c>
      <c r="C13" s="7"/>
      <c r="D13" s="8" t="s">
        <v>3</v>
      </c>
      <c r="E13" s="1"/>
    </row>
    <row r="14" spans="1:5" ht="14.25" customHeight="1" x14ac:dyDescent="0.25">
      <c r="A14" s="1"/>
      <c r="B14" s="63" t="s">
        <v>172</v>
      </c>
      <c r="C14" s="7"/>
      <c r="D14" s="8" t="s">
        <v>3</v>
      </c>
      <c r="E14" s="1"/>
    </row>
    <row r="15" spans="1:5" ht="14.25" customHeight="1" x14ac:dyDescent="0.25">
      <c r="A15" s="1"/>
      <c r="B15" s="81" t="s">
        <v>48</v>
      </c>
      <c r="C15" s="69">
        <f>C14-C13</f>
        <v>0</v>
      </c>
      <c r="D15" s="10" t="s">
        <v>3</v>
      </c>
      <c r="E15" s="1"/>
    </row>
    <row r="16" spans="1:5" ht="14.25" customHeight="1" x14ac:dyDescent="0.25">
      <c r="A16" s="1"/>
      <c r="B16" s="32" t="s">
        <v>173</v>
      </c>
      <c r="C16" s="11">
        <f>C11+C15</f>
        <v>0</v>
      </c>
      <c r="D16" s="12"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cMfDVw+4EnU63YYF1STSCITfdyrsXplPgc/+ESLtGJiVWCwkHScrTK5ulhR0MNT4JTiBR17g5ToJvXAqZl2Keg==" saltValue="HmJGoe7v7akJ9acvNZ3Q7Q=="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4" t="s">
        <v>113</v>
      </c>
      <c r="C3" s="104"/>
      <c r="D3" s="104"/>
      <c r="E3" s="104"/>
      <c r="F3" s="104"/>
      <c r="G3" s="104"/>
      <c r="H3" s="104"/>
      <c r="I3" s="104"/>
      <c r="J3" s="104"/>
      <c r="K3" s="104"/>
      <c r="L3" s="1"/>
    </row>
    <row r="4" spans="1:12" ht="15" customHeight="1" x14ac:dyDescent="0.25">
      <c r="A4" s="1"/>
      <c r="B4" s="104"/>
      <c r="C4" s="104"/>
      <c r="D4" s="104"/>
      <c r="E4" s="104"/>
      <c r="F4" s="104"/>
      <c r="G4" s="104"/>
      <c r="H4" s="104"/>
      <c r="I4" s="104"/>
      <c r="J4" s="104"/>
      <c r="K4" s="10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8" t="s">
        <v>86</v>
      </c>
      <c r="C8" s="109"/>
      <c r="D8" s="109"/>
      <c r="E8" s="109"/>
      <c r="F8" s="109"/>
      <c r="G8" s="109"/>
      <c r="H8" s="109"/>
      <c r="I8" s="109"/>
      <c r="J8" s="109"/>
      <c r="K8" s="110"/>
      <c r="L8" s="1"/>
    </row>
    <row r="9" spans="1:12" ht="39.75" customHeight="1" x14ac:dyDescent="0.25">
      <c r="A9" s="1"/>
      <c r="B9" s="17" t="s">
        <v>0</v>
      </c>
      <c r="C9" s="17" t="s">
        <v>1</v>
      </c>
      <c r="D9" s="125" t="s">
        <v>96</v>
      </c>
      <c r="E9" s="126"/>
      <c r="F9" s="125" t="s">
        <v>2</v>
      </c>
      <c r="G9" s="126"/>
      <c r="H9" s="125" t="s">
        <v>95</v>
      </c>
      <c r="I9" s="126"/>
      <c r="J9" s="125" t="s">
        <v>26</v>
      </c>
      <c r="K9" s="126"/>
      <c r="L9" s="1"/>
    </row>
    <row r="10" spans="1:12" x14ac:dyDescent="0.25">
      <c r="A10" s="1"/>
      <c r="B10" s="66" t="s">
        <v>223</v>
      </c>
      <c r="C10" s="40">
        <v>0</v>
      </c>
      <c r="D10" s="9">
        <v>0</v>
      </c>
      <c r="E10" s="13" t="s">
        <v>3</v>
      </c>
      <c r="F10" s="9">
        <f>IFERROR(D10/C10,0)</f>
        <v>0</v>
      </c>
      <c r="G10" s="13" t="s">
        <v>3</v>
      </c>
      <c r="H10" s="70">
        <v>0</v>
      </c>
      <c r="I10" s="13" t="s">
        <v>3</v>
      </c>
      <c r="J10" s="70">
        <v>0</v>
      </c>
      <c r="K10" s="13" t="s">
        <v>3</v>
      </c>
      <c r="L10" s="1"/>
    </row>
    <row r="11" spans="1:12" x14ac:dyDescent="0.25">
      <c r="A11" s="1"/>
      <c r="B11" s="75" t="s">
        <v>220</v>
      </c>
      <c r="C11" s="76"/>
      <c r="D11" s="77"/>
      <c r="E11" s="77"/>
      <c r="F11" s="11">
        <f>SUM(F10:F10)</f>
        <v>0</v>
      </c>
      <c r="G11" s="11" t="s">
        <v>94</v>
      </c>
      <c r="H11" s="11">
        <f>SUM(H10:H10)</f>
        <v>0</v>
      </c>
      <c r="I11" s="11" t="s">
        <v>94</v>
      </c>
      <c r="J11" s="11">
        <f>SUM(J10:J10)</f>
        <v>0</v>
      </c>
      <c r="K11" s="12"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2"/>
      <c r="B47" s="42"/>
      <c r="C47" s="42"/>
      <c r="D47" s="42"/>
      <c r="E47" s="42"/>
      <c r="F47" s="42"/>
      <c r="G47" s="42"/>
      <c r="H47" s="42"/>
      <c r="I47" s="42"/>
      <c r="J47" s="42"/>
      <c r="K47" s="42"/>
      <c r="L47" s="42"/>
    </row>
    <row r="48" spans="1:12" hidden="1" x14ac:dyDescent="0.25">
      <c r="A48" s="42"/>
      <c r="B48" s="42"/>
      <c r="C48" s="42"/>
      <c r="D48" s="42"/>
      <c r="E48" s="42"/>
      <c r="F48" s="42"/>
      <c r="G48" s="42"/>
      <c r="H48" s="42"/>
      <c r="I48" s="42"/>
      <c r="J48" s="42"/>
      <c r="K48" s="42"/>
      <c r="L48" s="42"/>
    </row>
    <row r="49" hidden="1" x14ac:dyDescent="0.25"/>
    <row r="50" hidden="1" x14ac:dyDescent="0.25"/>
    <row r="51" hidden="1" x14ac:dyDescent="0.25"/>
    <row r="52" hidden="1" x14ac:dyDescent="0.25"/>
  </sheetData>
  <sheetProtection algorithmName="SHA-512" hashValue="JAFPvnoKupVrRxfQ6LmYHEwZ1H6rLQgXmsPS/8XkMCr7s6q5oDQRf3vFVI6jDQtp2AAMXNlAt4mTNbvPZUG2Tw==" saltValue="NmAMax/15TtnyJYCmd1/lg=="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114</v>
      </c>
      <c r="C3" s="104"/>
      <c r="D3" s="104"/>
      <c r="E3" s="104"/>
      <c r="F3" s="104"/>
      <c r="G3" s="1"/>
    </row>
    <row r="4" spans="1:7" ht="1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37</v>
      </c>
      <c r="C8" s="27"/>
      <c r="D8" s="27"/>
      <c r="E8" s="27"/>
      <c r="F8" s="18"/>
      <c r="G8" s="1"/>
    </row>
    <row r="9" spans="1:7" ht="17.25" customHeight="1" x14ac:dyDescent="0.25">
      <c r="A9" s="1"/>
      <c r="B9" s="79" t="s">
        <v>17</v>
      </c>
      <c r="C9" s="81" t="s">
        <v>11</v>
      </c>
      <c r="D9" s="80"/>
      <c r="E9" s="81" t="s">
        <v>27</v>
      </c>
      <c r="F9" s="31"/>
      <c r="G9" s="1"/>
    </row>
    <row r="10" spans="1:7" x14ac:dyDescent="0.25">
      <c r="A10" s="1"/>
      <c r="B10" s="23" t="s">
        <v>87</v>
      </c>
      <c r="C10" s="20">
        <f>'Fane 10. Anlægsprojekter (§ 19)'!H11</f>
        <v>0</v>
      </c>
      <c r="D10" s="13" t="s">
        <v>3</v>
      </c>
      <c r="E10" s="9">
        <f>'Fane 10. Anlægsprojekter (§ 19)'!F11+'Fane 10. Anlægsprojekter (§ 19)'!J11</f>
        <v>0</v>
      </c>
      <c r="F10" s="13" t="s">
        <v>3</v>
      </c>
      <c r="G10" s="1"/>
    </row>
    <row r="11" spans="1:7" x14ac:dyDescent="0.25">
      <c r="A11" s="1"/>
      <c r="B11" s="23" t="s">
        <v>234</v>
      </c>
      <c r="C11" s="20">
        <v>0</v>
      </c>
      <c r="D11" s="13" t="s">
        <v>3</v>
      </c>
      <c r="E11" s="9">
        <v>1442629.47</v>
      </c>
      <c r="F11" s="13" t="s">
        <v>3</v>
      </c>
      <c r="G11" s="1"/>
    </row>
    <row r="12" spans="1:7" x14ac:dyDescent="0.25">
      <c r="A12" s="1"/>
      <c r="B12" s="23" t="s">
        <v>235</v>
      </c>
      <c r="C12" s="20">
        <v>5205</v>
      </c>
      <c r="D12" s="13" t="s">
        <v>3</v>
      </c>
      <c r="E12" s="9">
        <v>101685.16</v>
      </c>
      <c r="F12" s="13" t="s">
        <v>3</v>
      </c>
      <c r="G12" s="1"/>
    </row>
    <row r="13" spans="1:7" x14ac:dyDescent="0.25">
      <c r="A13" s="1"/>
      <c r="B13" s="23" t="s">
        <v>236</v>
      </c>
      <c r="C13" s="20">
        <v>0</v>
      </c>
      <c r="D13" s="13" t="s">
        <v>3</v>
      </c>
      <c r="E13" s="9">
        <v>102970.06</v>
      </c>
      <c r="F13" s="13" t="s">
        <v>3</v>
      </c>
      <c r="G13" s="1"/>
    </row>
    <row r="14" spans="1:7" x14ac:dyDescent="0.25">
      <c r="A14" s="1"/>
      <c r="B14" s="23"/>
      <c r="C14" s="20"/>
      <c r="D14" s="13" t="s">
        <v>3</v>
      </c>
      <c r="E14" s="9"/>
      <c r="F14" s="13" t="s">
        <v>3</v>
      </c>
      <c r="G14" s="1"/>
    </row>
    <row r="15" spans="1:7" x14ac:dyDescent="0.25">
      <c r="A15" s="1"/>
      <c r="B15" s="23"/>
      <c r="C15" s="20"/>
      <c r="D15" s="13" t="s">
        <v>3</v>
      </c>
      <c r="E15" s="9"/>
      <c r="F15" s="13" t="s">
        <v>3</v>
      </c>
      <c r="G15" s="1"/>
    </row>
    <row r="16" spans="1:7" x14ac:dyDescent="0.25">
      <c r="A16" s="1"/>
      <c r="B16" s="23"/>
      <c r="C16" s="20"/>
      <c r="D16" s="13" t="s">
        <v>3</v>
      </c>
      <c r="E16" s="9"/>
      <c r="F16" s="13" t="s">
        <v>3</v>
      </c>
      <c r="G16" s="1"/>
    </row>
    <row r="17" spans="1:7" x14ac:dyDescent="0.25">
      <c r="A17" s="1"/>
      <c r="B17" s="23"/>
      <c r="C17" s="20"/>
      <c r="D17" s="13" t="s">
        <v>3</v>
      </c>
      <c r="E17" s="9"/>
      <c r="F17" s="13" t="s">
        <v>3</v>
      </c>
      <c r="G17" s="1"/>
    </row>
    <row r="18" spans="1:7" x14ac:dyDescent="0.25">
      <c r="A18" s="1"/>
      <c r="B18" s="23"/>
      <c r="C18" s="20"/>
      <c r="D18" s="13" t="s">
        <v>3</v>
      </c>
      <c r="E18" s="9"/>
      <c r="F18" s="13" t="s">
        <v>3</v>
      </c>
      <c r="G18" s="1"/>
    </row>
    <row r="19" spans="1:7" x14ac:dyDescent="0.25">
      <c r="A19" s="1"/>
      <c r="B19" s="32" t="s">
        <v>139</v>
      </c>
      <c r="C19" s="11">
        <f>SUM(C10:C18)</f>
        <v>5205</v>
      </c>
      <c r="D19" s="12" t="s">
        <v>3</v>
      </c>
      <c r="E19" s="11">
        <f>SUM(E10:E18)</f>
        <v>1647284.69</v>
      </c>
      <c r="F19" s="12" t="s">
        <v>3</v>
      </c>
      <c r="G19" s="1"/>
    </row>
    <row r="20" spans="1:7" x14ac:dyDescent="0.25">
      <c r="A20" s="1"/>
      <c r="B20" s="32" t="s">
        <v>174</v>
      </c>
      <c r="C20" s="11">
        <f>C19*(1+'Fane 15. Nøgletal'!C10)</f>
        <v>5550.0915000000005</v>
      </c>
      <c r="D20" s="12" t="s">
        <v>3</v>
      </c>
      <c r="E20" s="11">
        <f>E19*(1+'Fane 15. Nøgletal'!C10)</f>
        <v>1756499.6649469999</v>
      </c>
      <c r="F20" s="12"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nJMu2EFdObiNy9zGoWsmDaNZuGTUDu0HNqxaYINWQi5X6dXzf5rbgJ4rGX742XgTv8vvZU3zGMTsAVHh/qyIgw==" saltValue="oX25jg7y+IJB8noI4Brkj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115</v>
      </c>
      <c r="C3" s="104"/>
      <c r="D3" s="104"/>
      <c r="E3" s="104"/>
      <c r="F3" s="104"/>
      <c r="G3" s="1"/>
    </row>
    <row r="4" spans="1:7" ht="1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8" t="s">
        <v>175</v>
      </c>
      <c r="C8" s="109"/>
      <c r="D8" s="109"/>
      <c r="E8" s="109"/>
      <c r="F8" s="110"/>
      <c r="G8" s="1"/>
    </row>
    <row r="9" spans="1:7" x14ac:dyDescent="0.25">
      <c r="A9" s="1"/>
      <c r="B9" s="79" t="s">
        <v>17</v>
      </c>
      <c r="C9" s="81" t="s">
        <v>11</v>
      </c>
      <c r="D9" s="80"/>
      <c r="E9" s="81" t="s">
        <v>27</v>
      </c>
      <c r="F9" s="31"/>
      <c r="G9" s="1"/>
    </row>
    <row r="10" spans="1:7" x14ac:dyDescent="0.25">
      <c r="A10" s="1"/>
      <c r="B10" s="23" t="s">
        <v>237</v>
      </c>
      <c r="C10" s="20">
        <v>302580</v>
      </c>
      <c r="D10" s="13" t="s">
        <v>3</v>
      </c>
      <c r="E10" s="9">
        <v>0</v>
      </c>
      <c r="F10" s="13" t="s">
        <v>3</v>
      </c>
      <c r="G10" s="1"/>
    </row>
    <row r="11" spans="1:7" x14ac:dyDescent="0.25">
      <c r="A11" s="1"/>
      <c r="B11" s="23"/>
      <c r="C11" s="20"/>
      <c r="D11" s="13" t="s">
        <v>3</v>
      </c>
      <c r="E11" s="9"/>
      <c r="F11" s="13" t="s">
        <v>3</v>
      </c>
      <c r="G11" s="1"/>
    </row>
    <row r="12" spans="1:7" x14ac:dyDescent="0.25">
      <c r="A12" s="1"/>
      <c r="B12" s="23"/>
      <c r="C12" s="20"/>
      <c r="D12" s="13" t="s">
        <v>3</v>
      </c>
      <c r="E12" s="9"/>
      <c r="F12" s="13" t="s">
        <v>3</v>
      </c>
      <c r="G12" s="1"/>
    </row>
    <row r="13" spans="1:7" x14ac:dyDescent="0.25">
      <c r="A13" s="1"/>
      <c r="B13" s="32" t="s">
        <v>176</v>
      </c>
      <c r="C13" s="11">
        <f>SUM(C10:C12)</f>
        <v>302580</v>
      </c>
      <c r="D13" s="12" t="s">
        <v>3</v>
      </c>
      <c r="E13" s="11">
        <f>SUM(E10:E12)</f>
        <v>0</v>
      </c>
      <c r="F13" s="12" t="s">
        <v>3</v>
      </c>
      <c r="G13" s="1"/>
    </row>
    <row r="14" spans="1:7" x14ac:dyDescent="0.25">
      <c r="A14" s="1"/>
      <c r="B14" s="32" t="s">
        <v>177</v>
      </c>
      <c r="C14" s="11">
        <f>C13*(1+'Fane 15. Nøgletal'!C10)^2</f>
        <v>344032.15588019998</v>
      </c>
      <c r="D14" s="12" t="s">
        <v>3</v>
      </c>
      <c r="E14" s="11">
        <f>E13*(1+'Fane 15. Nøgletal'!C10)^2</f>
        <v>0</v>
      </c>
      <c r="F14" s="12" t="s">
        <v>3</v>
      </c>
      <c r="G14" s="1"/>
    </row>
    <row r="15" spans="1:7" x14ac:dyDescent="0.25">
      <c r="A15" s="1"/>
      <c r="B15" s="1"/>
      <c r="C15" s="1"/>
      <c r="D15" s="1"/>
      <c r="E15" s="1"/>
      <c r="F15" s="1"/>
      <c r="G15" s="1"/>
    </row>
    <row r="16" spans="1:7" x14ac:dyDescent="0.25">
      <c r="A16" s="1"/>
      <c r="B16" s="127"/>
      <c r="C16" s="127"/>
      <c r="D16" s="127"/>
      <c r="E16" s="127"/>
      <c r="F16" s="127"/>
      <c r="G16" s="1"/>
    </row>
    <row r="17" spans="1:7" x14ac:dyDescent="0.25">
      <c r="A17" s="1"/>
      <c r="B17" s="45"/>
      <c r="C17" s="45"/>
      <c r="D17" s="45"/>
      <c r="E17" s="45"/>
      <c r="F17" s="46"/>
      <c r="G17" s="1"/>
    </row>
    <row r="18" spans="1:7" x14ac:dyDescent="0.25">
      <c r="A18" s="1"/>
      <c r="B18" s="47"/>
      <c r="C18" s="48"/>
      <c r="D18" s="49"/>
      <c r="E18" s="50"/>
      <c r="F18" s="49"/>
      <c r="G18" s="1"/>
    </row>
    <row r="19" spans="1:7" x14ac:dyDescent="0.25">
      <c r="A19" s="1"/>
      <c r="B19" s="47"/>
      <c r="C19" s="48"/>
      <c r="D19" s="49"/>
      <c r="E19" s="50"/>
      <c r="F19" s="49"/>
      <c r="G19" s="1"/>
    </row>
    <row r="20" spans="1:7" x14ac:dyDescent="0.25">
      <c r="A20" s="1"/>
      <c r="B20" s="51"/>
      <c r="C20" s="52"/>
      <c r="D20" s="53"/>
      <c r="E20" s="52"/>
      <c r="F20" s="53"/>
      <c r="G20" s="1"/>
    </row>
    <row r="21" spans="1:7" x14ac:dyDescent="0.25">
      <c r="A21" s="1"/>
      <c r="B21" s="51"/>
      <c r="C21" s="52"/>
      <c r="D21" s="53"/>
      <c r="E21" s="52"/>
      <c r="F21" s="53"/>
      <c r="G21" s="1"/>
    </row>
    <row r="22" spans="1:7" x14ac:dyDescent="0.25">
      <c r="A22" s="1"/>
      <c r="B22" s="44"/>
      <c r="C22" s="44"/>
      <c r="D22" s="44"/>
      <c r="E22" s="44"/>
      <c r="F22" s="44"/>
      <c r="G22" s="1"/>
    </row>
    <row r="23" spans="1:7" x14ac:dyDescent="0.25">
      <c r="A23" s="1"/>
      <c r="B23" s="45"/>
      <c r="C23" s="45"/>
      <c r="D23" s="45"/>
      <c r="E23" s="45"/>
      <c r="F23" s="46"/>
      <c r="G23" s="1"/>
    </row>
    <row r="24" spans="1:7" x14ac:dyDescent="0.25">
      <c r="A24" s="1"/>
      <c r="B24" s="47"/>
      <c r="C24" s="48"/>
      <c r="D24" s="49"/>
      <c r="E24" s="50"/>
      <c r="F24" s="49"/>
      <c r="G24" s="1"/>
    </row>
    <row r="25" spans="1:7" x14ac:dyDescent="0.25">
      <c r="A25" s="1"/>
      <c r="B25" s="47"/>
      <c r="C25" s="48"/>
      <c r="D25" s="49"/>
      <c r="E25" s="50"/>
      <c r="F25" s="49"/>
      <c r="G25" s="1"/>
    </row>
    <row r="26" spans="1:7" x14ac:dyDescent="0.25">
      <c r="A26" s="1"/>
      <c r="B26" s="51"/>
      <c r="C26" s="52"/>
      <c r="D26" s="53"/>
      <c r="E26" s="52"/>
      <c r="F26" s="53"/>
      <c r="G26" s="1"/>
    </row>
    <row r="27" spans="1:7" x14ac:dyDescent="0.25">
      <c r="A27" s="1"/>
      <c r="B27" s="51"/>
      <c r="C27" s="52"/>
      <c r="D27" s="53"/>
      <c r="E27" s="52"/>
      <c r="F27" s="53"/>
      <c r="G27" s="1"/>
    </row>
    <row r="28" spans="1:7" x14ac:dyDescent="0.25">
      <c r="A28" s="1"/>
      <c r="B28" s="44"/>
      <c r="C28" s="44"/>
      <c r="D28" s="44"/>
      <c r="E28" s="44"/>
      <c r="F28" s="44"/>
      <c r="G28" s="1"/>
    </row>
    <row r="29" spans="1:7" x14ac:dyDescent="0.25">
      <c r="A29" s="1"/>
      <c r="B29" s="127"/>
      <c r="C29" s="127"/>
      <c r="D29" s="127"/>
      <c r="E29" s="127"/>
      <c r="F29" s="127"/>
      <c r="G29" s="1"/>
    </row>
    <row r="30" spans="1:7" x14ac:dyDescent="0.25">
      <c r="A30" s="1"/>
      <c r="B30" s="45"/>
      <c r="C30" s="45"/>
      <c r="D30" s="45"/>
      <c r="E30" s="45"/>
      <c r="F30" s="46"/>
      <c r="G30" s="1"/>
    </row>
    <row r="31" spans="1:7" x14ac:dyDescent="0.25">
      <c r="A31" s="1"/>
      <c r="B31" s="47"/>
      <c r="C31" s="48"/>
      <c r="D31" s="49"/>
      <c r="E31" s="50"/>
      <c r="F31" s="49"/>
      <c r="G31" s="1"/>
    </row>
    <row r="32" spans="1:7" x14ac:dyDescent="0.25">
      <c r="A32" s="1"/>
      <c r="B32" s="47"/>
      <c r="C32" s="48"/>
      <c r="D32" s="49"/>
      <c r="E32" s="50"/>
      <c r="F32" s="49"/>
      <c r="G32" s="1"/>
    </row>
    <row r="33" spans="1:7" x14ac:dyDescent="0.25">
      <c r="A33" s="1"/>
      <c r="B33" s="51"/>
      <c r="C33" s="52"/>
      <c r="D33" s="53"/>
      <c r="E33" s="52"/>
      <c r="F33" s="53"/>
      <c r="G33" s="1"/>
    </row>
    <row r="34" spans="1:7" x14ac:dyDescent="0.25">
      <c r="A34" s="1"/>
      <c r="B34" s="51"/>
      <c r="C34" s="52"/>
      <c r="D34" s="53"/>
      <c r="E34" s="52"/>
      <c r="F34" s="53"/>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AP27R7SesnhOt+cdlcVeCirA64kfP4a3I4Cm9yCbQk0xQkl0pzKNCLRgf1W7SmUyo4NgeQTJyfygfM2p19nWjg==" saltValue="jks1Dlj8vS/L7hm010jz8Q=="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116</v>
      </c>
      <c r="C3" s="107"/>
      <c r="D3" s="107"/>
      <c r="E3" s="1"/>
    </row>
    <row r="4" spans="1:5" ht="15" customHeight="1" x14ac:dyDescent="0.25">
      <c r="A4" s="1"/>
      <c r="B4" s="107"/>
      <c r="C4" s="107"/>
      <c r="D4" s="107"/>
      <c r="E4" s="1"/>
    </row>
    <row r="5" spans="1:5" x14ac:dyDescent="0.25">
      <c r="A5" s="1"/>
      <c r="B5" s="107"/>
      <c r="C5" s="107"/>
      <c r="D5" s="107"/>
      <c r="E5" s="1"/>
    </row>
    <row r="6" spans="1:5" x14ac:dyDescent="0.25">
      <c r="A6" s="1"/>
      <c r="B6" s="1"/>
      <c r="C6" s="1"/>
      <c r="D6" s="1"/>
      <c r="E6" s="1"/>
    </row>
    <row r="7" spans="1:5" x14ac:dyDescent="0.25">
      <c r="A7" s="1"/>
      <c r="B7" s="1"/>
      <c r="C7" s="1"/>
      <c r="D7" s="1"/>
      <c r="E7" s="1"/>
    </row>
    <row r="8" spans="1:5" ht="14.25" customHeight="1" x14ac:dyDescent="0.25">
      <c r="A8" s="1"/>
      <c r="B8" s="108" t="s">
        <v>73</v>
      </c>
      <c r="C8" s="109"/>
      <c r="D8" s="110"/>
      <c r="E8" s="1"/>
    </row>
    <row r="9" spans="1:5" x14ac:dyDescent="0.25">
      <c r="A9" s="1"/>
      <c r="B9" s="66" t="s">
        <v>178</v>
      </c>
      <c r="C9" s="9">
        <v>0</v>
      </c>
      <c r="D9" s="13" t="s">
        <v>3</v>
      </c>
      <c r="E9" s="1"/>
    </row>
    <row r="10" spans="1:5" x14ac:dyDescent="0.25">
      <c r="A10" s="1"/>
      <c r="B10" s="62" t="s">
        <v>10</v>
      </c>
      <c r="C10" s="9">
        <f>-C9*'Fane 5. Individuelt eff. krav'!C9</f>
        <v>0</v>
      </c>
      <c r="D10" s="13" t="s">
        <v>3</v>
      </c>
      <c r="E10" s="1"/>
    </row>
    <row r="11" spans="1:5" x14ac:dyDescent="0.25">
      <c r="A11" s="1"/>
      <c r="B11" s="62" t="s">
        <v>22</v>
      </c>
      <c r="C11" s="9">
        <f>-C9*'Fane 15. Nøgletal'!C21</f>
        <v>0</v>
      </c>
      <c r="D11" s="13" t="s">
        <v>3</v>
      </c>
      <c r="E11" s="1"/>
    </row>
    <row r="12" spans="1:5" x14ac:dyDescent="0.25">
      <c r="A12" s="1"/>
      <c r="B12" s="75" t="s">
        <v>74</v>
      </c>
      <c r="C12" s="11">
        <f>SUM(C9:C11)*(1+'Fane 15. Nøgletal'!C9)^2</f>
        <v>0</v>
      </c>
      <c r="D12" s="12" t="s">
        <v>3</v>
      </c>
      <c r="E12" s="1"/>
    </row>
    <row r="13" spans="1:5" x14ac:dyDescent="0.25">
      <c r="A13" s="1"/>
      <c r="B13" s="1"/>
      <c r="C13" s="1"/>
      <c r="D13" s="1"/>
      <c r="E13" s="1"/>
    </row>
    <row r="14" spans="1:5" ht="15" customHeight="1" x14ac:dyDescent="0.25">
      <c r="A14" s="1"/>
      <c r="B14" s="108" t="s">
        <v>84</v>
      </c>
      <c r="C14" s="109"/>
      <c r="D14" s="110"/>
      <c r="E14" s="1"/>
    </row>
    <row r="15" spans="1:5" x14ac:dyDescent="0.25">
      <c r="A15" s="1"/>
      <c r="B15" s="66" t="s">
        <v>178</v>
      </c>
      <c r="C15" s="9">
        <v>0</v>
      </c>
      <c r="D15" s="13" t="s">
        <v>3</v>
      </c>
      <c r="E15" s="1"/>
    </row>
    <row r="16" spans="1:5" x14ac:dyDescent="0.25">
      <c r="A16" s="1"/>
      <c r="B16" s="62" t="s">
        <v>10</v>
      </c>
      <c r="C16" s="9">
        <f>-C15*'Fane 5. Individuelt eff. krav'!C9</f>
        <v>0</v>
      </c>
      <c r="D16" s="13" t="s">
        <v>3</v>
      </c>
      <c r="E16" s="1"/>
    </row>
    <row r="17" spans="1:5" x14ac:dyDescent="0.25">
      <c r="A17" s="1"/>
      <c r="B17" s="62" t="s">
        <v>22</v>
      </c>
      <c r="C17" s="9">
        <f>-C15*'Fane 15. Nøgletal'!C21</f>
        <v>0</v>
      </c>
      <c r="D17" s="13" t="s">
        <v>3</v>
      </c>
      <c r="E17" s="1"/>
    </row>
    <row r="18" spans="1:5" x14ac:dyDescent="0.25">
      <c r="A18" s="1"/>
      <c r="B18" s="75" t="s">
        <v>85</v>
      </c>
      <c r="C18" s="11">
        <f>SUM(C15:C17)*(1+'Fane 15. Nøgletal'!C10)^3</f>
        <v>0</v>
      </c>
      <c r="D18" s="12" t="s">
        <v>3</v>
      </c>
      <c r="E18" s="1"/>
    </row>
    <row r="19" spans="1:5" x14ac:dyDescent="0.25">
      <c r="A19" s="1"/>
      <c r="B19" s="1"/>
      <c r="C19" s="1"/>
      <c r="D19" s="1"/>
      <c r="E19" s="1"/>
    </row>
    <row r="20" spans="1:5" ht="15" customHeight="1" x14ac:dyDescent="0.25">
      <c r="A20" s="1"/>
      <c r="B20" s="108" t="s">
        <v>140</v>
      </c>
      <c r="C20" s="109"/>
      <c r="D20" s="110"/>
      <c r="E20" s="1"/>
    </row>
    <row r="21" spans="1:5" x14ac:dyDescent="0.25">
      <c r="A21" s="1"/>
      <c r="B21" s="66" t="s">
        <v>178</v>
      </c>
      <c r="C21" s="9">
        <v>0</v>
      </c>
      <c r="D21" s="13" t="s">
        <v>3</v>
      </c>
      <c r="E21" s="1"/>
    </row>
    <row r="22" spans="1:5" x14ac:dyDescent="0.25">
      <c r="A22" s="1"/>
      <c r="B22" s="62" t="s">
        <v>10</v>
      </c>
      <c r="C22" s="9">
        <f>-C21*'Fane 5. Individuelt eff. krav'!C9</f>
        <v>0</v>
      </c>
      <c r="D22" s="13" t="s">
        <v>3</v>
      </c>
      <c r="E22" s="1"/>
    </row>
    <row r="23" spans="1:5" x14ac:dyDescent="0.25">
      <c r="A23" s="1"/>
      <c r="B23" s="62" t="s">
        <v>22</v>
      </c>
      <c r="C23" s="9">
        <f>-C21*'Fane 15. Nøgletal'!C21</f>
        <v>0</v>
      </c>
      <c r="D23" s="13" t="s">
        <v>3</v>
      </c>
      <c r="E23" s="1"/>
    </row>
    <row r="24" spans="1:5" x14ac:dyDescent="0.25">
      <c r="A24" s="1"/>
      <c r="B24" s="75" t="s">
        <v>141</v>
      </c>
      <c r="C24" s="11">
        <f>SUM(C21:C23)*(1+'Fane 15. Nøgletal'!C10)^4</f>
        <v>0</v>
      </c>
      <c r="D24" s="12" t="s">
        <v>3</v>
      </c>
      <c r="E24" s="1"/>
    </row>
    <row r="25" spans="1:5" x14ac:dyDescent="0.25">
      <c r="A25" s="1"/>
      <c r="B25" s="1"/>
      <c r="C25" s="1"/>
      <c r="D25" s="1"/>
      <c r="E25" s="1"/>
    </row>
    <row r="26" spans="1:5" ht="15" customHeight="1" x14ac:dyDescent="0.25">
      <c r="A26" s="1"/>
      <c r="B26" s="108" t="s">
        <v>179</v>
      </c>
      <c r="C26" s="109"/>
      <c r="D26" s="110"/>
      <c r="E26" s="1"/>
    </row>
    <row r="27" spans="1:5" ht="14.25" customHeight="1" x14ac:dyDescent="0.25">
      <c r="A27" s="1"/>
      <c r="B27" s="66" t="s">
        <v>178</v>
      </c>
      <c r="C27" s="9">
        <v>0</v>
      </c>
      <c r="D27" s="13" t="s">
        <v>3</v>
      </c>
      <c r="E27" s="1"/>
    </row>
    <row r="28" spans="1:5" x14ac:dyDescent="0.25">
      <c r="A28" s="1"/>
      <c r="B28" s="62" t="s">
        <v>10</v>
      </c>
      <c r="C28" s="9">
        <f>-C27*'Fane 5. Individuelt eff. krav'!C9</f>
        <v>0</v>
      </c>
      <c r="D28" s="13" t="s">
        <v>3</v>
      </c>
      <c r="E28" s="1"/>
    </row>
    <row r="29" spans="1:5" x14ac:dyDescent="0.25">
      <c r="A29" s="1"/>
      <c r="B29" s="62" t="s">
        <v>22</v>
      </c>
      <c r="C29" s="9">
        <f>-C27*'Fane 15. Nøgletal'!C21</f>
        <v>0</v>
      </c>
      <c r="D29" s="13" t="s">
        <v>3</v>
      </c>
      <c r="E29" s="1"/>
    </row>
    <row r="30" spans="1:5" x14ac:dyDescent="0.25">
      <c r="A30" s="1"/>
      <c r="B30" s="75" t="s">
        <v>180</v>
      </c>
      <c r="C30" s="11">
        <f>SUM(C27:C29)*(1+'Fane 15. Nøgletal'!C10)^5</f>
        <v>0</v>
      </c>
      <c r="D30" s="12"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wsBnQ42NH949uzYyEJaaUQfnTpCaAecgtuEhddHxZB8eINc4kiRkD+L7C2vZI2vJlPMKQG5Bpjl/chj9sAHbgw==" saltValue="taGdkk7l3UoKZNdhJmhe9w=="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117</v>
      </c>
      <c r="C3" s="107"/>
      <c r="D3" s="107"/>
      <c r="E3" s="107"/>
      <c r="F3" s="107"/>
      <c r="G3" s="1"/>
    </row>
    <row r="4" spans="1:7" ht="15" customHeight="1" x14ac:dyDescent="0.25">
      <c r="A4" s="1"/>
      <c r="B4" s="107"/>
      <c r="C4" s="107"/>
      <c r="D4" s="107"/>
      <c r="E4" s="107"/>
      <c r="F4" s="107"/>
      <c r="G4" s="1"/>
    </row>
    <row r="5" spans="1:7" x14ac:dyDescent="0.25">
      <c r="A5" s="1"/>
      <c r="B5" s="107"/>
      <c r="C5" s="107"/>
      <c r="D5" s="107"/>
      <c r="E5" s="107"/>
      <c r="F5" s="107"/>
      <c r="G5" s="1"/>
    </row>
    <row r="6" spans="1:7" x14ac:dyDescent="0.25">
      <c r="A6" s="1"/>
      <c r="B6" s="1"/>
      <c r="C6" s="1"/>
      <c r="D6" s="1"/>
      <c r="E6" s="1"/>
      <c r="F6" s="1"/>
      <c r="G6" s="1"/>
    </row>
    <row r="7" spans="1:7" x14ac:dyDescent="0.25">
      <c r="A7" s="1"/>
      <c r="B7" s="1"/>
      <c r="C7" s="1"/>
      <c r="D7" s="1"/>
      <c r="E7" s="1"/>
      <c r="F7" s="1"/>
      <c r="G7" s="1"/>
    </row>
    <row r="8" spans="1:7" x14ac:dyDescent="0.25">
      <c r="A8" s="1"/>
      <c r="B8" s="108" t="s">
        <v>66</v>
      </c>
      <c r="C8" s="109"/>
      <c r="D8" s="109"/>
      <c r="E8" s="109"/>
      <c r="F8" s="110"/>
      <c r="G8" s="1"/>
    </row>
    <row r="9" spans="1:7" ht="15" customHeight="1" x14ac:dyDescent="0.25">
      <c r="A9" s="1"/>
      <c r="B9" s="30" t="s">
        <v>67</v>
      </c>
      <c r="C9" s="26" t="s">
        <v>11</v>
      </c>
      <c r="D9" s="31"/>
      <c r="E9" s="26" t="s">
        <v>27</v>
      </c>
      <c r="F9" s="31"/>
      <c r="G9" s="1"/>
    </row>
    <row r="10" spans="1:7" ht="26.25" x14ac:dyDescent="0.25">
      <c r="A10" s="1"/>
      <c r="B10" s="68" t="s">
        <v>221</v>
      </c>
      <c r="C10" s="9">
        <v>0</v>
      </c>
      <c r="D10" s="13" t="s">
        <v>3</v>
      </c>
      <c r="E10" s="9">
        <v>0</v>
      </c>
      <c r="F10" s="13" t="s">
        <v>3</v>
      </c>
      <c r="G10" s="1"/>
    </row>
    <row r="11" spans="1:7" ht="28.5" customHeight="1" x14ac:dyDescent="0.25">
      <c r="A11" s="1"/>
      <c r="B11" s="19" t="s">
        <v>142</v>
      </c>
      <c r="C11" s="11">
        <f>SUM(C10:C10)</f>
        <v>0</v>
      </c>
      <c r="D11" s="12" t="s">
        <v>3</v>
      </c>
      <c r="E11" s="11">
        <f>SUM(E10:E10)</f>
        <v>0</v>
      </c>
      <c r="F11" s="12" t="s">
        <v>3</v>
      </c>
      <c r="G11" s="1"/>
    </row>
    <row r="12" spans="1:7" ht="27" customHeight="1" x14ac:dyDescent="0.25">
      <c r="A12" s="1"/>
      <c r="B12" s="19" t="s">
        <v>181</v>
      </c>
      <c r="C12" s="11">
        <f>C11*(1+'Fane 15. Nøgletal'!C10)</f>
        <v>0</v>
      </c>
      <c r="D12" s="12" t="s">
        <v>3</v>
      </c>
      <c r="E12" s="11">
        <f>E11*(1+'Fane 15. Nøgletal'!C10)</f>
        <v>0</v>
      </c>
      <c r="F12" s="12"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7p2U2m73iV7UObv0gEVdp3vdLsdQ0lekNLhDUqLonBL6Hi3fcM6N4/mEJOlcWxfLJc9MrYzXKZOZqIlx2sOKTw==" saltValue="I9DhmovZtfYlLYmbCNO/KQ=="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118</v>
      </c>
      <c r="C3" s="107"/>
      <c r="D3" s="107"/>
      <c r="E3" s="107"/>
      <c r="F3" s="107"/>
      <c r="G3" s="1"/>
    </row>
    <row r="4" spans="1:7" ht="15" customHeight="1" x14ac:dyDescent="0.25">
      <c r="A4" s="1"/>
      <c r="B4" s="107"/>
      <c r="C4" s="107"/>
      <c r="D4" s="107"/>
      <c r="E4" s="107"/>
      <c r="F4" s="107"/>
      <c r="G4" s="1"/>
    </row>
    <row r="5" spans="1:7" x14ac:dyDescent="0.25">
      <c r="A5" s="1"/>
      <c r="B5" s="107"/>
      <c r="C5" s="107"/>
      <c r="D5" s="107"/>
      <c r="E5" s="107"/>
      <c r="F5" s="107"/>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08" t="s">
        <v>182</v>
      </c>
      <c r="C8" s="109"/>
      <c r="D8" s="109"/>
      <c r="E8" s="109"/>
      <c r="F8" s="110"/>
      <c r="G8" s="1"/>
    </row>
    <row r="9" spans="1:7" x14ac:dyDescent="0.25">
      <c r="A9" s="1"/>
      <c r="B9" s="30" t="s">
        <v>18</v>
      </c>
      <c r="C9" s="128" t="s">
        <v>11</v>
      </c>
      <c r="D9" s="129"/>
      <c r="E9" s="128" t="s">
        <v>27</v>
      </c>
      <c r="F9" s="129"/>
      <c r="G9" s="1"/>
    </row>
    <row r="10" spans="1:7" x14ac:dyDescent="0.25">
      <c r="A10" s="1"/>
      <c r="B10" s="68" t="s">
        <v>222</v>
      </c>
      <c r="C10" s="9">
        <v>0</v>
      </c>
      <c r="D10" s="13" t="s">
        <v>3</v>
      </c>
      <c r="E10" s="9">
        <v>0</v>
      </c>
      <c r="F10" s="13" t="s">
        <v>3</v>
      </c>
      <c r="G10" s="1"/>
    </row>
    <row r="11" spans="1:7" x14ac:dyDescent="0.25">
      <c r="A11" s="1"/>
      <c r="B11" s="32" t="s">
        <v>143</v>
      </c>
      <c r="C11" s="11">
        <f>SUM(C10:C10)</f>
        <v>0</v>
      </c>
      <c r="D11" s="12" t="s">
        <v>3</v>
      </c>
      <c r="E11" s="11">
        <f>SUM(E10:E10)</f>
        <v>0</v>
      </c>
      <c r="F11" s="12" t="s">
        <v>3</v>
      </c>
      <c r="G11" s="1"/>
    </row>
    <row r="12" spans="1:7" x14ac:dyDescent="0.25">
      <c r="A12" s="1"/>
      <c r="B12" s="32" t="s">
        <v>215</v>
      </c>
      <c r="C12" s="11">
        <f>C11*(1+'Fane 15. Nøgletal'!C10)^2</f>
        <v>0</v>
      </c>
      <c r="D12" s="12" t="s">
        <v>3</v>
      </c>
      <c r="E12" s="11">
        <f>E11*(1+'Fane 15. Nøgletal'!C10)^2</f>
        <v>0</v>
      </c>
      <c r="F12" s="12" t="s">
        <v>3</v>
      </c>
      <c r="G12" s="1"/>
    </row>
    <row r="13" spans="1:7" x14ac:dyDescent="0.25">
      <c r="A13" s="1"/>
      <c r="B13" s="1"/>
      <c r="C13" s="1"/>
      <c r="D13" s="1"/>
      <c r="E13" s="1"/>
      <c r="F13" s="1"/>
      <c r="G13" s="1"/>
    </row>
    <row r="14" spans="1:7" x14ac:dyDescent="0.25">
      <c r="A14" s="1"/>
      <c r="B14" s="127"/>
      <c r="C14" s="127"/>
      <c r="D14" s="127"/>
      <c r="E14" s="127"/>
      <c r="F14" s="127"/>
      <c r="G14" s="1"/>
    </row>
    <row r="15" spans="1:7" x14ac:dyDescent="0.25">
      <c r="A15" s="1"/>
      <c r="B15" s="46"/>
      <c r="C15" s="46"/>
      <c r="D15" s="46"/>
      <c r="E15" s="46"/>
      <c r="F15" s="46"/>
      <c r="G15" s="1"/>
    </row>
    <row r="16" spans="1:7" x14ac:dyDescent="0.25">
      <c r="A16" s="1"/>
      <c r="B16" s="47"/>
      <c r="C16" s="50"/>
      <c r="D16" s="49"/>
      <c r="E16" s="50"/>
      <c r="F16" s="49"/>
      <c r="G16" s="1"/>
    </row>
    <row r="17" spans="1:7" x14ac:dyDescent="0.25">
      <c r="A17" s="1"/>
      <c r="B17" s="47"/>
      <c r="C17" s="50"/>
      <c r="D17" s="49"/>
      <c r="E17" s="50"/>
      <c r="F17" s="49"/>
      <c r="G17" s="1"/>
    </row>
    <row r="18" spans="1:7" x14ac:dyDescent="0.25">
      <c r="A18" s="1"/>
      <c r="B18" s="51"/>
      <c r="C18" s="52"/>
      <c r="D18" s="53"/>
      <c r="E18" s="52"/>
      <c r="F18" s="53"/>
      <c r="G18" s="1"/>
    </row>
    <row r="19" spans="1:7" x14ac:dyDescent="0.25">
      <c r="A19" s="1"/>
      <c r="B19" s="51"/>
      <c r="C19" s="52"/>
      <c r="D19" s="53"/>
      <c r="E19" s="52"/>
      <c r="F19" s="53"/>
      <c r="G19" s="1"/>
    </row>
    <row r="20" spans="1:7" x14ac:dyDescent="0.25">
      <c r="A20" s="1"/>
      <c r="B20" s="44"/>
      <c r="C20" s="44"/>
      <c r="D20" s="44"/>
      <c r="E20" s="44"/>
      <c r="F20" s="44"/>
      <c r="G20" s="1"/>
    </row>
    <row r="21" spans="1:7" x14ac:dyDescent="0.25">
      <c r="A21" s="1"/>
      <c r="B21" s="127"/>
      <c r="C21" s="127"/>
      <c r="D21" s="127"/>
      <c r="E21" s="127"/>
      <c r="F21" s="127"/>
      <c r="G21" s="1"/>
    </row>
    <row r="22" spans="1:7" x14ac:dyDescent="0.25">
      <c r="A22" s="1"/>
      <c r="B22" s="46"/>
      <c r="C22" s="46"/>
      <c r="D22" s="46"/>
      <c r="E22" s="46"/>
      <c r="F22" s="46"/>
      <c r="G22" s="1"/>
    </row>
    <row r="23" spans="1:7" x14ac:dyDescent="0.25">
      <c r="A23" s="1"/>
      <c r="B23" s="47"/>
      <c r="C23" s="50"/>
      <c r="D23" s="49"/>
      <c r="E23" s="50"/>
      <c r="F23" s="49"/>
      <c r="G23" s="1"/>
    </row>
    <row r="24" spans="1:7" x14ac:dyDescent="0.25">
      <c r="A24" s="1"/>
      <c r="B24" s="51"/>
      <c r="C24" s="52"/>
      <c r="D24" s="53"/>
      <c r="E24" s="52"/>
      <c r="F24" s="53"/>
      <c r="G24" s="1"/>
    </row>
    <row r="25" spans="1:7" x14ac:dyDescent="0.25">
      <c r="A25" s="1"/>
      <c r="B25" s="51"/>
      <c r="C25" s="52"/>
      <c r="D25" s="53"/>
      <c r="E25" s="52"/>
      <c r="F25" s="53"/>
      <c r="G25" s="1"/>
    </row>
    <row r="26" spans="1:7" x14ac:dyDescent="0.25">
      <c r="A26" s="1"/>
      <c r="B26" s="44"/>
      <c r="C26" s="44"/>
      <c r="D26" s="44"/>
      <c r="E26" s="44"/>
      <c r="F26" s="44"/>
      <c r="G26" s="1"/>
    </row>
    <row r="27" spans="1:7" x14ac:dyDescent="0.25">
      <c r="A27" s="1"/>
      <c r="B27" s="127"/>
      <c r="C27" s="127"/>
      <c r="D27" s="127"/>
      <c r="E27" s="127"/>
      <c r="F27" s="127"/>
      <c r="G27" s="1"/>
    </row>
    <row r="28" spans="1:7" x14ac:dyDescent="0.25">
      <c r="A28" s="1"/>
      <c r="B28" s="46"/>
      <c r="C28" s="46"/>
      <c r="D28" s="46"/>
      <c r="E28" s="46"/>
      <c r="F28" s="46"/>
      <c r="G28" s="1"/>
    </row>
    <row r="29" spans="1:7" x14ac:dyDescent="0.25">
      <c r="A29" s="1"/>
      <c r="B29" s="47"/>
      <c r="C29" s="50"/>
      <c r="D29" s="49"/>
      <c r="E29" s="50"/>
      <c r="F29" s="49"/>
      <c r="G29" s="1"/>
    </row>
    <row r="30" spans="1:7" x14ac:dyDescent="0.25">
      <c r="A30" s="1"/>
      <c r="B30" s="51"/>
      <c r="C30" s="52"/>
      <c r="D30" s="53"/>
      <c r="E30" s="52"/>
      <c r="F30" s="53"/>
      <c r="G30" s="1"/>
    </row>
    <row r="31" spans="1:7" x14ac:dyDescent="0.25">
      <c r="A31" s="1"/>
      <c r="B31" s="51"/>
      <c r="C31" s="52"/>
      <c r="D31" s="53"/>
      <c r="E31" s="52"/>
      <c r="F31" s="53"/>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L5c6kmqr9sab9XWVDsCoB2InY/L7yxlGyJSFTUg3/KP4FHFTLLFuP+SW1ljnI4hYZanno8wb8oQw8Jei9mbFvQ==" saltValue="i55JVEStDK6xFtANVD6plA=="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155</v>
      </c>
      <c r="C3" s="104"/>
      <c r="D3" s="104"/>
      <c r="E3" s="1"/>
    </row>
    <row r="4" spans="1:5" ht="15" customHeight="1" x14ac:dyDescent="0.25">
      <c r="A4" s="1"/>
      <c r="B4" s="104"/>
      <c r="C4" s="104"/>
      <c r="D4" s="10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8"/>
      <c r="E8" s="1"/>
    </row>
    <row r="9" spans="1:5" x14ac:dyDescent="0.25">
      <c r="A9" s="1"/>
      <c r="B9" s="28" t="s">
        <v>90</v>
      </c>
      <c r="C9" s="7">
        <f>'Fane 3. Omkostninger i ØR2024'!C20</f>
        <v>45678740</v>
      </c>
      <c r="D9" s="8" t="s">
        <v>3</v>
      </c>
      <c r="E9" s="1"/>
    </row>
    <row r="10" spans="1:5" ht="17.25" customHeight="1" x14ac:dyDescent="0.25">
      <c r="A10" s="1"/>
      <c r="B10" s="62" t="s">
        <v>35</v>
      </c>
      <c r="C10" s="7">
        <f>'Fane 11.1. Varige tillæg'!C20</f>
        <v>5550.0915000000005</v>
      </c>
      <c r="D10" s="8" t="s">
        <v>3</v>
      </c>
      <c r="E10" s="1"/>
    </row>
    <row r="11" spans="1:5" ht="17.25" customHeight="1" x14ac:dyDescent="0.25">
      <c r="A11" s="1"/>
      <c r="B11" s="62" t="s">
        <v>36</v>
      </c>
      <c r="C11" s="9">
        <f>'Fane 11.1. Varige tillæg'!E20</f>
        <v>1756499.6649469999</v>
      </c>
      <c r="D11" s="8" t="s">
        <v>3</v>
      </c>
      <c r="E11" s="1"/>
    </row>
    <row r="12" spans="1:5" ht="17.25" customHeight="1" x14ac:dyDescent="0.25">
      <c r="A12" s="1"/>
      <c r="B12" s="62" t="s">
        <v>25</v>
      </c>
      <c r="C12" s="9">
        <f>-'Fane 14. Bortfald'!C12</f>
        <v>0</v>
      </c>
      <c r="D12" s="8" t="s">
        <v>3</v>
      </c>
      <c r="E12" s="1"/>
    </row>
    <row r="13" spans="1:5" ht="17.25" customHeight="1" x14ac:dyDescent="0.25">
      <c r="A13" s="1"/>
      <c r="B13" s="62" t="s">
        <v>24</v>
      </c>
      <c r="C13" s="9">
        <f>-'Fane 14. Bortfald'!E12</f>
        <v>0</v>
      </c>
      <c r="D13" s="8" t="s">
        <v>3</v>
      </c>
      <c r="E13" s="1"/>
    </row>
    <row r="14" spans="1:5" ht="17.25" customHeight="1" x14ac:dyDescent="0.25">
      <c r="A14" s="1"/>
      <c r="B14" s="62" t="s">
        <v>62</v>
      </c>
      <c r="C14" s="9">
        <f>'Fane 13. Tilknyttet virksomhed'!C12</f>
        <v>0</v>
      </c>
      <c r="D14" s="8" t="s">
        <v>3</v>
      </c>
      <c r="E14" s="1"/>
    </row>
    <row r="15" spans="1:5" ht="17.25" customHeight="1" x14ac:dyDescent="0.25">
      <c r="A15" s="1"/>
      <c r="B15" s="62" t="s">
        <v>63</v>
      </c>
      <c r="C15" s="9">
        <f>'Fane 13. Tilknyttet virksomhed'!E12</f>
        <v>0</v>
      </c>
      <c r="D15" s="8" t="s">
        <v>3</v>
      </c>
      <c r="E15" s="1"/>
    </row>
    <row r="16" spans="1:5" ht="17.25" customHeight="1" x14ac:dyDescent="0.25">
      <c r="A16" s="1"/>
      <c r="B16" s="62" t="s">
        <v>19</v>
      </c>
      <c r="C16" s="70">
        <f>SUM(C9)*'Fane 15. Nøgletal'!C9+SUM(C10:C11,C14:C15)*'Fane 15. Nøgletal'!C10</f>
        <v>3807666.0908524357</v>
      </c>
      <c r="D16" s="8" t="s">
        <v>3</v>
      </c>
      <c r="E16" s="1"/>
    </row>
    <row r="17" spans="1:5" ht="17.25" customHeight="1" x14ac:dyDescent="0.25">
      <c r="A17" s="1"/>
      <c r="B17" s="62" t="s">
        <v>10</v>
      </c>
      <c r="C17" s="70">
        <f>-SUM(C9,C10:C16)*'Fane 5. Individuelt eff. krav'!C9</f>
        <v>-337109.98588185676</v>
      </c>
      <c r="D17" s="8" t="s">
        <v>3</v>
      </c>
      <c r="E17" s="1"/>
    </row>
    <row r="18" spans="1:5" ht="17.25" customHeight="1" x14ac:dyDescent="0.25">
      <c r="A18" s="1"/>
      <c r="B18" s="62" t="s">
        <v>22</v>
      </c>
      <c r="C18" s="70">
        <f>-'Fane 4.1. Gen. krav - drift'!C17</f>
        <v>-339163.79657070135</v>
      </c>
      <c r="D18" s="8" t="s">
        <v>3</v>
      </c>
      <c r="E18" s="1"/>
    </row>
    <row r="19" spans="1:5" ht="17.25" customHeight="1" x14ac:dyDescent="0.25">
      <c r="A19" s="1"/>
      <c r="B19" s="62" t="s">
        <v>23</v>
      </c>
      <c r="C19" s="70">
        <f>-'Fane 4.2. Gen. krav - anlæg'!C17</f>
        <v>0</v>
      </c>
      <c r="D19" s="8" t="s">
        <v>3</v>
      </c>
      <c r="E19" s="41"/>
    </row>
    <row r="20" spans="1:5" ht="17.25" customHeight="1" x14ac:dyDescent="0.25">
      <c r="A20" s="1"/>
      <c r="B20" s="81" t="s">
        <v>21</v>
      </c>
      <c r="C20" s="69">
        <f>SUM(C9:C19)</f>
        <v>50572182.064846881</v>
      </c>
      <c r="D20" s="10" t="s">
        <v>3</v>
      </c>
      <c r="E20" s="1"/>
    </row>
    <row r="21" spans="1:5" ht="15" customHeight="1" x14ac:dyDescent="0.25">
      <c r="A21" s="1"/>
      <c r="B21" s="32" t="s">
        <v>12</v>
      </c>
      <c r="C21" s="27"/>
      <c r="D21" s="18"/>
      <c r="E21" s="1"/>
    </row>
    <row r="22" spans="1:5" ht="15" customHeight="1" x14ac:dyDescent="0.25">
      <c r="A22" s="1"/>
      <c r="B22" s="30" t="s">
        <v>12</v>
      </c>
      <c r="C22" s="69">
        <f>'Fane 6. Ikke-påvirkelige omk.'!C21+'Fane 6. Ikke-påvirkelige omk.'!C25+'Fane 6. Ikke-påvirkelige omk.'!C33</f>
        <v>1357935.03034309</v>
      </c>
      <c r="D22" s="10" t="s">
        <v>3</v>
      </c>
      <c r="E22" s="1"/>
    </row>
    <row r="23" spans="1:5" ht="15" customHeight="1" x14ac:dyDescent="0.25">
      <c r="A23" s="1"/>
      <c r="B23" s="32" t="s">
        <v>42</v>
      </c>
      <c r="C23" s="27"/>
      <c r="D23" s="18"/>
      <c r="E23" s="1"/>
    </row>
    <row r="24" spans="1:5" ht="15" customHeight="1" x14ac:dyDescent="0.25">
      <c r="A24" s="1"/>
      <c r="B24" s="81" t="s">
        <v>42</v>
      </c>
      <c r="C24" s="69">
        <f>'Fane 12. Periodevise driftsomk.'!C12</f>
        <v>0</v>
      </c>
      <c r="D24" s="10" t="s">
        <v>3</v>
      </c>
      <c r="E24" s="1"/>
    </row>
    <row r="25" spans="1:5" ht="15" customHeight="1" x14ac:dyDescent="0.25">
      <c r="A25" s="1"/>
      <c r="B25" s="39" t="s">
        <v>41</v>
      </c>
      <c r="C25" s="37"/>
      <c r="D25" s="38"/>
      <c r="E25" s="1"/>
    </row>
    <row r="26" spans="1:5" ht="15" customHeight="1" x14ac:dyDescent="0.25">
      <c r="A26" s="1"/>
      <c r="B26" s="62" t="s">
        <v>89</v>
      </c>
      <c r="C26" s="70">
        <f>'Fane 11.2. Engangstillæg'!C14</f>
        <v>344032.15588019998</v>
      </c>
      <c r="D26" s="8" t="s">
        <v>3</v>
      </c>
      <c r="E26" s="1"/>
    </row>
    <row r="27" spans="1:5" ht="15" customHeight="1" x14ac:dyDescent="0.25">
      <c r="A27" s="1"/>
      <c r="B27" s="62" t="s">
        <v>38</v>
      </c>
      <c r="C27" s="70">
        <f>'Fane 11.2. Engangstillæg'!E14</f>
        <v>0</v>
      </c>
      <c r="D27" s="8" t="s">
        <v>3</v>
      </c>
      <c r="E27" s="1"/>
    </row>
    <row r="28" spans="1:5" ht="15" customHeight="1" x14ac:dyDescent="0.25">
      <c r="A28" s="1"/>
      <c r="B28" s="62" t="s">
        <v>92</v>
      </c>
      <c r="C28" s="70">
        <f>-C26*('Fane 15. Nøgletal'!C21+'Fane 5. Individuelt eff. krav'!C9)</f>
        <v>-9143.6708185213611</v>
      </c>
      <c r="D28" s="8" t="s">
        <v>3</v>
      </c>
      <c r="E28" s="1"/>
    </row>
    <row r="29" spans="1:5" ht="15" customHeight="1" x14ac:dyDescent="0.25">
      <c r="A29" s="1"/>
      <c r="B29" s="62" t="s">
        <v>93</v>
      </c>
      <c r="C29" s="70">
        <f>-C27*('Fane 15. Nøgletal'!C16+'Fane 5. Individuelt eff. krav'!C9)</f>
        <v>0</v>
      </c>
      <c r="D29" s="8" t="s">
        <v>3</v>
      </c>
      <c r="E29" s="1"/>
    </row>
    <row r="30" spans="1:5" ht="15" customHeight="1" x14ac:dyDescent="0.25">
      <c r="A30" s="1"/>
      <c r="B30" s="65" t="s">
        <v>43</v>
      </c>
      <c r="C30" s="69">
        <f>SUM(C26:C29)</f>
        <v>334888.48506167863</v>
      </c>
      <c r="D30" s="10" t="s">
        <v>3</v>
      </c>
      <c r="E30" s="1"/>
    </row>
    <row r="31" spans="1:5" x14ac:dyDescent="0.25">
      <c r="A31" s="1"/>
      <c r="B31" s="32" t="s">
        <v>69</v>
      </c>
      <c r="C31" s="27"/>
      <c r="D31" s="18"/>
      <c r="E31" s="1"/>
    </row>
    <row r="32" spans="1:5" x14ac:dyDescent="0.25">
      <c r="A32" s="1"/>
      <c r="B32" s="30" t="s">
        <v>79</v>
      </c>
      <c r="C32" s="60">
        <f>'Fane 7. Kontrol af ØR2023'!C27</f>
        <v>655187</v>
      </c>
      <c r="D32" s="10" t="s">
        <v>3</v>
      </c>
      <c r="E32" s="1"/>
    </row>
    <row r="33" spans="1:5" ht="15" customHeight="1" x14ac:dyDescent="0.25">
      <c r="A33" s="1"/>
      <c r="B33" s="32" t="s">
        <v>154</v>
      </c>
      <c r="C33" s="27"/>
      <c r="D33" s="18"/>
      <c r="E33" s="1"/>
    </row>
    <row r="34" spans="1:5" x14ac:dyDescent="0.25">
      <c r="A34" s="1"/>
      <c r="B34" s="30" t="s">
        <v>154</v>
      </c>
      <c r="C34" s="69">
        <f>'Fane 9. Korrektion af ØR2023'!C16</f>
        <v>0</v>
      </c>
      <c r="D34" s="10" t="s">
        <v>3</v>
      </c>
      <c r="E34" s="1"/>
    </row>
    <row r="35" spans="1:5" x14ac:dyDescent="0.25">
      <c r="A35" s="1"/>
      <c r="B35" s="29" t="s">
        <v>75</v>
      </c>
      <c r="C35" s="27"/>
      <c r="D35" s="18"/>
      <c r="E35" s="1"/>
    </row>
    <row r="36" spans="1:5" x14ac:dyDescent="0.25">
      <c r="A36" s="1"/>
      <c r="B36" s="65" t="s">
        <v>76</v>
      </c>
      <c r="C36" s="69">
        <f>'Fane 8. Skattesagen'!C14</f>
        <v>0</v>
      </c>
      <c r="D36" s="10" t="s">
        <v>3</v>
      </c>
      <c r="E36" s="1"/>
    </row>
    <row r="37" spans="1:5" x14ac:dyDescent="0.25">
      <c r="A37" s="1"/>
      <c r="B37" s="32" t="s">
        <v>71</v>
      </c>
      <c r="C37" s="43">
        <f>SUM(C34,C32,C24,C30,C22,C20,C36)</f>
        <v>52920192.580251649</v>
      </c>
      <c r="D37" s="29"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W5qlQJmo4coLXMfytrDg4oV3H1McyjykTsbeGtOBnXr1jFcpMGwZx25h9x+013Dc3jrSaihzIbkYAZaAS3fMYA==" saltValue="aFUWAty6eO1ZoF8Xja0Xd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7" t="s">
        <v>119</v>
      </c>
      <c r="C3" s="107"/>
      <c r="D3" s="1"/>
    </row>
    <row r="4" spans="1:4" ht="15" customHeight="1" x14ac:dyDescent="0.25">
      <c r="A4" s="1"/>
      <c r="B4" s="107"/>
      <c r="C4" s="107"/>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2" t="s">
        <v>14</v>
      </c>
      <c r="C8" s="18"/>
      <c r="D8" s="1"/>
    </row>
    <row r="9" spans="1:4" x14ac:dyDescent="0.25">
      <c r="A9" s="1"/>
      <c r="B9" s="57" t="s">
        <v>122</v>
      </c>
      <c r="C9" s="59">
        <v>8.0799999999999997E-2</v>
      </c>
      <c r="D9" s="1"/>
    </row>
    <row r="10" spans="1:4" x14ac:dyDescent="0.25">
      <c r="A10" s="1"/>
      <c r="B10" s="57" t="s">
        <v>226</v>
      </c>
      <c r="C10" s="59">
        <v>6.6299999999999998E-2</v>
      </c>
      <c r="D10" s="1"/>
    </row>
    <row r="11" spans="1:4" x14ac:dyDescent="0.25">
      <c r="A11" s="1"/>
      <c r="B11" s="32"/>
      <c r="C11" s="18"/>
      <c r="D11" s="1"/>
    </row>
    <row r="12" spans="1:4" x14ac:dyDescent="0.25">
      <c r="A12" s="1"/>
      <c r="B12" s="1"/>
      <c r="C12" s="1"/>
      <c r="D12" s="1"/>
    </row>
    <row r="13" spans="1:4" x14ac:dyDescent="0.25">
      <c r="A13" s="1"/>
      <c r="B13" s="1"/>
      <c r="C13" s="1"/>
      <c r="D13" s="1"/>
    </row>
    <row r="14" spans="1:4" x14ac:dyDescent="0.25">
      <c r="A14" s="1"/>
      <c r="B14" s="32" t="s">
        <v>50</v>
      </c>
      <c r="C14" s="18"/>
      <c r="D14" s="1"/>
    </row>
    <row r="15" spans="1:4" x14ac:dyDescent="0.25">
      <c r="A15" s="1"/>
      <c r="B15" s="57" t="s">
        <v>214</v>
      </c>
      <c r="C15" s="58">
        <v>0</v>
      </c>
      <c r="D15" s="1"/>
    </row>
    <row r="16" spans="1:4" x14ac:dyDescent="0.25">
      <c r="A16" s="1"/>
      <c r="B16" s="57" t="s">
        <v>227</v>
      </c>
      <c r="C16" s="21">
        <v>0</v>
      </c>
      <c r="D16" s="1"/>
    </row>
    <row r="17" spans="1:4" x14ac:dyDescent="0.25">
      <c r="A17" s="1"/>
      <c r="B17" s="32"/>
      <c r="C17" s="18"/>
      <c r="D17" s="1"/>
    </row>
    <row r="18" spans="1:4" x14ac:dyDescent="0.25">
      <c r="A18" s="1"/>
      <c r="B18" s="1"/>
      <c r="C18" s="1"/>
      <c r="D18" s="1"/>
    </row>
    <row r="19" spans="1:4" x14ac:dyDescent="0.25">
      <c r="A19" s="1"/>
      <c r="B19" s="1"/>
      <c r="C19" s="1"/>
      <c r="D19" s="1"/>
    </row>
    <row r="20" spans="1:4" x14ac:dyDescent="0.25">
      <c r="A20" s="1"/>
      <c r="B20" s="32" t="s">
        <v>51</v>
      </c>
      <c r="C20" s="18"/>
      <c r="D20" s="1"/>
    </row>
    <row r="21" spans="1:4" x14ac:dyDescent="0.25">
      <c r="A21" s="1"/>
      <c r="B21" s="36" t="s">
        <v>59</v>
      </c>
      <c r="C21" s="24">
        <v>0.02</v>
      </c>
      <c r="D21" s="1"/>
    </row>
    <row r="22" spans="1:4" x14ac:dyDescent="0.25">
      <c r="A22" s="1"/>
      <c r="B22" s="32"/>
      <c r="C22" s="18"/>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1OcFkrBTOgjvs0VQVDnq12bmHEsuUEjGR8N2JARXBif7CzEcRV9P1SV3W9QHp9ShEami11awOmhKAty+eVWD0g==" saltValue="t9uOLXUmZsrtkrKI9//Tv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156</v>
      </c>
      <c r="C3" s="104"/>
      <c r="D3" s="104"/>
      <c r="E3" s="1"/>
    </row>
    <row r="4" spans="1:5" ht="15" customHeight="1" x14ac:dyDescent="0.25">
      <c r="A4" s="1"/>
      <c r="B4" s="104"/>
      <c r="C4" s="104"/>
      <c r="D4" s="104"/>
      <c r="E4" s="1"/>
    </row>
    <row r="5" spans="1:5" x14ac:dyDescent="0.25">
      <c r="A5" s="1"/>
      <c r="B5" s="105" t="s">
        <v>144</v>
      </c>
      <c r="C5" s="105"/>
      <c r="D5" s="105"/>
      <c r="E5" s="1"/>
    </row>
    <row r="6" spans="1:5" x14ac:dyDescent="0.25">
      <c r="A6" s="1"/>
      <c r="B6" s="1"/>
      <c r="C6" s="1"/>
      <c r="D6" s="1"/>
      <c r="E6" s="1"/>
    </row>
    <row r="7" spans="1:5" x14ac:dyDescent="0.25">
      <c r="A7" s="1"/>
      <c r="B7" s="1"/>
      <c r="C7" s="1"/>
      <c r="D7" s="1"/>
      <c r="E7" s="1"/>
    </row>
    <row r="8" spans="1:5" x14ac:dyDescent="0.25">
      <c r="A8" s="1"/>
      <c r="B8" s="32" t="s">
        <v>13</v>
      </c>
      <c r="C8" s="27"/>
      <c r="D8" s="18"/>
      <c r="E8" s="1"/>
    </row>
    <row r="9" spans="1:5" ht="15" customHeight="1" x14ac:dyDescent="0.25">
      <c r="A9" s="1"/>
      <c r="B9" s="28" t="s">
        <v>80</v>
      </c>
      <c r="C9" s="7">
        <f>'Fane 2.1. Økonomisk ramme 2025'!C20</f>
        <v>50572182.064846881</v>
      </c>
      <c r="D9" s="8" t="s">
        <v>3</v>
      </c>
      <c r="E9" s="1"/>
    </row>
    <row r="10" spans="1:5" ht="15" customHeight="1" x14ac:dyDescent="0.25">
      <c r="A10" s="1"/>
      <c r="B10" s="25" t="s">
        <v>19</v>
      </c>
      <c r="C10" s="7">
        <f>C9*'Fane 15. Nøgletal'!C10</f>
        <v>3352935.6708993479</v>
      </c>
      <c r="D10" s="8" t="s">
        <v>3</v>
      </c>
      <c r="E10" s="1"/>
    </row>
    <row r="11" spans="1:5" ht="15" customHeight="1" x14ac:dyDescent="0.25">
      <c r="A11" s="1"/>
      <c r="B11" s="25" t="s">
        <v>10</v>
      </c>
      <c r="C11" s="9">
        <f>-SUM(C9:C10)*'Fane 5. Individuelt eff. krav'!C9</f>
        <v>-354716.94469664316</v>
      </c>
      <c r="D11" s="8" t="s">
        <v>3</v>
      </c>
      <c r="E11" s="1"/>
    </row>
    <row r="12" spans="1:5" ht="15" customHeight="1" x14ac:dyDescent="0.25">
      <c r="A12" s="1"/>
      <c r="B12" s="25" t="s">
        <v>22</v>
      </c>
      <c r="C12" s="9">
        <f>-'Fane 4.1. Gen. krav - drift'!C22</f>
        <v>-354417.34915767208</v>
      </c>
      <c r="D12" s="8" t="s">
        <v>3</v>
      </c>
      <c r="E12" s="1"/>
    </row>
    <row r="13" spans="1:5" ht="15" customHeight="1" x14ac:dyDescent="0.25">
      <c r="A13" s="1"/>
      <c r="B13" s="25" t="s">
        <v>23</v>
      </c>
      <c r="C13" s="9">
        <f>-'Fane 4.2. Gen. krav - anlæg'!C22</f>
        <v>0</v>
      </c>
      <c r="D13" s="8" t="s">
        <v>3</v>
      </c>
      <c r="E13" s="1"/>
    </row>
    <row r="14" spans="1:5" ht="15" customHeight="1" x14ac:dyDescent="0.25">
      <c r="A14" s="1"/>
      <c r="B14" s="26" t="s">
        <v>21</v>
      </c>
      <c r="C14" s="69">
        <f>SUM(C9:C13)</f>
        <v>53215983.441891916</v>
      </c>
      <c r="D14" s="10" t="s">
        <v>3</v>
      </c>
      <c r="E14" s="1"/>
    </row>
    <row r="15" spans="1:5" x14ac:dyDescent="0.25">
      <c r="A15" s="1"/>
      <c r="B15" s="32" t="s">
        <v>12</v>
      </c>
      <c r="C15" s="27"/>
      <c r="D15" s="18"/>
      <c r="E15" s="1"/>
    </row>
    <row r="16" spans="1:5" ht="15" customHeight="1" x14ac:dyDescent="0.25">
      <c r="A16" s="1"/>
      <c r="B16" s="30" t="s">
        <v>12</v>
      </c>
      <c r="C16" s="69">
        <f>'Fane 6. Ikke-påvirkelige omk.'!C21*(1+'Fane 15. Nøgletal'!C10)+'Fane 6. Ikke-påvirkelige omk.'!C26+'Fane 6. Ikke-påvirkelige omk.'!C34</f>
        <v>1430110.1350548367</v>
      </c>
      <c r="D16" s="10" t="s">
        <v>3</v>
      </c>
      <c r="E16" s="1"/>
    </row>
    <row r="17" spans="1:5" ht="15" customHeight="1" x14ac:dyDescent="0.25">
      <c r="A17" s="1"/>
      <c r="B17" s="32" t="s">
        <v>42</v>
      </c>
      <c r="C17" s="27"/>
      <c r="D17" s="18"/>
      <c r="E17" s="1"/>
    </row>
    <row r="18" spans="1:5" ht="15" customHeight="1" x14ac:dyDescent="0.25">
      <c r="A18" s="1"/>
      <c r="B18" s="81" t="s">
        <v>42</v>
      </c>
      <c r="C18" s="69">
        <f>'Fane 12. Periodevise driftsomk.'!C18</f>
        <v>0</v>
      </c>
      <c r="D18" s="10" t="s">
        <v>3</v>
      </c>
      <c r="E18" s="1"/>
    </row>
    <row r="19" spans="1:5" x14ac:dyDescent="0.25">
      <c r="A19" s="1"/>
      <c r="B19" s="32" t="s">
        <v>69</v>
      </c>
      <c r="C19" s="27"/>
      <c r="D19" s="18"/>
      <c r="E19" s="1"/>
    </row>
    <row r="20" spans="1:5" ht="15" customHeight="1" x14ac:dyDescent="0.25">
      <c r="A20" s="1"/>
      <c r="B20" s="30" t="s">
        <v>79</v>
      </c>
      <c r="C20" s="69">
        <f>'Fane 7. Kontrol af ØR2023'!C33</f>
        <v>0</v>
      </c>
      <c r="D20" s="10" t="s">
        <v>3</v>
      </c>
      <c r="E20" s="1"/>
    </row>
    <row r="21" spans="1:5" x14ac:dyDescent="0.25">
      <c r="A21" s="1"/>
      <c r="B21" s="29" t="s">
        <v>75</v>
      </c>
      <c r="C21" s="27"/>
      <c r="D21" s="18"/>
      <c r="E21" s="1"/>
    </row>
    <row r="22" spans="1:5" x14ac:dyDescent="0.25">
      <c r="A22" s="1"/>
      <c r="B22" s="65" t="s">
        <v>76</v>
      </c>
      <c r="C22" s="69">
        <f>'Fane 8. Skattesagen'!C15</f>
        <v>0</v>
      </c>
      <c r="D22" s="10" t="s">
        <v>3</v>
      </c>
      <c r="E22" s="1"/>
    </row>
    <row r="23" spans="1:5" x14ac:dyDescent="0.25">
      <c r="A23" s="1"/>
      <c r="B23" s="32" t="s">
        <v>81</v>
      </c>
      <c r="C23" s="11">
        <f>SUM(C14,C16,C18,C20,C22)</f>
        <v>54646093.57694675</v>
      </c>
      <c r="D23" s="12"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aBs3DVHnAs+GBCuUPna7J501SZxV0LOiEK6rJTo0JE77oHK7tEiStOnsUPGcYg5dZN+oTOmf49/yjbGdxzgUIw==" saltValue="m4zk1MC4Ebd88nr2SvbCSw=="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157</v>
      </c>
      <c r="C3" s="104"/>
      <c r="D3" s="104"/>
      <c r="E3" s="1"/>
    </row>
    <row r="4" spans="1:5" ht="15" customHeight="1" x14ac:dyDescent="0.25">
      <c r="A4" s="1"/>
      <c r="B4" s="104"/>
      <c r="C4" s="104"/>
      <c r="D4" s="104"/>
      <c r="E4" s="1"/>
    </row>
    <row r="5" spans="1:5" x14ac:dyDescent="0.25">
      <c r="A5" s="1"/>
      <c r="B5" s="105" t="s">
        <v>144</v>
      </c>
      <c r="C5" s="105"/>
      <c r="D5" s="105"/>
      <c r="E5" s="1"/>
    </row>
    <row r="6" spans="1:5" x14ac:dyDescent="0.25">
      <c r="A6" s="1"/>
      <c r="B6" s="73"/>
      <c r="C6" s="73"/>
      <c r="D6" s="73"/>
      <c r="E6" s="1"/>
    </row>
    <row r="7" spans="1:5" x14ac:dyDescent="0.25">
      <c r="A7" s="1"/>
      <c r="B7" s="1"/>
      <c r="C7" s="1"/>
      <c r="D7" s="1"/>
      <c r="E7" s="1"/>
    </row>
    <row r="8" spans="1:5" x14ac:dyDescent="0.25">
      <c r="A8" s="1"/>
      <c r="B8" s="32" t="s">
        <v>13</v>
      </c>
      <c r="C8" s="27"/>
      <c r="D8" s="18"/>
      <c r="E8" s="1"/>
    </row>
    <row r="9" spans="1:5" ht="15" customHeight="1" x14ac:dyDescent="0.25">
      <c r="A9" s="1"/>
      <c r="B9" s="28" t="s">
        <v>129</v>
      </c>
      <c r="C9" s="7">
        <f>'Fane 2.2. Økonomisk ramme 2026'!C14</f>
        <v>53215983.441891916</v>
      </c>
      <c r="D9" s="8" t="s">
        <v>3</v>
      </c>
      <c r="E9" s="1"/>
    </row>
    <row r="10" spans="1:5" ht="15" customHeight="1" x14ac:dyDescent="0.25">
      <c r="A10" s="1"/>
      <c r="B10" s="25" t="s">
        <v>19</v>
      </c>
      <c r="C10" s="7">
        <f>SUM(C9:C9)*'Fane 15. Nøgletal'!C10</f>
        <v>3528219.7021974339</v>
      </c>
      <c r="D10" s="8" t="s">
        <v>3</v>
      </c>
      <c r="E10" s="1"/>
    </row>
    <row r="11" spans="1:5" ht="15" customHeight="1" x14ac:dyDescent="0.25">
      <c r="A11" s="1"/>
      <c r="B11" s="25" t="s">
        <v>10</v>
      </c>
      <c r="C11" s="9">
        <f>-SUM(C9:C10)*'Fane 5. Individuelt eff. krav'!C9</f>
        <v>-373260.75887590251</v>
      </c>
      <c r="D11" s="8" t="s">
        <v>3</v>
      </c>
      <c r="E11" s="1"/>
    </row>
    <row r="12" spans="1:5" ht="15" customHeight="1" x14ac:dyDescent="0.25">
      <c r="A12" s="1"/>
      <c r="B12" s="25" t="s">
        <v>22</v>
      </c>
      <c r="C12" s="9">
        <f>-'Fane 4.1. Gen. krav - drift'!C27</f>
        <v>-370356.91501868929</v>
      </c>
      <c r="D12" s="8" t="s">
        <v>3</v>
      </c>
      <c r="E12" s="1"/>
    </row>
    <row r="13" spans="1:5" ht="15" customHeight="1" x14ac:dyDescent="0.25">
      <c r="A13" s="1"/>
      <c r="B13" s="25" t="s">
        <v>23</v>
      </c>
      <c r="C13" s="9">
        <f>-'Fane 4.2. Gen. krav - anlæg'!C27</f>
        <v>0</v>
      </c>
      <c r="D13" s="8" t="s">
        <v>3</v>
      </c>
      <c r="E13" s="1"/>
    </row>
    <row r="14" spans="1:5" x14ac:dyDescent="0.25">
      <c r="A14" s="1"/>
      <c r="B14" s="26" t="s">
        <v>21</v>
      </c>
      <c r="C14" s="69">
        <f>SUM(C9:C13)</f>
        <v>56000585.470194757</v>
      </c>
      <c r="D14" s="10" t="s">
        <v>3</v>
      </c>
      <c r="E14" s="1"/>
    </row>
    <row r="15" spans="1:5" x14ac:dyDescent="0.25">
      <c r="A15" s="1"/>
      <c r="B15" s="32" t="s">
        <v>12</v>
      </c>
      <c r="C15" s="27"/>
      <c r="D15" s="18"/>
      <c r="E15" s="1"/>
    </row>
    <row r="16" spans="1:5" ht="15" customHeight="1" x14ac:dyDescent="0.25">
      <c r="A16" s="1"/>
      <c r="B16" s="30" t="s">
        <v>12</v>
      </c>
      <c r="C16" s="69">
        <f>'Fane 6. Ikke-påvirkelige omk.'!C21*(1+'Fane 15. Nøgletal'!C10)^2+'Fane 6. Ikke-påvirkelige omk.'!C27+'Fane 6. Ikke-påvirkelige omk.'!C35</f>
        <v>1237766.5155089726</v>
      </c>
      <c r="D16" s="10" t="s">
        <v>3</v>
      </c>
      <c r="E16" s="1"/>
    </row>
    <row r="17" spans="1:5" ht="15" customHeight="1" x14ac:dyDescent="0.25">
      <c r="A17" s="1"/>
      <c r="B17" s="32" t="s">
        <v>42</v>
      </c>
      <c r="C17" s="27"/>
      <c r="D17" s="18"/>
      <c r="E17" s="1"/>
    </row>
    <row r="18" spans="1:5" ht="15" customHeight="1" x14ac:dyDescent="0.25">
      <c r="A18" s="1"/>
      <c r="B18" s="81" t="s">
        <v>42</v>
      </c>
      <c r="C18" s="69">
        <f>'Fane 12. Periodevise driftsomk.'!C24</f>
        <v>0</v>
      </c>
      <c r="D18" s="10" t="s">
        <v>3</v>
      </c>
      <c r="E18" s="1"/>
    </row>
    <row r="19" spans="1:5" ht="15" customHeight="1" x14ac:dyDescent="0.25">
      <c r="A19" s="1"/>
      <c r="B19" s="32" t="s">
        <v>69</v>
      </c>
      <c r="C19" s="27"/>
      <c r="D19" s="18"/>
      <c r="E19" s="1"/>
    </row>
    <row r="20" spans="1:5" ht="15" customHeight="1" x14ac:dyDescent="0.25">
      <c r="A20" s="1"/>
      <c r="B20" s="30" t="s">
        <v>79</v>
      </c>
      <c r="C20" s="69">
        <f>'Fane 7. Kontrol af ØR2023'!C33</f>
        <v>0</v>
      </c>
      <c r="D20" s="10" t="s">
        <v>3</v>
      </c>
      <c r="E20" s="1"/>
    </row>
    <row r="21" spans="1:5" x14ac:dyDescent="0.25">
      <c r="A21" s="1"/>
      <c r="B21" s="29" t="s">
        <v>75</v>
      </c>
      <c r="C21" s="27"/>
      <c r="D21" s="18"/>
      <c r="E21" s="1"/>
    </row>
    <row r="22" spans="1:5" x14ac:dyDescent="0.25">
      <c r="A22" s="1"/>
      <c r="B22" s="65" t="s">
        <v>76</v>
      </c>
      <c r="C22" s="69">
        <f>'Fane 8. Skattesagen'!C16</f>
        <v>0</v>
      </c>
      <c r="D22" s="10" t="s">
        <v>3</v>
      </c>
      <c r="E22" s="1"/>
    </row>
    <row r="23" spans="1:5" x14ac:dyDescent="0.25">
      <c r="A23" s="1"/>
      <c r="B23" s="32" t="s">
        <v>130</v>
      </c>
      <c r="C23" s="11">
        <f>SUM(C14,C16,C18,C20,C22)</f>
        <v>57238351.985703729</v>
      </c>
      <c r="D23" s="12"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vRfolxTmcTHV5Hv1Q5GiqIMndSI+c/HxJtwA3VzV09gEoa4BAdrxryidLU3Vl5PEJFtt6/oGnRtviLaq9VjPlA==" saltValue="1OXAumEEL35pE5Gj1z1EP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158</v>
      </c>
      <c r="C3" s="104"/>
      <c r="D3" s="104"/>
      <c r="E3" s="1"/>
    </row>
    <row r="4" spans="1:5" ht="15" customHeight="1" x14ac:dyDescent="0.25">
      <c r="A4" s="1"/>
      <c r="B4" s="104"/>
      <c r="C4" s="104"/>
      <c r="D4" s="104"/>
      <c r="E4" s="1"/>
    </row>
    <row r="5" spans="1:5" x14ac:dyDescent="0.25">
      <c r="A5" s="1"/>
      <c r="B5" s="105" t="s">
        <v>144</v>
      </c>
      <c r="C5" s="105"/>
      <c r="D5" s="105"/>
      <c r="E5" s="1"/>
    </row>
    <row r="6" spans="1:5" x14ac:dyDescent="0.25">
      <c r="A6" s="1"/>
      <c r="B6" s="73"/>
      <c r="C6" s="73"/>
      <c r="D6" s="73"/>
      <c r="E6" s="1"/>
    </row>
    <row r="7" spans="1:5" x14ac:dyDescent="0.25">
      <c r="A7" s="1"/>
      <c r="B7" s="1"/>
      <c r="C7" s="1"/>
      <c r="D7" s="1"/>
      <c r="E7" s="1"/>
    </row>
    <row r="8" spans="1:5" x14ac:dyDescent="0.25">
      <c r="A8" s="1"/>
      <c r="B8" s="32" t="s">
        <v>13</v>
      </c>
      <c r="C8" s="27"/>
      <c r="D8" s="18"/>
      <c r="E8" s="1"/>
    </row>
    <row r="9" spans="1:5" ht="15" customHeight="1" x14ac:dyDescent="0.25">
      <c r="A9" s="1"/>
      <c r="B9" s="28" t="s">
        <v>159</v>
      </c>
      <c r="C9" s="7">
        <f>'Fane 2.3. Økonomisk ramme 2027'!C14</f>
        <v>56000585.470194757</v>
      </c>
      <c r="D9" s="8" t="s">
        <v>3</v>
      </c>
      <c r="E9" s="1"/>
    </row>
    <row r="10" spans="1:5" ht="15" customHeight="1" x14ac:dyDescent="0.25">
      <c r="A10" s="1"/>
      <c r="B10" s="25" t="s">
        <v>19</v>
      </c>
      <c r="C10" s="7">
        <f>SUM(C9:C9)*'Fane 15. Nøgletal'!C10</f>
        <v>3712838.8166739121</v>
      </c>
      <c r="D10" s="8" t="s">
        <v>3</v>
      </c>
      <c r="E10" s="1"/>
    </row>
    <row r="11" spans="1:5" ht="15" customHeight="1" x14ac:dyDescent="0.25">
      <c r="A11" s="1"/>
      <c r="B11" s="25" t="s">
        <v>10</v>
      </c>
      <c r="C11" s="9">
        <f>-SUM(C9:C10)*'Fane 5. Individuelt eff. krav'!C9</f>
        <v>-392792.1590122286</v>
      </c>
      <c r="D11" s="8" t="s">
        <v>3</v>
      </c>
      <c r="E11" s="1"/>
    </row>
    <row r="12" spans="1:5" ht="15" customHeight="1" x14ac:dyDescent="0.25">
      <c r="A12" s="1"/>
      <c r="B12" s="25" t="s">
        <v>22</v>
      </c>
      <c r="C12" s="9">
        <f>-'Fane 4.1. Gen. krav - drift'!C32</f>
        <v>-387013.34691473981</v>
      </c>
      <c r="D12" s="8" t="s">
        <v>3</v>
      </c>
      <c r="E12" s="1"/>
    </row>
    <row r="13" spans="1:5" ht="15" customHeight="1" x14ac:dyDescent="0.25">
      <c r="A13" s="1"/>
      <c r="B13" s="25" t="s">
        <v>23</v>
      </c>
      <c r="C13" s="9">
        <f>-'Fane 4.2. Gen. krav - anlæg'!C32</f>
        <v>0</v>
      </c>
      <c r="D13" s="8" t="s">
        <v>3</v>
      </c>
      <c r="E13" s="1"/>
    </row>
    <row r="14" spans="1:5" ht="14.25" customHeight="1" x14ac:dyDescent="0.25">
      <c r="A14" s="1"/>
      <c r="B14" s="26" t="s">
        <v>21</v>
      </c>
      <c r="C14" s="69">
        <f>SUM(C9:C13)</f>
        <v>58933618.780941702</v>
      </c>
      <c r="D14" s="10" t="s">
        <v>3</v>
      </c>
      <c r="E14" s="1"/>
    </row>
    <row r="15" spans="1:5" x14ac:dyDescent="0.25">
      <c r="A15" s="1"/>
      <c r="B15" s="32" t="s">
        <v>12</v>
      </c>
      <c r="C15" s="27"/>
      <c r="D15" s="18"/>
      <c r="E15" s="1"/>
    </row>
    <row r="16" spans="1:5" ht="15" customHeight="1" x14ac:dyDescent="0.25">
      <c r="A16" s="1"/>
      <c r="B16" s="30" t="s">
        <v>12</v>
      </c>
      <c r="C16" s="69">
        <f>'Fane 6. Ikke-påvirkelige omk.'!C21*(1+'Fane 15. Nøgletal'!C10)^3+'Fane 6. Ikke-påvirkelige omk.'!C28+'Fane 6. Ikke-påvirkelige omk.'!C36</f>
        <v>1319830.4354872175</v>
      </c>
      <c r="D16" s="10" t="s">
        <v>3</v>
      </c>
      <c r="E16" s="1"/>
    </row>
    <row r="17" spans="1:5" ht="15" customHeight="1" x14ac:dyDescent="0.25">
      <c r="A17" s="1"/>
      <c r="B17" s="32" t="s">
        <v>42</v>
      </c>
      <c r="C17" s="27"/>
      <c r="D17" s="18"/>
      <c r="E17" s="1"/>
    </row>
    <row r="18" spans="1:5" ht="15" customHeight="1" x14ac:dyDescent="0.25">
      <c r="A18" s="1"/>
      <c r="B18" s="81" t="s">
        <v>42</v>
      </c>
      <c r="C18" s="69">
        <f>'Fane 12. Periodevise driftsomk.'!C30</f>
        <v>0</v>
      </c>
      <c r="D18" s="10" t="s">
        <v>3</v>
      </c>
      <c r="E18" s="1"/>
    </row>
    <row r="19" spans="1:5" x14ac:dyDescent="0.25">
      <c r="A19" s="1"/>
      <c r="B19" s="29" t="s">
        <v>75</v>
      </c>
      <c r="C19" s="27"/>
      <c r="D19" s="18"/>
      <c r="E19" s="1"/>
    </row>
    <row r="20" spans="1:5" x14ac:dyDescent="0.25">
      <c r="A20" s="1"/>
      <c r="B20" s="65" t="s">
        <v>76</v>
      </c>
      <c r="C20" s="69">
        <f>'Fane 8. Skattesagen'!C17</f>
        <v>0</v>
      </c>
      <c r="D20" s="10" t="s">
        <v>3</v>
      </c>
      <c r="E20" s="1"/>
    </row>
    <row r="21" spans="1:5" x14ac:dyDescent="0.25">
      <c r="A21" s="1"/>
      <c r="B21" s="32" t="s">
        <v>160</v>
      </c>
      <c r="C21" s="11">
        <f>SUM(C14,C16,C18,C20)</f>
        <v>60253449.216428921</v>
      </c>
      <c r="D21" s="12"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TwMFTA7jlrxyaccshFk44sv1Judpqv2kwXn5M5kNUy01DPgqAEKqo/opQLvCC+7Xo9JpIlVT1aDftLqCYUJRlA==" saltValue="Ehc9CcuZDkfgPmv5mmO9Cw=="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07" t="s">
        <v>161</v>
      </c>
      <c r="C3" s="107"/>
      <c r="D3" s="107"/>
      <c r="E3" s="1"/>
    </row>
    <row r="4" spans="1:5" ht="15" customHeight="1" x14ac:dyDescent="0.25">
      <c r="A4" s="1"/>
      <c r="B4" s="107"/>
      <c r="C4" s="107"/>
      <c r="D4" s="107"/>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162</v>
      </c>
      <c r="C8" s="27"/>
      <c r="D8" s="18"/>
      <c r="E8" s="1"/>
    </row>
    <row r="9" spans="1:5" ht="15" customHeight="1" x14ac:dyDescent="0.25">
      <c r="A9" s="1"/>
      <c r="B9" s="28" t="s">
        <v>64</v>
      </c>
      <c r="C9" s="7">
        <v>41589513.88790819</v>
      </c>
      <c r="D9" s="8" t="s">
        <v>3</v>
      </c>
      <c r="E9" s="1"/>
    </row>
    <row r="10" spans="1:5" ht="15" customHeight="1" x14ac:dyDescent="0.25">
      <c r="A10" s="1"/>
      <c r="B10" s="62" t="s">
        <v>35</v>
      </c>
      <c r="C10" s="7">
        <v>141400.80460800001</v>
      </c>
      <c r="D10" s="8" t="s">
        <v>3</v>
      </c>
      <c r="E10" s="1"/>
    </row>
    <row r="11" spans="1:5" ht="15" customHeight="1" x14ac:dyDescent="0.25">
      <c r="A11" s="1"/>
      <c r="B11" s="62" t="s">
        <v>36</v>
      </c>
      <c r="C11" s="9">
        <v>1110888.9640240001</v>
      </c>
      <c r="D11" s="8" t="s">
        <v>3</v>
      </c>
      <c r="E11" s="1"/>
    </row>
    <row r="12" spans="1:5" ht="15" customHeight="1" x14ac:dyDescent="0.25">
      <c r="A12" s="1"/>
      <c r="B12" s="62" t="s">
        <v>25</v>
      </c>
      <c r="C12" s="9">
        <v>0</v>
      </c>
      <c r="D12" s="8" t="s">
        <v>3</v>
      </c>
      <c r="E12" s="1"/>
    </row>
    <row r="13" spans="1:5" ht="15" customHeight="1" x14ac:dyDescent="0.25">
      <c r="A13" s="1"/>
      <c r="B13" s="62" t="s">
        <v>24</v>
      </c>
      <c r="C13" s="9">
        <v>0</v>
      </c>
      <c r="D13" s="8" t="s">
        <v>3</v>
      </c>
      <c r="E13" s="1"/>
    </row>
    <row r="14" spans="1:5" ht="15" customHeight="1" x14ac:dyDescent="0.25">
      <c r="A14" s="1"/>
      <c r="B14" s="62" t="s">
        <v>62</v>
      </c>
      <c r="C14" s="9">
        <v>0</v>
      </c>
      <c r="D14" s="8" t="s">
        <v>3</v>
      </c>
      <c r="E14" s="1"/>
    </row>
    <row r="15" spans="1:5" ht="15" customHeight="1" x14ac:dyDescent="0.25">
      <c r="A15" s="1"/>
      <c r="B15" s="62" t="s">
        <v>63</v>
      </c>
      <c r="C15" s="9">
        <v>0</v>
      </c>
      <c r="D15" s="8" t="s">
        <v>3</v>
      </c>
      <c r="E15" s="1"/>
    </row>
    <row r="16" spans="1:5" ht="15" customHeight="1" x14ac:dyDescent="0.25">
      <c r="A16" s="1"/>
      <c r="B16" s="62" t="s">
        <v>19</v>
      </c>
      <c r="C16" s="70">
        <v>3461617.7354484475</v>
      </c>
      <c r="D16" s="8" t="s">
        <v>3</v>
      </c>
      <c r="E16" s="1"/>
    </row>
    <row r="17" spans="1:5" ht="15" customHeight="1" x14ac:dyDescent="0.25">
      <c r="A17" s="1"/>
      <c r="B17" s="62" t="s">
        <v>10</v>
      </c>
      <c r="C17" s="70">
        <v>-304581.77663430024</v>
      </c>
      <c r="D17" s="8" t="s">
        <v>3</v>
      </c>
      <c r="E17" s="1"/>
    </row>
    <row r="18" spans="1:5" ht="15" customHeight="1" x14ac:dyDescent="0.25">
      <c r="A18" s="1"/>
      <c r="B18" s="62" t="s">
        <v>22</v>
      </c>
      <c r="C18" s="70">
        <v>-320100.60133024328</v>
      </c>
      <c r="D18" s="8" t="s">
        <v>3</v>
      </c>
      <c r="E18" s="1"/>
    </row>
    <row r="19" spans="1:5" ht="15" customHeight="1" x14ac:dyDescent="0.25">
      <c r="A19" s="1"/>
      <c r="B19" s="62" t="s">
        <v>23</v>
      </c>
      <c r="C19" s="70">
        <v>0</v>
      </c>
      <c r="D19" s="8" t="s">
        <v>3</v>
      </c>
      <c r="E19" s="41"/>
    </row>
    <row r="20" spans="1:5" ht="15" customHeight="1" x14ac:dyDescent="0.25">
      <c r="A20" s="1"/>
      <c r="B20" s="81" t="s">
        <v>21</v>
      </c>
      <c r="C20" s="69">
        <v>45678740</v>
      </c>
      <c r="D20" s="10" t="s">
        <v>3</v>
      </c>
      <c r="E20" s="1"/>
    </row>
    <row r="21" spans="1:5" ht="15" customHeight="1" x14ac:dyDescent="0.25">
      <c r="A21" s="1"/>
      <c r="B21" s="32" t="s">
        <v>12</v>
      </c>
      <c r="C21" s="27"/>
      <c r="D21" s="18"/>
      <c r="E21" s="1"/>
    </row>
    <row r="22" spans="1:5" ht="15" customHeight="1" x14ac:dyDescent="0.25">
      <c r="A22" s="1"/>
      <c r="B22" s="30" t="s">
        <v>12</v>
      </c>
      <c r="C22" s="69">
        <v>1266899.5398463998</v>
      </c>
      <c r="D22" s="10" t="s">
        <v>3</v>
      </c>
      <c r="E22" s="1"/>
    </row>
    <row r="23" spans="1:5" ht="15" customHeight="1" x14ac:dyDescent="0.25">
      <c r="A23" s="1"/>
      <c r="B23" s="32" t="s">
        <v>42</v>
      </c>
      <c r="C23" s="27"/>
      <c r="D23" s="18"/>
      <c r="E23" s="1"/>
    </row>
    <row r="24" spans="1:5" ht="15" customHeight="1" x14ac:dyDescent="0.25">
      <c r="A24" s="1"/>
      <c r="B24" s="81" t="s">
        <v>42</v>
      </c>
      <c r="C24" s="69">
        <v>0</v>
      </c>
      <c r="D24" s="10" t="s">
        <v>3</v>
      </c>
      <c r="E24" s="1"/>
    </row>
    <row r="25" spans="1:5" x14ac:dyDescent="0.25">
      <c r="A25" s="1"/>
      <c r="B25" s="39" t="s">
        <v>41</v>
      </c>
      <c r="C25" s="37"/>
      <c r="D25" s="38"/>
      <c r="E25" s="1"/>
    </row>
    <row r="26" spans="1:5" ht="15" customHeight="1" x14ac:dyDescent="0.25">
      <c r="A26" s="1"/>
      <c r="B26" s="62" t="s">
        <v>89</v>
      </c>
      <c r="C26" s="9">
        <v>776512.14672949107</v>
      </c>
      <c r="D26" s="8" t="s">
        <v>3</v>
      </c>
      <c r="E26" s="1"/>
    </row>
    <row r="27" spans="1:5" ht="15" customHeight="1" x14ac:dyDescent="0.25">
      <c r="A27" s="1"/>
      <c r="B27" s="62" t="s">
        <v>38</v>
      </c>
      <c r="C27" s="9">
        <v>0</v>
      </c>
      <c r="D27" s="8" t="s">
        <v>3</v>
      </c>
      <c r="E27" s="1"/>
    </row>
    <row r="28" spans="1:5" ht="15" customHeight="1" x14ac:dyDescent="0.25">
      <c r="A28" s="1"/>
      <c r="B28" s="62" t="s">
        <v>92</v>
      </c>
      <c r="C28" s="9">
        <v>-20638.104127540537</v>
      </c>
      <c r="D28" s="8" t="s">
        <v>3</v>
      </c>
      <c r="E28" s="1"/>
    </row>
    <row r="29" spans="1:5" ht="15" customHeight="1" x14ac:dyDescent="0.25">
      <c r="A29" s="1"/>
      <c r="B29" s="62" t="s">
        <v>93</v>
      </c>
      <c r="C29" s="9">
        <v>0</v>
      </c>
      <c r="D29" s="8" t="s">
        <v>3</v>
      </c>
      <c r="E29" s="1"/>
    </row>
    <row r="30" spans="1:5" ht="15" customHeight="1" x14ac:dyDescent="0.25">
      <c r="A30" s="1"/>
      <c r="B30" s="65" t="s">
        <v>43</v>
      </c>
      <c r="C30" s="69">
        <v>755874.04260195058</v>
      </c>
      <c r="D30" s="10" t="s">
        <v>3</v>
      </c>
      <c r="E30" s="1"/>
    </row>
    <row r="31" spans="1:5" ht="15" customHeight="1" x14ac:dyDescent="0.25">
      <c r="A31" s="1"/>
      <c r="B31" s="32" t="s">
        <v>69</v>
      </c>
      <c r="C31" s="27"/>
      <c r="D31" s="18"/>
      <c r="E31" s="1"/>
    </row>
    <row r="32" spans="1:5" ht="15" customHeight="1" x14ac:dyDescent="0.25">
      <c r="A32" s="1"/>
      <c r="B32" s="30" t="s">
        <v>79</v>
      </c>
      <c r="C32" s="69">
        <v>-655187</v>
      </c>
      <c r="D32" s="10" t="s">
        <v>3</v>
      </c>
      <c r="E32" s="1"/>
    </row>
    <row r="33" spans="1:5" x14ac:dyDescent="0.25">
      <c r="A33" s="1"/>
      <c r="B33" s="32" t="s">
        <v>128</v>
      </c>
      <c r="C33" s="27"/>
      <c r="D33" s="18"/>
      <c r="E33" s="1"/>
    </row>
    <row r="34" spans="1:5" ht="15.4" customHeight="1" x14ac:dyDescent="0.25">
      <c r="A34" s="1"/>
      <c r="B34" s="30" t="s">
        <v>128</v>
      </c>
      <c r="C34" s="69">
        <v>0</v>
      </c>
      <c r="D34" s="10" t="s">
        <v>3</v>
      </c>
      <c r="E34" s="1"/>
    </row>
    <row r="35" spans="1:5" ht="15.4" customHeight="1" x14ac:dyDescent="0.25">
      <c r="A35" s="1"/>
      <c r="B35" s="29" t="s">
        <v>75</v>
      </c>
      <c r="C35" s="27"/>
      <c r="D35" s="18"/>
      <c r="E35" s="1"/>
    </row>
    <row r="36" spans="1:5" x14ac:dyDescent="0.25">
      <c r="A36" s="1"/>
      <c r="B36" s="65" t="s">
        <v>76</v>
      </c>
      <c r="C36" s="69">
        <v>0</v>
      </c>
      <c r="D36" s="10" t="s">
        <v>3</v>
      </c>
      <c r="E36" s="1"/>
    </row>
    <row r="37" spans="1:5" x14ac:dyDescent="0.25">
      <c r="A37" s="1"/>
      <c r="B37" s="29" t="s">
        <v>212</v>
      </c>
      <c r="C37" s="27"/>
      <c r="D37" s="18"/>
      <c r="E37" s="1"/>
    </row>
    <row r="38" spans="1:5" x14ac:dyDescent="0.25">
      <c r="A38" s="1"/>
      <c r="B38" s="65" t="s">
        <v>213</v>
      </c>
      <c r="C38" s="69">
        <v>754743.41283872235</v>
      </c>
      <c r="D38" s="10" t="s">
        <v>3</v>
      </c>
      <c r="E38" s="1"/>
    </row>
    <row r="39" spans="1:5" x14ac:dyDescent="0.25">
      <c r="A39" s="1"/>
      <c r="B39" s="32" t="s">
        <v>65</v>
      </c>
      <c r="C39" s="43">
        <v>47801069.009311169</v>
      </c>
      <c r="D39" s="29" t="s">
        <v>3</v>
      </c>
      <c r="E39" s="1"/>
    </row>
    <row r="40" spans="1:5" ht="30" customHeight="1" x14ac:dyDescent="0.25">
      <c r="A40" s="1"/>
      <c r="B40" s="106" t="s">
        <v>224</v>
      </c>
      <c r="C40" s="106"/>
      <c r="D40" s="106"/>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s="54" customFormat="1" hidden="1" x14ac:dyDescent="0.25"/>
    <row r="50" spans="1:5" s="54" customFormat="1" hidden="1" x14ac:dyDescent="0.25"/>
    <row r="51" spans="1:5" s="54" customFormat="1" hidden="1" x14ac:dyDescent="0.25"/>
    <row r="52" spans="1:5" hidden="1" x14ac:dyDescent="0.25">
      <c r="A52" s="42"/>
      <c r="B52" s="42"/>
      <c r="C52" s="42"/>
      <c r="D52" s="42"/>
      <c r="E52" s="42"/>
    </row>
    <row r="53" spans="1:5" hidden="1" x14ac:dyDescent="0.25">
      <c r="A53" s="42"/>
      <c r="B53" s="42"/>
      <c r="C53" s="42"/>
      <c r="D53" s="42"/>
      <c r="E53" s="42"/>
    </row>
    <row r="54" spans="1:5" hidden="1" x14ac:dyDescent="0.25">
      <c r="A54" s="42"/>
      <c r="B54" s="42"/>
      <c r="C54" s="42"/>
      <c r="D54" s="42"/>
      <c r="E54" s="42"/>
    </row>
    <row r="55" spans="1:5" hidden="1" x14ac:dyDescent="0.25">
      <c r="A55" s="42"/>
      <c r="B55" s="42"/>
      <c r="C55" s="42"/>
      <c r="D55" s="42"/>
      <c r="E55" s="42"/>
    </row>
  </sheetData>
  <sheetProtection algorithmName="SHA-512" hashValue="aAxZv8vjYGKB/sukX1/rReufKD4JGiPmFF2i8vOhpLshRAh6gM2ZpYCd9IbnnTtG4EMIrNZhVvK+ax3KJCG4MA==" saltValue="Iuzw0Y20PF89/c7TxZZjlA==" spinCount="100000" sheet="1" objects="1" scenarios="1"/>
  <mergeCells count="2">
    <mergeCell ref="B40:D40"/>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4"/>
      <c r="C1" s="34"/>
      <c r="D1" s="34"/>
      <c r="E1" s="1"/>
    </row>
    <row r="2" spans="1:5" ht="15" customHeight="1" x14ac:dyDescent="0.25">
      <c r="A2" s="1"/>
      <c r="B2" s="34"/>
      <c r="C2" s="34"/>
      <c r="D2" s="34"/>
      <c r="E2" s="1"/>
    </row>
    <row r="3" spans="1:5" ht="15" customHeight="1" x14ac:dyDescent="0.25">
      <c r="A3" s="1"/>
      <c r="B3" s="107" t="s">
        <v>56</v>
      </c>
      <c r="C3" s="107"/>
      <c r="D3" s="107"/>
      <c r="E3" s="1"/>
    </row>
    <row r="4" spans="1:5" ht="15" customHeight="1" x14ac:dyDescent="0.25">
      <c r="A4" s="1"/>
      <c r="B4" s="107"/>
      <c r="C4" s="107"/>
      <c r="D4" s="107"/>
      <c r="E4" s="1"/>
    </row>
    <row r="5" spans="1:5" ht="15" customHeight="1" x14ac:dyDescent="0.25">
      <c r="A5" s="1"/>
      <c r="B5" s="107"/>
      <c r="C5" s="107"/>
      <c r="D5" s="107"/>
      <c r="E5" s="1"/>
    </row>
    <row r="6" spans="1:5" ht="15" customHeight="1" x14ac:dyDescent="0.25">
      <c r="A6" s="1"/>
      <c r="B6" s="74"/>
      <c r="C6" s="74"/>
      <c r="D6" s="74"/>
      <c r="E6" s="1"/>
    </row>
    <row r="7" spans="1:5" x14ac:dyDescent="0.25">
      <c r="A7" s="1"/>
      <c r="B7" s="1"/>
      <c r="C7" s="1"/>
      <c r="D7" s="1"/>
      <c r="E7" s="1"/>
    </row>
    <row r="8" spans="1:5" x14ac:dyDescent="0.25">
      <c r="A8" s="1"/>
      <c r="B8" s="108" t="s">
        <v>123</v>
      </c>
      <c r="C8" s="109"/>
      <c r="D8" s="110"/>
      <c r="E8" s="1"/>
    </row>
    <row r="9" spans="1:5" x14ac:dyDescent="0.25">
      <c r="A9" s="1"/>
      <c r="B9" s="63" t="s">
        <v>88</v>
      </c>
      <c r="C9" s="22">
        <v>15852204.076891834</v>
      </c>
      <c r="D9" s="13" t="s">
        <v>3</v>
      </c>
      <c r="E9" s="1"/>
    </row>
    <row r="10" spans="1:5" x14ac:dyDescent="0.25">
      <c r="A10" s="1"/>
      <c r="B10" s="63" t="s">
        <v>125</v>
      </c>
      <c r="C10" s="22">
        <f>('Fane 3. Omkostninger i ØR2024'!C10+'Fane 3. Omkostninger i ØR2024'!C12+'Fane 3. Omkostninger i ØR2024'!C14)*(1+'Fane 15. Nøgletal'!C9)</f>
        <v>152825.98962032641</v>
      </c>
      <c r="D10" s="13" t="s">
        <v>3</v>
      </c>
      <c r="E10" s="1"/>
    </row>
    <row r="11" spans="1:5" x14ac:dyDescent="0.25">
      <c r="A11" s="1"/>
      <c r="B11" s="63" t="s">
        <v>131</v>
      </c>
      <c r="C11" s="22">
        <f>C9*'Fane 15. Nøgletal'!C21+C10*'Fane 15. Nøgletal'!C21</f>
        <v>320100.60133024323</v>
      </c>
      <c r="D11" s="13" t="s">
        <v>3</v>
      </c>
      <c r="E11" s="1"/>
    </row>
    <row r="12" spans="1:5" x14ac:dyDescent="0.25">
      <c r="A12" s="1"/>
      <c r="B12" s="32"/>
      <c r="C12" s="27"/>
      <c r="D12" s="18"/>
      <c r="E12" s="1"/>
    </row>
    <row r="13" spans="1:5" x14ac:dyDescent="0.25">
      <c r="A13" s="1"/>
      <c r="B13" s="1"/>
      <c r="C13" s="1"/>
      <c r="D13" s="1"/>
      <c r="E13" s="1"/>
    </row>
    <row r="14" spans="1:5" x14ac:dyDescent="0.25">
      <c r="A14" s="1"/>
      <c r="B14" s="108" t="s">
        <v>124</v>
      </c>
      <c r="C14" s="109"/>
      <c r="D14" s="110"/>
      <c r="E14" s="1"/>
    </row>
    <row r="15" spans="1:5" x14ac:dyDescent="0.25">
      <c r="A15" s="1"/>
      <c r="B15" s="63" t="s">
        <v>133</v>
      </c>
      <c r="C15" s="22">
        <f>(C9+C10-C11)*(1+'Fane 15. Nøgletal'!C9)</f>
        <v>16952271.765968617</v>
      </c>
      <c r="D15" s="13" t="s">
        <v>3</v>
      </c>
      <c r="E15" s="1"/>
    </row>
    <row r="16" spans="1:5" x14ac:dyDescent="0.25">
      <c r="A16" s="1"/>
      <c r="B16" s="63" t="s">
        <v>183</v>
      </c>
      <c r="C16" s="22">
        <f>('Fane 2.1. Økonomisk ramme 2025'!C10+'Fane 2.1. Økonomisk ramme 2025'!C12+'Fane 2.1. Økonomisk ramme 2025'!C14)*(1+'Fane 15. Nøgletal'!C10)</f>
        <v>5918.0625664500003</v>
      </c>
      <c r="D16" s="13" t="s">
        <v>3</v>
      </c>
      <c r="E16" s="1"/>
    </row>
    <row r="17" spans="1:5" x14ac:dyDescent="0.25">
      <c r="A17" s="1"/>
      <c r="B17" s="63" t="s">
        <v>132</v>
      </c>
      <c r="C17" s="22">
        <f>C15*'Fane 15. Nøgletal'!C21+C16*'Fane 15. Nøgletal'!C21</f>
        <v>339163.79657070135</v>
      </c>
      <c r="D17" s="13" t="s">
        <v>3</v>
      </c>
      <c r="E17" s="1"/>
    </row>
    <row r="18" spans="1:5" x14ac:dyDescent="0.25">
      <c r="A18" s="1"/>
      <c r="B18" s="32"/>
      <c r="C18" s="27"/>
      <c r="D18" s="18"/>
      <c r="E18" s="1"/>
    </row>
    <row r="19" spans="1:5" x14ac:dyDescent="0.25">
      <c r="A19" s="1"/>
      <c r="B19" s="1"/>
      <c r="C19" s="61"/>
      <c r="D19" s="1"/>
      <c r="E19" s="1"/>
    </row>
    <row r="20" spans="1:5" x14ac:dyDescent="0.25">
      <c r="A20" s="1"/>
      <c r="B20" s="108" t="s">
        <v>145</v>
      </c>
      <c r="C20" s="109"/>
      <c r="D20" s="110"/>
      <c r="E20" s="1"/>
    </row>
    <row r="21" spans="1:5" x14ac:dyDescent="0.25">
      <c r="A21" s="1"/>
      <c r="B21" s="63" t="s">
        <v>188</v>
      </c>
      <c r="C21" s="22">
        <f>(C15+C16-C17)*(1+'Fane 15. Nøgletal'!C10)</f>
        <v>17720867.457883604</v>
      </c>
      <c r="D21" s="13" t="s">
        <v>3</v>
      </c>
      <c r="E21" s="1"/>
    </row>
    <row r="22" spans="1:5" x14ac:dyDescent="0.25">
      <c r="A22" s="1"/>
      <c r="B22" s="63" t="s">
        <v>195</v>
      </c>
      <c r="C22" s="22">
        <f>C21*'Fane 15. Nøgletal'!C21</f>
        <v>354417.34915767208</v>
      </c>
      <c r="D22" s="13" t="s">
        <v>3</v>
      </c>
      <c r="E22" s="1"/>
    </row>
    <row r="23" spans="1:5" x14ac:dyDescent="0.25">
      <c r="A23" s="1"/>
      <c r="B23" s="32"/>
      <c r="C23" s="27"/>
      <c r="D23" s="18"/>
      <c r="E23" s="1"/>
    </row>
    <row r="24" spans="1:5" x14ac:dyDescent="0.25">
      <c r="A24" s="1"/>
      <c r="B24" s="1"/>
      <c r="C24" s="1"/>
      <c r="D24" s="1"/>
      <c r="E24" s="1"/>
    </row>
    <row r="25" spans="1:5" x14ac:dyDescent="0.25">
      <c r="A25" s="1"/>
      <c r="B25" s="108" t="s">
        <v>186</v>
      </c>
      <c r="C25" s="109"/>
      <c r="D25" s="110"/>
      <c r="E25" s="1"/>
    </row>
    <row r="26" spans="1:5" x14ac:dyDescent="0.25">
      <c r="A26" s="1"/>
      <c r="B26" s="63" t="s">
        <v>189</v>
      </c>
      <c r="C26" s="22">
        <f>(C21-C22)*(1+'Fane 15. Nøgletal'!C10)</f>
        <v>18517845.750934463</v>
      </c>
      <c r="D26" s="13" t="s">
        <v>3</v>
      </c>
      <c r="E26" s="1"/>
    </row>
    <row r="27" spans="1:5" x14ac:dyDescent="0.25">
      <c r="A27" s="1"/>
      <c r="B27" s="63" t="s">
        <v>193</v>
      </c>
      <c r="C27" s="22">
        <f>C26*'Fane 15. Nøgletal'!C21</f>
        <v>370356.91501868929</v>
      </c>
      <c r="D27" s="13" t="s">
        <v>3</v>
      </c>
      <c r="E27" s="1"/>
    </row>
    <row r="28" spans="1:5" x14ac:dyDescent="0.25">
      <c r="A28" s="1"/>
      <c r="B28" s="32"/>
      <c r="C28" s="27"/>
      <c r="D28" s="18"/>
      <c r="E28" s="1"/>
    </row>
    <row r="29" spans="1:5" x14ac:dyDescent="0.25">
      <c r="A29" s="1"/>
      <c r="B29" s="1"/>
      <c r="C29" s="1"/>
      <c r="D29" s="1"/>
      <c r="E29" s="1"/>
    </row>
    <row r="30" spans="1:5" x14ac:dyDescent="0.25">
      <c r="A30" s="1"/>
      <c r="B30" s="108" t="s">
        <v>187</v>
      </c>
      <c r="C30" s="109"/>
      <c r="D30" s="110"/>
      <c r="E30" s="1"/>
    </row>
    <row r="31" spans="1:5" x14ac:dyDescent="0.25">
      <c r="A31" s="1"/>
      <c r="B31" s="63" t="s">
        <v>190</v>
      </c>
      <c r="C31" s="22">
        <f>(C26-C27)*(1+'Fane 15. Nøgletal'!C10)</f>
        <v>19350667.345736992</v>
      </c>
      <c r="D31" s="13" t="s">
        <v>3</v>
      </c>
      <c r="E31" s="1"/>
    </row>
    <row r="32" spans="1:5" x14ac:dyDescent="0.25">
      <c r="A32" s="1"/>
      <c r="B32" s="63" t="s">
        <v>194</v>
      </c>
      <c r="C32" s="22">
        <f>C31*'Fane 15. Nøgletal'!C21</f>
        <v>387013.34691473981</v>
      </c>
      <c r="D32" s="13" t="s">
        <v>3</v>
      </c>
      <c r="E32" s="1"/>
    </row>
    <row r="33" spans="1:5" x14ac:dyDescent="0.25">
      <c r="A33" s="1"/>
      <c r="B33" s="32"/>
      <c r="C33" s="27"/>
      <c r="D33" s="18"/>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wevgjw4B/2+6s9YX1JApw+IuLPBXaEh2oHQta6C5YnLbHMUzQ354a0esYKx+6KjpSphVA8esMcXZjVW4LZd+xw==" saltValue="tuTGZJhz8bzMoAKkPQOpaQ=="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67"/>
      <c r="C1" s="67"/>
      <c r="D1" s="67"/>
      <c r="E1" s="1"/>
    </row>
    <row r="2" spans="1:5" ht="15" customHeight="1" x14ac:dyDescent="0.35">
      <c r="A2" s="1"/>
      <c r="B2" s="67"/>
      <c r="C2" s="67"/>
      <c r="D2" s="67"/>
      <c r="E2" s="1"/>
    </row>
    <row r="3" spans="1:5" ht="15" customHeight="1" x14ac:dyDescent="0.25">
      <c r="A3" s="1"/>
      <c r="B3" s="111" t="s">
        <v>57</v>
      </c>
      <c r="C3" s="111"/>
      <c r="D3" s="111"/>
      <c r="E3" s="1"/>
    </row>
    <row r="4" spans="1:5" ht="15" customHeight="1" x14ac:dyDescent="0.25">
      <c r="A4" s="1"/>
      <c r="B4" s="111"/>
      <c r="C4" s="111"/>
      <c r="D4" s="111"/>
      <c r="E4" s="1"/>
    </row>
    <row r="5" spans="1:5" ht="15" customHeight="1" x14ac:dyDescent="0.25">
      <c r="A5" s="1"/>
      <c r="B5" s="111"/>
      <c r="C5" s="111"/>
      <c r="D5" s="111"/>
      <c r="E5" s="1"/>
    </row>
    <row r="6" spans="1:5" ht="15" customHeight="1" x14ac:dyDescent="0.35">
      <c r="A6" s="1"/>
      <c r="B6" s="67"/>
      <c r="C6" s="67"/>
      <c r="D6" s="67"/>
      <c r="E6" s="1"/>
    </row>
    <row r="7" spans="1:5" x14ac:dyDescent="0.25">
      <c r="A7" s="1"/>
      <c r="B7" s="1"/>
      <c r="C7" s="1"/>
      <c r="D7" s="1"/>
      <c r="E7" s="1"/>
    </row>
    <row r="8" spans="1:5" x14ac:dyDescent="0.25">
      <c r="A8" s="1"/>
      <c r="B8" s="108" t="s">
        <v>147</v>
      </c>
      <c r="C8" s="109"/>
      <c r="D8" s="110"/>
      <c r="E8" s="1"/>
    </row>
    <row r="9" spans="1:5" x14ac:dyDescent="0.25">
      <c r="A9" s="1"/>
      <c r="B9" s="63" t="s">
        <v>134</v>
      </c>
      <c r="C9" s="22">
        <v>33727397.291887149</v>
      </c>
      <c r="D9" s="13" t="s">
        <v>3</v>
      </c>
      <c r="E9" s="1"/>
    </row>
    <row r="10" spans="1:5" x14ac:dyDescent="0.25">
      <c r="A10" s="1"/>
      <c r="B10" s="63" t="s">
        <v>126</v>
      </c>
      <c r="C10" s="22">
        <f>('Fane 3. Omkostninger i ØR2024'!C11+'Fane 3. Omkostninger i ØR2024'!C13+'Fane 3. Omkostninger i ØR2024'!C15)*(1+'Fane 15. Nøgletal'!C9)</f>
        <v>1200648.7923171392</v>
      </c>
      <c r="D10" s="13" t="s">
        <v>3</v>
      </c>
      <c r="E10" s="1"/>
    </row>
    <row r="11" spans="1:5" x14ac:dyDescent="0.25">
      <c r="A11" s="1"/>
      <c r="B11" s="63" t="s">
        <v>135</v>
      </c>
      <c r="C11" s="82">
        <f>SUM(C9:C10)*'Fane 15. Nøgletal'!C15</f>
        <v>0</v>
      </c>
      <c r="D11" s="13" t="s">
        <v>3</v>
      </c>
      <c r="E11" s="1"/>
    </row>
    <row r="12" spans="1:5" x14ac:dyDescent="0.25">
      <c r="A12" s="1"/>
      <c r="B12" s="32"/>
      <c r="C12" s="27"/>
      <c r="D12" s="18"/>
      <c r="E12" s="1"/>
    </row>
    <row r="13" spans="1:5" x14ac:dyDescent="0.25">
      <c r="A13" s="1"/>
      <c r="B13" s="1"/>
      <c r="C13" s="1"/>
      <c r="D13" s="1"/>
      <c r="E13" s="1"/>
    </row>
    <row r="14" spans="1:5" x14ac:dyDescent="0.25">
      <c r="A14" s="1"/>
      <c r="B14" s="108" t="s">
        <v>146</v>
      </c>
      <c r="C14" s="109"/>
      <c r="D14" s="110"/>
      <c r="E14" s="1"/>
    </row>
    <row r="15" spans="1:5" x14ac:dyDescent="0.25">
      <c r="A15" s="1"/>
      <c r="B15" s="63" t="s">
        <v>136</v>
      </c>
      <c r="C15" s="22">
        <f>(C9+C10-C11)*(1+'Fane 15. Nøgletal'!C9)</f>
        <v>37750232.207807995</v>
      </c>
      <c r="D15" s="13" t="s">
        <v>3</v>
      </c>
      <c r="E15" s="1"/>
    </row>
    <row r="16" spans="1:5" x14ac:dyDescent="0.25">
      <c r="A16" s="1"/>
      <c r="B16" s="63" t="s">
        <v>184</v>
      </c>
      <c r="C16" s="22">
        <f>('Fane 2.1. Økonomisk ramme 2025'!C11+'Fane 2.1. Økonomisk ramme 2025'!C13+'Fane 2.1. Økonomisk ramme 2025'!C15)*(1+'Fane 15. Nøgletal'!C10)</f>
        <v>1872955.592732986</v>
      </c>
      <c r="D16" s="13" t="s">
        <v>3</v>
      </c>
      <c r="E16" s="1"/>
    </row>
    <row r="17" spans="1:5" x14ac:dyDescent="0.25">
      <c r="A17" s="1"/>
      <c r="B17" s="63" t="s">
        <v>137</v>
      </c>
      <c r="C17" s="82">
        <f>(C15)*'Fane 15. Nøgletal'!C15+C16*'Fane 15. Nøgletal'!C16</f>
        <v>0</v>
      </c>
      <c r="D17" s="13" t="s">
        <v>3</v>
      </c>
      <c r="E17" s="1"/>
    </row>
    <row r="18" spans="1:5" x14ac:dyDescent="0.25">
      <c r="A18" s="1"/>
      <c r="B18" s="32"/>
      <c r="C18" s="27"/>
      <c r="D18" s="18"/>
      <c r="E18" s="1"/>
    </row>
    <row r="19" spans="1:5" x14ac:dyDescent="0.25">
      <c r="A19" s="1"/>
      <c r="B19" s="1"/>
      <c r="C19" s="1"/>
      <c r="D19" s="1"/>
      <c r="E19" s="1"/>
    </row>
    <row r="20" spans="1:5" x14ac:dyDescent="0.25">
      <c r="A20" s="1"/>
      <c r="B20" s="108" t="s">
        <v>82</v>
      </c>
      <c r="C20" s="109"/>
      <c r="D20" s="110"/>
      <c r="E20" s="1"/>
    </row>
    <row r="21" spans="1:5" x14ac:dyDescent="0.25">
      <c r="A21" s="1"/>
      <c r="B21" s="63" t="s">
        <v>191</v>
      </c>
      <c r="C21" s="22">
        <f>(C15+C16-C17)*(1+'Fane 15. Nøgletal'!C10)</f>
        <v>42250205.151716851</v>
      </c>
      <c r="D21" s="13" t="s">
        <v>3</v>
      </c>
      <c r="E21" s="1"/>
    </row>
    <row r="22" spans="1:5" x14ac:dyDescent="0.25">
      <c r="A22" s="1"/>
      <c r="B22" s="63" t="s">
        <v>196</v>
      </c>
      <c r="C22" s="82">
        <f>C21*'Fane 15. Nøgletal'!C16</f>
        <v>0</v>
      </c>
      <c r="D22" s="13" t="s">
        <v>3</v>
      </c>
      <c r="E22" s="1"/>
    </row>
    <row r="23" spans="1:5" x14ac:dyDescent="0.25">
      <c r="A23" s="1"/>
      <c r="B23" s="32"/>
      <c r="C23" s="27"/>
      <c r="D23" s="18"/>
      <c r="E23" s="1"/>
    </row>
    <row r="24" spans="1:5" x14ac:dyDescent="0.25">
      <c r="A24" s="1"/>
      <c r="B24" s="1"/>
      <c r="C24" s="1"/>
      <c r="D24" s="1"/>
      <c r="E24" s="1"/>
    </row>
    <row r="25" spans="1:5" x14ac:dyDescent="0.25">
      <c r="A25" s="1"/>
      <c r="B25" s="108" t="s">
        <v>138</v>
      </c>
      <c r="C25" s="109"/>
      <c r="D25" s="110"/>
      <c r="E25" s="1"/>
    </row>
    <row r="26" spans="1:5" x14ac:dyDescent="0.25">
      <c r="A26" s="1"/>
      <c r="B26" s="63" t="s">
        <v>192</v>
      </c>
      <c r="C26" s="22">
        <f>(C21-C22)*(1+'Fane 15. Nøgletal'!C10)</f>
        <v>45051393.753275678</v>
      </c>
      <c r="D26" s="13" t="s">
        <v>3</v>
      </c>
      <c r="E26" s="1"/>
    </row>
    <row r="27" spans="1:5" x14ac:dyDescent="0.25">
      <c r="A27" s="1"/>
      <c r="B27" s="63" t="s">
        <v>197</v>
      </c>
      <c r="C27" s="82">
        <f>C26*'Fane 15. Nøgletal'!C16</f>
        <v>0</v>
      </c>
      <c r="D27" s="13" t="s">
        <v>3</v>
      </c>
      <c r="E27" s="1"/>
    </row>
    <row r="28" spans="1:5" x14ac:dyDescent="0.25">
      <c r="A28" s="1"/>
      <c r="B28" s="32"/>
      <c r="C28" s="27"/>
      <c r="D28" s="18"/>
      <c r="E28" s="1"/>
    </row>
    <row r="29" spans="1:5" x14ac:dyDescent="0.25">
      <c r="A29" s="1"/>
      <c r="B29" s="1"/>
      <c r="C29" s="1"/>
      <c r="D29" s="1"/>
      <c r="E29" s="1"/>
    </row>
    <row r="30" spans="1:5" x14ac:dyDescent="0.25">
      <c r="A30" s="1"/>
      <c r="B30" s="108" t="s">
        <v>163</v>
      </c>
      <c r="C30" s="109"/>
      <c r="D30" s="110"/>
      <c r="E30" s="1"/>
    </row>
    <row r="31" spans="1:5" x14ac:dyDescent="0.25">
      <c r="A31" s="1"/>
      <c r="B31" s="63" t="s">
        <v>199</v>
      </c>
      <c r="C31" s="22">
        <f>(C26-C27)*(1+'Fane 15. Nøgletal'!C10)</f>
        <v>48038301.159117855</v>
      </c>
      <c r="D31" s="13" t="s">
        <v>3</v>
      </c>
      <c r="E31" s="1"/>
    </row>
    <row r="32" spans="1:5" x14ac:dyDescent="0.25">
      <c r="A32" s="1"/>
      <c r="B32" s="63" t="s">
        <v>198</v>
      </c>
      <c r="C32" s="82">
        <f>C31*'Fane 15. Nøgletal'!C16</f>
        <v>0</v>
      </c>
      <c r="D32" s="13" t="s">
        <v>3</v>
      </c>
      <c r="E32" s="1"/>
    </row>
    <row r="33" spans="1:5" x14ac:dyDescent="0.25">
      <c r="A33" s="1"/>
      <c r="B33" s="32"/>
      <c r="C33" s="27"/>
      <c r="D33" s="18"/>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Qmq3+4NvDxS9Lu3fkcoRFCKMJI1OU4BwFZ4Y6bEAnE3wxxLuXkRDF3MCs4oxCzQPXxXhOHTH3A885xy1cn7FJg==" saltValue="hlq9u9FlGMVjEAQUON3Jcw=="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4" t="s">
        <v>44</v>
      </c>
      <c r="C3" s="104"/>
      <c r="D3" s="1"/>
    </row>
    <row r="4" spans="1:4" ht="15" customHeight="1" x14ac:dyDescent="0.25">
      <c r="A4" s="1"/>
      <c r="B4" s="104"/>
      <c r="C4" s="10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08" t="s">
        <v>10</v>
      </c>
      <c r="C8" s="110"/>
      <c r="D8" s="1"/>
    </row>
    <row r="9" spans="1:4" x14ac:dyDescent="0.25">
      <c r="A9" s="1"/>
      <c r="B9" s="63" t="s">
        <v>225</v>
      </c>
      <c r="C9" s="21">
        <v>6.5779540145817078E-3</v>
      </c>
      <c r="D9" s="1"/>
    </row>
    <row r="10" spans="1:4" x14ac:dyDescent="0.25">
      <c r="A10" s="1"/>
      <c r="B10" s="32"/>
      <c r="C10" s="18"/>
      <c r="D10" s="1"/>
    </row>
    <row r="11" spans="1:4" x14ac:dyDescent="0.25">
      <c r="A11" s="1"/>
      <c r="B11" s="112" t="s">
        <v>219</v>
      </c>
      <c r="C11" s="113"/>
      <c r="D11" s="1"/>
    </row>
    <row r="12" spans="1:4" x14ac:dyDescent="0.25">
      <c r="A12" s="1"/>
      <c r="B12" s="114"/>
      <c r="C12" s="115"/>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rhX6uIrCuDQrHobKkBu3MF+K+KMsaTUyl5sPVp45F1eqnryYQ1o1iMJUfLw74Wl+AcNEs/tMDCIqlyi2jpoQOQ==" saltValue="jRaggbdUWy8FrFG1OY3TyQ=="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2024-05-06T07:45:39Z</cp:lastPrinted>
  <dcterms:created xsi:type="dcterms:W3CDTF">2016-06-02T08:51:18Z</dcterms:created>
  <dcterms:modified xsi:type="dcterms:W3CDTF">2024-08-16T13:53:20Z</dcterms:modified>
</cp:coreProperties>
</file>