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DIN Forsyning Vand AS (V044)\ØR2025\"/>
    </mc:Choice>
  </mc:AlternateContent>
  <xr:revisionPtr revIDLastSave="0" documentId="13_ncr:1_{7323991A-6FA5-4AAF-BA35-D2B2B0113F89}"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<sst xmlns="http://schemas.openxmlformats.org/spreadsheetml/2006/main" count="452" uniqueCount="208">
  <si>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</si>
  <si>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</si>
  <si>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</si>
  <si>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</si>
  <si>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</si>
  <si>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</si>
  <si>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</si>
  <si>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</si>
  <si>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</si>
  <si>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</si>
  <si>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</si>
  <si>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</si>
  <si>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</si>
  <si>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</si>
  <si>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</si>
  <si>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</si>
  <si>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</si>
  <si>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</si>
  <si>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</si>
  <si>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</si>
  <si>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</si>
  <si>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</si>
  <si>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</si>
  <si>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</si>
  <si>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</si>
  <si>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</si>
  <si>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</si>
  <si>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</si>
  <si>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</si>
  <si>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</si>
  <si>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</si>
  <si>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</si>
  <si>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</si>
  <si>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</si>
  <si>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</si>
  <si>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</si>
  <si>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</si>
  <si>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</si>
  <si>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</si>
  <si>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</si>
  <si>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</si>
  <si>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</si>
  <si>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</si>
  <si>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</si>
  <si>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</si>
  <si>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</si>
  <si>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</si>
  <si>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</si>
  <si>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</si>
  <si>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</si>
  <si>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</si>
  <si>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</si>
  <si>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</si>
  <si>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</si>
  <si>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</si>
  <si>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</si>
  <si>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</si>
  <si>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</si>
  <si>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</si>
  <si>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</si>
  <si>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</si>
  <si>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</si>
  <si>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</si>
  <si>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</si>
  <si>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</si>
  <si>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</si>
  <si>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</si>
  <si>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</si>
  <si>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</si>
  <si>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</si>
  <si>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</si>
  <si>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</si>
  <si>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</si>
  <si>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</si>
  <si>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</si>
  <si>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</si>
  <si>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</si>
  <si>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</si>
  <si>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</si>
  <si>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</si>
  <si>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</si>
  <si>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</si>
  <si>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</si>
  <si>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</si>
  <si>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</si>
  <si>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</si>
  <si>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</si>
  <si>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</si>
  <si>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</si>
  <si>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</si>
  <si>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</si>
  <si>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</si>
  <si>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</si>
  <si>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</si>
  <si>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</si>
  <si>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</si>
  <si>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</si>
  <si>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</si>
  <si>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</si>
  <si>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</si>
  <si>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</si>
  <si>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</si>
  <si>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</si>
  <si>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</si>
  <si>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</si>
  <si>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</si>
  <si>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</si>
  <si>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</si>
  <si>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</si>
  <si>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</si>
  <si>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</si>
  <si>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</si>
  <si>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</si>
  <si>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</si>
  <si>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</si>
  <si>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</si>
  <si>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</si>
  <si>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</si>
  <si>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</si>
  <si>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</si>
  <si>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</si>
  <si>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</si>
  <si>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</si>
  <si>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</si>
  <si>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</si>
  <si>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</si>
  <si>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</si>
  <si>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</si>
  <si>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</si>
  <si>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</si>
  <si>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</si>
  <si>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</si>
  <si>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</si>
  <si>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</si>
  <si>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</si>
  <si>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</si>
  <si>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</si>
  <si>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</si>
  <si>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</si>
  <si>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</si>
  <si>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</si>
  <si>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</si>
  <si>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</si>
  <si>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</si>
  <si>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</si>
  <si>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</si>
  <si>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</si>
  <si>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</si>
  <si>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</si>
  <si>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</si>
  <si>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</si>
  <si>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</si>
  <si>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</si>
  <si>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</si>
  <si>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</si>
  <si>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</si>
  <si>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</si>
  <si>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</si>
  <si>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</si>
  <si>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</si>
  <si>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</si>
  <si>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</si>
  <si>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</si>
  <si>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</si>
  <si>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</si>
  <si>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</si>
  <si>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</si>
  <si>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</si>
  <si>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</si>
  <si>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</si>
  <si>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</si>
  <si>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</si>
  <si>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</si>
  <si>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</si>
  <si>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</si>
  <si>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</si>
  <si>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</si>
  <si>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</si>
  <si>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</si>
  <si>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</si>
  <si>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</si>
  <si>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</si>
  <si>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</si>
  <si>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</si>
  <si>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</si>
  <si>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</si>
  <si>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</si>
  <si>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</si>
  <si>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</si>
  <si>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</si>
  <si>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</si>
  <si>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</si>
  <si>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</si>
  <si>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</si>
  <si>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</si>
  <si>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</si>
  <si>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</si>
  <si>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</si>
  <si>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</si>
  <si>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</si>
  <si>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</si>
  <si>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Erstatninger</t>
  </si>
  <si>
    <t>Frivillige aftaler om dyrkningspraksis eller andre restriktioner i arealanvendelse</t>
  </si>
  <si>
    <t>Erstatning (25 meter Zone)</t>
  </si>
  <si>
    <t>Frivillige aftaler om dyrkningspraksis eller andre restriktioner i arealanvendelse (Vester Lintrupvej 3, 6670 Holsted). 67.000 kr. /4 = 16.750 kr. i ØR25 til ØR28</t>
  </si>
  <si>
    <t>Frivillige aftaler om dyrkningspraksis eller andre restriktioner i arealanvendelse (Strenge 35 og 65 6760 Ribe). 381.955 kr./15 = 25.464 kr. i ØR25 til ØR39</t>
  </si>
  <si>
    <t>Vand - Byggemodninger og ny tilslutninger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</si>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</sst>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7" t="s">
        <v>4</v>
      </c>
      <c r="D6" s="77"/>
      <c r="E6" s="77"/>
      <c r="F6" s="77"/>
      <c r="G6" s="1"/>
    </row>
    <row r="7" spans="1:7" ht="15" customHeight="1" x14ac:dyDescent="0.3">
      <c r="A7" s="1"/>
      <c r="B7" s="3"/>
      <c r="C7" s="77"/>
      <c r="D7" s="77"/>
      <c r="E7" s="77"/>
      <c r="F7" s="77"/>
      <c r="G7" s="1"/>
    </row>
    <row r="8" spans="1:7" ht="15.6" x14ac:dyDescent="0.3">
      <c r="A8" s="1"/>
      <c r="B8" s="4"/>
      <c r="C8" s="82" t="s">
        <v>196</v>
      </c>
      <c r="D8" s="82"/>
      <c r="E8" s="82"/>
      <c r="F8" s="82"/>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1" t="s">
        <v>5</v>
      </c>
      <c r="D11" s="81"/>
      <c r="E11" s="81"/>
      <c r="F11" s="81"/>
      <c r="G11" s="1"/>
    </row>
    <row r="12" spans="1:7" x14ac:dyDescent="0.3">
      <c r="A12" s="1"/>
      <c r="B12" s="1"/>
      <c r="C12" s="1"/>
      <c r="D12" s="1"/>
      <c r="E12" s="1"/>
      <c r="F12" s="1"/>
      <c r="G12" s="1"/>
    </row>
    <row r="13" spans="1:7" x14ac:dyDescent="0.3">
      <c r="A13" s="1"/>
      <c r="B13" s="6" t="s">
        <v>6</v>
      </c>
      <c r="C13" s="74" t="s">
        <v>124</v>
      </c>
      <c r="D13" s="75"/>
      <c r="E13" s="75"/>
      <c r="F13" s="76"/>
      <c r="G13" s="1"/>
    </row>
    <row r="14" spans="1:7" x14ac:dyDescent="0.3">
      <c r="A14" s="1"/>
      <c r="B14" s="6" t="s">
        <v>14</v>
      </c>
      <c r="C14" s="74" t="s">
        <v>159</v>
      </c>
      <c r="D14" s="75"/>
      <c r="E14" s="75"/>
      <c r="F14" s="76"/>
      <c r="G14" s="1"/>
    </row>
    <row r="15" spans="1:7" x14ac:dyDescent="0.3">
      <c r="A15" s="1"/>
      <c r="B15" s="6" t="s">
        <v>29</v>
      </c>
      <c r="C15" s="74" t="s">
        <v>107</v>
      </c>
      <c r="D15" s="75"/>
      <c r="E15" s="75"/>
      <c r="F15" s="76"/>
      <c r="G15" s="1"/>
    </row>
    <row r="16" spans="1:7" x14ac:dyDescent="0.3">
      <c r="A16" s="1"/>
      <c r="B16" s="6" t="s">
        <v>30</v>
      </c>
      <c r="C16" s="74" t="s">
        <v>125</v>
      </c>
      <c r="D16" s="75"/>
      <c r="E16" s="75"/>
      <c r="F16" s="76"/>
      <c r="G16" s="1"/>
    </row>
    <row r="17" spans="1:7" x14ac:dyDescent="0.3">
      <c r="A17" s="1"/>
      <c r="B17" s="6" t="s">
        <v>57</v>
      </c>
      <c r="C17" s="74" t="s">
        <v>126</v>
      </c>
      <c r="D17" s="75"/>
      <c r="E17" s="75"/>
      <c r="F17" s="76"/>
      <c r="G17" s="1"/>
    </row>
    <row r="18" spans="1:7" x14ac:dyDescent="0.3">
      <c r="A18" s="1"/>
      <c r="B18" s="6" t="s">
        <v>49</v>
      </c>
      <c r="C18" s="83" t="s">
        <v>42</v>
      </c>
      <c r="D18" s="84"/>
      <c r="E18" s="84"/>
      <c r="F18" s="85"/>
      <c r="G18" s="1"/>
    </row>
    <row r="19" spans="1:7" x14ac:dyDescent="0.3">
      <c r="A19" s="1"/>
      <c r="B19" s="6" t="s">
        <v>50</v>
      </c>
      <c r="C19" s="83" t="s">
        <v>43</v>
      </c>
      <c r="D19" s="84"/>
      <c r="E19" s="84"/>
      <c r="F19" s="85"/>
      <c r="G19" s="1"/>
    </row>
    <row r="20" spans="1:7" x14ac:dyDescent="0.3">
      <c r="A20" s="1"/>
      <c r="B20" s="6" t="s">
        <v>7</v>
      </c>
      <c r="C20" s="83" t="s">
        <v>9</v>
      </c>
      <c r="D20" s="84"/>
      <c r="E20" s="84"/>
      <c r="F20" s="85"/>
      <c r="G20" s="1"/>
    </row>
    <row r="21" spans="1:7" x14ac:dyDescent="0.3">
      <c r="A21" s="1"/>
      <c r="B21" s="6" t="s">
        <v>51</v>
      </c>
      <c r="C21" s="89" t="s">
        <v>11</v>
      </c>
      <c r="D21" s="90"/>
      <c r="E21" s="90"/>
      <c r="F21" s="91"/>
      <c r="G21" s="1"/>
    </row>
    <row r="22" spans="1:7" x14ac:dyDescent="0.3">
      <c r="A22" s="1"/>
      <c r="B22" s="6" t="s">
        <v>37</v>
      </c>
      <c r="C22" s="78" t="s">
        <v>127</v>
      </c>
      <c r="D22" s="79"/>
      <c r="E22" s="79"/>
      <c r="F22" s="80"/>
      <c r="G22" s="1"/>
    </row>
    <row r="23" spans="1:7" x14ac:dyDescent="0.3">
      <c r="A23" s="1"/>
      <c r="B23" s="6" t="s">
        <v>8</v>
      </c>
      <c r="C23" s="78" t="s">
        <v>89</v>
      </c>
      <c r="D23" s="79"/>
      <c r="E23" s="79"/>
      <c r="F23" s="80"/>
      <c r="G23" s="1"/>
    </row>
    <row r="24" spans="1:7" x14ac:dyDescent="0.3">
      <c r="A24" s="1"/>
      <c r="B24" s="6" t="s">
        <v>85</v>
      </c>
      <c r="C24" s="78" t="s">
        <v>78</v>
      </c>
      <c r="D24" s="79"/>
      <c r="E24" s="79"/>
      <c r="F24" s="80"/>
      <c r="G24" s="1"/>
    </row>
    <row r="25" spans="1:7" x14ac:dyDescent="0.3">
      <c r="A25" s="1"/>
      <c r="B25" s="6" t="s">
        <v>86</v>
      </c>
      <c r="C25" s="78" t="s">
        <v>38</v>
      </c>
      <c r="D25" s="79"/>
      <c r="E25" s="79"/>
      <c r="F25" s="80"/>
      <c r="G25" s="1"/>
    </row>
    <row r="26" spans="1:7" x14ac:dyDescent="0.3">
      <c r="A26" s="1"/>
      <c r="B26" s="6" t="s">
        <v>87</v>
      </c>
      <c r="C26" s="78" t="s">
        <v>39</v>
      </c>
      <c r="D26" s="79"/>
      <c r="E26" s="79"/>
      <c r="F26" s="80"/>
      <c r="G26" s="1"/>
    </row>
    <row r="27" spans="1:7" x14ac:dyDescent="0.3">
      <c r="A27" s="1"/>
      <c r="B27" s="6" t="s">
        <v>52</v>
      </c>
      <c r="C27" s="78" t="s">
        <v>58</v>
      </c>
      <c r="D27" s="79"/>
      <c r="E27" s="79"/>
      <c r="F27" s="80"/>
      <c r="G27" s="1"/>
    </row>
    <row r="28" spans="1:7" x14ac:dyDescent="0.3">
      <c r="A28" s="1"/>
      <c r="B28" s="6" t="s">
        <v>46</v>
      </c>
      <c r="C28" s="78" t="s">
        <v>31</v>
      </c>
      <c r="D28" s="79"/>
      <c r="E28" s="79"/>
      <c r="F28" s="80"/>
      <c r="G28" s="1"/>
    </row>
    <row r="29" spans="1:7" x14ac:dyDescent="0.3">
      <c r="A29" s="1"/>
      <c r="B29" s="6" t="s">
        <v>88</v>
      </c>
      <c r="C29" s="86" t="s">
        <v>47</v>
      </c>
      <c r="D29" s="87"/>
      <c r="E29" s="87"/>
      <c r="F29" s="88"/>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6Sthf4N4ZIrggVOmIsoo8mzOHGvLXcSZTLFO0haQ1E1GdoPtauEoCKSykeKjXqa93EZR67dM74rSjqtpfTQLzg==" saltValue="qlXS/HaNTIMxwzRTW1CxWQ=="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7"/>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2" t="s">
        <v>55</v>
      </c>
      <c r="C3" s="92"/>
      <c r="D3" s="92"/>
      <c r="E3" s="1"/>
    </row>
    <row r="4" spans="1:5" ht="15" customHeight="1" x14ac:dyDescent="0.3">
      <c r="A4" s="1"/>
      <c r="B4" s="92"/>
      <c r="C4" s="92"/>
      <c r="D4" s="92"/>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6" t="s">
        <v>142</v>
      </c>
      <c r="C8" s="97"/>
      <c r="D8" s="98"/>
      <c r="E8" s="1"/>
    </row>
    <row r="9" spans="1:5" ht="15" customHeight="1" x14ac:dyDescent="0.3">
      <c r="A9" s="1"/>
      <c r="B9" s="51" t="s">
        <v>27</v>
      </c>
      <c r="C9" s="45" t="s">
        <v>145</v>
      </c>
      <c r="D9" s="11"/>
      <c r="E9" s="1"/>
    </row>
    <row r="10" spans="1:5" ht="15" customHeight="1" x14ac:dyDescent="0.3">
      <c r="A10" s="1"/>
      <c r="B10" s="64" t="s">
        <v>197</v>
      </c>
      <c r="C10" s="7">
        <v>50440240</v>
      </c>
      <c r="D10" s="14" t="s">
        <v>3</v>
      </c>
      <c r="E10" s="1"/>
    </row>
    <row r="11" spans="1:5" x14ac:dyDescent="0.3">
      <c r="A11" s="1"/>
      <c r="B11" s="64" t="s">
        <v>198</v>
      </c>
      <c r="C11" s="7">
        <v>222119</v>
      </c>
      <c r="D11" s="14" t="s">
        <v>3</v>
      </c>
      <c r="E11" s="1"/>
    </row>
    <row r="12" spans="1:5" ht="26.4" x14ac:dyDescent="0.3">
      <c r="A12" s="1"/>
      <c r="B12" s="64" t="s">
        <v>199</v>
      </c>
      <c r="C12" s="7">
        <v>1519758</v>
      </c>
      <c r="D12" s="14" t="s">
        <v>3</v>
      </c>
      <c r="E12" s="1"/>
    </row>
    <row r="13" spans="1:5" x14ac:dyDescent="0.3">
      <c r="A13" s="1"/>
      <c r="B13" s="64" t="s">
        <v>200</v>
      </c>
      <c r="C13" s="7">
        <v>172608</v>
      </c>
      <c r="D13" s="14" t="s">
        <v>3</v>
      </c>
      <c r="E13" s="1"/>
    </row>
    <row r="14" spans="1:5" x14ac:dyDescent="0.3">
      <c r="A14" s="1"/>
      <c r="B14" s="64" t="s">
        <v>201</v>
      </c>
      <c r="C14" s="7">
        <v>298901.69</v>
      </c>
      <c r="D14" s="14" t="s">
        <v>3</v>
      </c>
      <c r="E14" s="1"/>
    </row>
    <row r="15" spans="1:5" x14ac:dyDescent="0.3">
      <c r="A15" s="1"/>
      <c r="B15" s="64" t="s">
        <v>203</v>
      </c>
      <c r="C15" s="7">
        <v>4338</v>
      </c>
      <c r="D15" s="14" t="s">
        <v>3</v>
      </c>
      <c r="E15" s="1"/>
    </row>
    <row r="16" spans="1:5" ht="26.4" x14ac:dyDescent="0.3">
      <c r="A16" s="1"/>
      <c r="B16" s="64" t="s">
        <v>202</v>
      </c>
      <c r="C16" s="7">
        <v>181554</v>
      </c>
      <c r="D16" s="14" t="s">
        <v>3</v>
      </c>
      <c r="E16" s="1"/>
    </row>
    <row r="17" spans="1:5" ht="39.6" x14ac:dyDescent="0.3">
      <c r="A17" s="1"/>
      <c r="B17" s="64" t="s">
        <v>204</v>
      </c>
      <c r="C17" s="7">
        <v>16750</v>
      </c>
      <c r="D17" s="14" t="s">
        <v>3</v>
      </c>
      <c r="E17" s="1"/>
    </row>
    <row r="18" spans="1:5" ht="39.6" x14ac:dyDescent="0.3">
      <c r="A18" s="1"/>
      <c r="B18" s="64" t="s">
        <v>205</v>
      </c>
      <c r="C18" s="7">
        <v>25464</v>
      </c>
      <c r="D18" s="14" t="s">
        <v>3</v>
      </c>
      <c r="E18" s="1"/>
    </row>
    <row r="19" spans="1:5" x14ac:dyDescent="0.3">
      <c r="A19" s="1"/>
      <c r="B19" s="52" t="s">
        <v>143</v>
      </c>
      <c r="C19" s="12">
        <f>SUM(C10:C18)</f>
        <v>52881732.689999998</v>
      </c>
      <c r="D19" s="13" t="s">
        <v>3</v>
      </c>
      <c r="E19" s="1"/>
    </row>
    <row r="20" spans="1:5" x14ac:dyDescent="0.3">
      <c r="A20" s="1"/>
      <c r="B20" s="52" t="s">
        <v>144</v>
      </c>
      <c r="C20" s="12">
        <f>C19*(1+'Fane 13. Nøgletal'!C11)^2</f>
        <v>60126302.148262106</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row r="57" spans="1:5" x14ac:dyDescent="0.3"/>
  </sheetData>
  <sheetProtection algorithmName="SHA-512" hashValue="bmQAOQtxUgc19bPvoq6Wv97/EL69EzspnvwUq7bVESW8eAIlx65UIRClsSL9XhnJwy6u6XAput6La+hKo9vKhw==" saltValue="gCyfDFN0ezQCgDtmPp6zg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172</v>
      </c>
      <c r="C3" s="94"/>
      <c r="D3" s="94"/>
      <c r="E3" s="1"/>
    </row>
    <row r="4" spans="1:5" ht="15" customHeight="1" x14ac:dyDescent="0.3">
      <c r="A4" s="1"/>
      <c r="B4" s="94"/>
      <c r="C4" s="94"/>
      <c r="D4" s="94"/>
      <c r="E4" s="1"/>
    </row>
    <row r="5" spans="1:5" ht="15" customHeight="1" x14ac:dyDescent="0.3">
      <c r="A5" s="1"/>
      <c r="B5" s="94"/>
      <c r="C5" s="94"/>
      <c r="D5" s="94"/>
      <c r="E5" s="1"/>
    </row>
    <row r="6" spans="1:5" ht="15" customHeight="1" x14ac:dyDescent="0.3">
      <c r="A6" s="1"/>
      <c r="B6" s="66"/>
      <c r="C6" s="66"/>
      <c r="D6" s="66"/>
      <c r="E6" s="1"/>
    </row>
    <row r="7" spans="1:5" x14ac:dyDescent="0.3">
      <c r="A7" s="1"/>
      <c r="B7" s="1"/>
      <c r="C7" s="1"/>
      <c r="D7" s="1"/>
      <c r="E7" s="1"/>
    </row>
    <row r="8" spans="1:5" x14ac:dyDescent="0.3">
      <c r="A8" s="1"/>
      <c r="B8" s="96" t="s">
        <v>175</v>
      </c>
      <c r="C8" s="97"/>
      <c r="D8" s="98"/>
      <c r="E8" s="1"/>
    </row>
    <row r="9" spans="1:5" x14ac:dyDescent="0.3">
      <c r="A9" s="1"/>
      <c r="B9" s="56" t="s">
        <v>176</v>
      </c>
      <c r="C9" s="9">
        <v>17401801.787808031</v>
      </c>
      <c r="D9" s="39" t="s">
        <v>3</v>
      </c>
      <c r="E9" s="1"/>
    </row>
    <row r="10" spans="1:5" x14ac:dyDescent="0.3">
      <c r="A10" s="1"/>
      <c r="B10" s="56" t="s">
        <v>174</v>
      </c>
      <c r="C10" s="9">
        <v>17378763.384617805</v>
      </c>
      <c r="D10" s="14" t="s">
        <v>3</v>
      </c>
      <c r="E10" s="1"/>
    </row>
    <row r="11" spans="1:5" x14ac:dyDescent="0.3">
      <c r="A11" s="1"/>
      <c r="B11" s="52"/>
      <c r="C11" s="53"/>
      <c r="D11" s="19"/>
      <c r="E11" s="1"/>
    </row>
    <row r="12" spans="1:5" ht="53.85" customHeight="1" x14ac:dyDescent="0.3">
      <c r="A12" s="1"/>
      <c r="B12" s="105" t="s">
        <v>173</v>
      </c>
      <c r="C12" s="106"/>
      <c r="D12" s="107"/>
      <c r="E12" s="1"/>
    </row>
    <row r="13" spans="1:5" x14ac:dyDescent="0.3">
      <c r="A13" s="1"/>
      <c r="B13" s="1"/>
      <c r="C13" s="1"/>
      <c r="D13" s="1"/>
      <c r="E13" s="1"/>
    </row>
    <row r="14" spans="1:5" x14ac:dyDescent="0.3">
      <c r="A14" s="1"/>
      <c r="B14" s="67" t="s">
        <v>177</v>
      </c>
      <c r="C14" s="68"/>
      <c r="D14" s="69"/>
      <c r="E14" s="1"/>
    </row>
    <row r="15" spans="1:5" x14ac:dyDescent="0.3">
      <c r="A15" s="1"/>
      <c r="B15" s="56" t="s">
        <v>178</v>
      </c>
      <c r="C15" s="9">
        <f>IF(C10&lt;0,C10,0)</f>
        <v>0</v>
      </c>
      <c r="D15" s="14" t="s">
        <v>3</v>
      </c>
      <c r="E15" s="1"/>
    </row>
    <row r="16" spans="1:5" x14ac:dyDescent="0.3">
      <c r="A16" s="1"/>
      <c r="B16" s="56" t="s">
        <v>185</v>
      </c>
      <c r="C16" s="9">
        <f>IF(SUM(C9)&gt;0,SUM(C9),0)</f>
        <v>17401801.787808031</v>
      </c>
      <c r="D16" s="14" t="s">
        <v>3</v>
      </c>
      <c r="E16" s="1"/>
    </row>
    <row r="17" spans="1:5" ht="27" x14ac:dyDescent="0.3">
      <c r="A17" s="1"/>
      <c r="B17" s="70"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7" t="s">
        <v>180</v>
      </c>
      <c r="C20" s="68"/>
      <c r="D20" s="69"/>
      <c r="E20" s="1"/>
    </row>
    <row r="21" spans="1:5" x14ac:dyDescent="0.3">
      <c r="A21" s="1"/>
      <c r="B21" s="56" t="s">
        <v>181</v>
      </c>
      <c r="C21" s="9">
        <v>161374832.78334138</v>
      </c>
      <c r="D21" s="14" t="s">
        <v>3</v>
      </c>
      <c r="E21" s="1"/>
    </row>
    <row r="22" spans="1:5" x14ac:dyDescent="0.3">
      <c r="A22" s="1"/>
      <c r="B22" s="56" t="s">
        <v>182</v>
      </c>
      <c r="C22" s="9">
        <v>144039586</v>
      </c>
      <c r="D22" s="14" t="s">
        <v>3</v>
      </c>
      <c r="E22" s="1"/>
    </row>
    <row r="23" spans="1:5" x14ac:dyDescent="0.3">
      <c r="A23" s="1"/>
      <c r="B23" s="56" t="s">
        <v>28</v>
      </c>
      <c r="C23" s="9">
        <v>-40000</v>
      </c>
      <c r="D23" s="14" t="s">
        <v>3</v>
      </c>
      <c r="E23" s="1"/>
    </row>
    <row r="24" spans="1:5" x14ac:dyDescent="0.3">
      <c r="A24" s="1"/>
      <c r="B24" s="72" t="s">
        <v>183</v>
      </c>
      <c r="C24" s="46">
        <f>C21-C22-C23</f>
        <v>17375246.783341378</v>
      </c>
      <c r="D24" s="17" t="s">
        <v>3</v>
      </c>
      <c r="E24" s="1"/>
    </row>
    <row r="25" spans="1:5" x14ac:dyDescent="0.3">
      <c r="A25" s="1"/>
      <c r="B25" s="52"/>
      <c r="C25" s="53"/>
      <c r="D25" s="19"/>
      <c r="E25" s="1"/>
    </row>
    <row r="26" spans="1:5" x14ac:dyDescent="0.3">
      <c r="A26" s="1"/>
      <c r="B26" s="1"/>
      <c r="C26" s="1"/>
      <c r="D26" s="1"/>
      <c r="E26" s="1"/>
    </row>
    <row r="27" spans="1:5" x14ac:dyDescent="0.3">
      <c r="A27" s="1"/>
      <c r="B27" s="96" t="s">
        <v>184</v>
      </c>
      <c r="C27" s="97"/>
      <c r="D27" s="98"/>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08"/>
      <c r="C31" s="109"/>
      <c r="D31" s="110"/>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jkoJfWlrcvCE0Im1I/1jje3fOHfQxSn71UQCsJqQDj2h6W9MgVlKuBlxZuv/u16ra6gdJAKYYI179iFosUSF5Q==" saltValue="sgJRJ1apmKqA0eMb3L0+u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4" t="s">
        <v>96</v>
      </c>
      <c r="C3" s="94"/>
      <c r="D3" s="94"/>
      <c r="E3" s="1"/>
    </row>
    <row r="4" spans="1:5" ht="15" customHeight="1" x14ac:dyDescent="0.3">
      <c r="A4" s="1"/>
      <c r="B4" s="94"/>
      <c r="C4" s="94"/>
      <c r="D4" s="94"/>
      <c r="E4" s="1"/>
    </row>
    <row r="5" spans="1:5" x14ac:dyDescent="0.3">
      <c r="A5" s="1"/>
      <c r="B5" s="94"/>
      <c r="C5" s="94"/>
      <c r="D5" s="94"/>
      <c r="E5" s="1"/>
    </row>
    <row r="6" spans="1:5" x14ac:dyDescent="0.3">
      <c r="A6" s="1"/>
      <c r="B6" s="1"/>
      <c r="C6" s="1"/>
      <c r="D6" s="1"/>
      <c r="E6" s="1"/>
    </row>
    <row r="7" spans="1:5" x14ac:dyDescent="0.3">
      <c r="A7" s="1"/>
      <c r="B7" s="1"/>
      <c r="C7" s="1"/>
      <c r="D7" s="1"/>
      <c r="E7" s="1"/>
    </row>
    <row r="8" spans="1:5" x14ac:dyDescent="0.3">
      <c r="A8" s="1"/>
      <c r="B8" s="96" t="s">
        <v>97</v>
      </c>
      <c r="C8" s="97"/>
      <c r="D8" s="98"/>
      <c r="E8" s="1"/>
    </row>
    <row r="9" spans="1:5" ht="15" customHeight="1" x14ac:dyDescent="0.3">
      <c r="A9" s="1"/>
      <c r="B9" s="111" t="s">
        <v>123</v>
      </c>
      <c r="C9" s="112"/>
      <c r="D9" s="113"/>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7"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EafENCF49md46Wt8gI0D3rIRr0m8xiPaxdgJ6aRkjuI/chJ7Tu3xwOeLpkod30GMaa7h2dRfq59AgjJHwW5MyQ==" saltValue="y/StNaI7uoMfDXqNhF3hK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2" t="s">
        <v>90</v>
      </c>
      <c r="C3" s="92"/>
      <c r="D3" s="92"/>
      <c r="E3" s="92"/>
      <c r="F3" s="92"/>
      <c r="G3" s="92"/>
      <c r="H3" s="92"/>
      <c r="I3" s="92"/>
      <c r="J3" s="92"/>
      <c r="K3" s="92"/>
      <c r="L3" s="1"/>
    </row>
    <row r="4" spans="1:12" ht="15" customHeight="1" x14ac:dyDescent="0.3">
      <c r="A4" s="1"/>
      <c r="B4" s="92"/>
      <c r="C4" s="92"/>
      <c r="D4" s="92"/>
      <c r="E4" s="92"/>
      <c r="F4" s="92"/>
      <c r="G4" s="92"/>
      <c r="H4" s="92"/>
      <c r="I4" s="92"/>
      <c r="J4" s="92"/>
      <c r="K4" s="92"/>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6" t="s">
        <v>74</v>
      </c>
      <c r="C8" s="97"/>
      <c r="D8" s="97"/>
      <c r="E8" s="97"/>
      <c r="F8" s="97"/>
      <c r="G8" s="97"/>
      <c r="H8" s="97"/>
      <c r="I8" s="97"/>
      <c r="J8" s="97"/>
      <c r="K8" s="98"/>
      <c r="L8" s="1"/>
    </row>
    <row r="9" spans="1:12" ht="39.75" customHeight="1" x14ac:dyDescent="0.3">
      <c r="A9" s="1"/>
      <c r="B9" s="18" t="s">
        <v>0</v>
      </c>
      <c r="C9" s="18" t="s">
        <v>1</v>
      </c>
      <c r="D9" s="114" t="s">
        <v>83</v>
      </c>
      <c r="E9" s="115"/>
      <c r="F9" s="114" t="s">
        <v>2</v>
      </c>
      <c r="G9" s="115"/>
      <c r="H9" s="114" t="s">
        <v>84</v>
      </c>
      <c r="I9" s="115"/>
      <c r="J9" s="114" t="s">
        <v>25</v>
      </c>
      <c r="K9" s="115"/>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69"/>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ld0AsFwlc/wlsNyOgvdlY51y7ZRWzjQQVrUq9LUvVpRto0XxpDPHndYKjanNzq753A0sXzoNRePKqbsx4NCC0Q==" saltValue="JsUyV7EfIqluuKS9S2MTM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2" t="s">
        <v>91</v>
      </c>
      <c r="C3" s="92"/>
      <c r="D3" s="92"/>
      <c r="E3" s="92"/>
      <c r="F3" s="92"/>
      <c r="G3" s="1"/>
    </row>
    <row r="4" spans="1:7" ht="15" customHeight="1" x14ac:dyDescent="0.3">
      <c r="A4" s="1"/>
      <c r="B4" s="92"/>
      <c r="C4" s="92"/>
      <c r="D4" s="92"/>
      <c r="E4" s="92"/>
      <c r="F4" s="92"/>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0" t="s">
        <v>15</v>
      </c>
      <c r="C9" s="72" t="s">
        <v>10</v>
      </c>
      <c r="D9" s="71"/>
      <c r="E9" s="72"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206</v>
      </c>
      <c r="C11" s="21">
        <v>207000</v>
      </c>
      <c r="D11" s="14" t="s">
        <v>3</v>
      </c>
      <c r="E11" s="9">
        <v>145529</v>
      </c>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207000</v>
      </c>
      <c r="D17" s="13" t="s">
        <v>3</v>
      </c>
      <c r="E17" s="12">
        <f>SUM(E10:E16)</f>
        <v>145529</v>
      </c>
      <c r="F17" s="13" t="s">
        <v>3</v>
      </c>
      <c r="G17" s="1"/>
    </row>
    <row r="18" spans="1:7" x14ac:dyDescent="0.3">
      <c r="A18" s="1"/>
      <c r="B18" s="52" t="s">
        <v>147</v>
      </c>
      <c r="C18" s="12">
        <f>C17*(1+'Fane 13. Nøgletal'!C11)</f>
        <v>220724.1</v>
      </c>
      <c r="D18" s="13" t="s">
        <v>3</v>
      </c>
      <c r="E18" s="12">
        <f>E17*(1+'Fane 13. Nøgletal'!C11)</f>
        <v>155177.57269999999</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qjKskNWlCJHM/qCIRLDS8h5UHexbtQuiNIgSWIr4d0qDSIVi6GDZpRFOEW/GMMEZ2K/Chhvx7kq22EalNievNg==" saltValue="W6e+zPRaoi8P38+nDzKj0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2" t="s">
        <v>92</v>
      </c>
      <c r="C3" s="92"/>
      <c r="D3" s="92"/>
      <c r="E3" s="92"/>
      <c r="F3" s="92"/>
      <c r="G3" s="1"/>
    </row>
    <row r="4" spans="1:7" ht="15" customHeight="1" x14ac:dyDescent="0.3">
      <c r="A4" s="1"/>
      <c r="B4" s="92"/>
      <c r="C4" s="92"/>
      <c r="D4" s="92"/>
      <c r="E4" s="92"/>
      <c r="F4" s="92"/>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6" t="s">
        <v>150</v>
      </c>
      <c r="C8" s="97"/>
      <c r="D8" s="97"/>
      <c r="E8" s="97"/>
      <c r="F8" s="98"/>
      <c r="G8" s="1"/>
    </row>
    <row r="9" spans="1:7" x14ac:dyDescent="0.3">
      <c r="A9" s="1"/>
      <c r="B9" s="70" t="s">
        <v>15</v>
      </c>
      <c r="C9" s="72" t="s">
        <v>10</v>
      </c>
      <c r="D9" s="73"/>
      <c r="E9" s="72" t="s">
        <v>26</v>
      </c>
      <c r="F9" s="27"/>
      <c r="G9" s="1"/>
    </row>
    <row r="10" spans="1:7" x14ac:dyDescent="0.3">
      <c r="A10" s="1"/>
      <c r="B10" s="23" t="s">
        <v>207</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xR/NP2euwbGSBtYlVORNyuj592f4+dYEU43cc0nq4v9rKFuwYwxtubAEBIJCu2FL81/VsOhxbcl2TYNJc2AEpw==" saltValue="DZgq2/7a1+5XbU03bj+KY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93</v>
      </c>
      <c r="C3" s="94"/>
      <c r="D3" s="94"/>
      <c r="E3" s="94"/>
      <c r="F3" s="94"/>
      <c r="G3" s="1"/>
    </row>
    <row r="4" spans="1:7" ht="15" customHeight="1" x14ac:dyDescent="0.3">
      <c r="A4" s="1"/>
      <c r="B4" s="94"/>
      <c r="C4" s="94"/>
      <c r="D4" s="94"/>
      <c r="E4" s="94"/>
      <c r="F4" s="94"/>
      <c r="G4" s="1"/>
    </row>
    <row r="5" spans="1:7" x14ac:dyDescent="0.3">
      <c r="A5" s="1"/>
      <c r="B5" s="94"/>
      <c r="C5" s="94"/>
      <c r="D5" s="94"/>
      <c r="E5" s="94"/>
      <c r="F5" s="94"/>
      <c r="G5" s="1"/>
    </row>
    <row r="6" spans="1:7" x14ac:dyDescent="0.3">
      <c r="A6" s="1"/>
      <c r="B6" s="1"/>
      <c r="C6" s="1"/>
      <c r="D6" s="1"/>
      <c r="E6" s="1"/>
      <c r="F6" s="1"/>
      <c r="G6" s="1"/>
    </row>
    <row r="7" spans="1:7" x14ac:dyDescent="0.3">
      <c r="A7" s="1"/>
      <c r="B7" s="1"/>
      <c r="C7" s="1"/>
      <c r="D7" s="1"/>
      <c r="E7" s="1"/>
      <c r="F7" s="1"/>
      <c r="G7" s="1"/>
    </row>
    <row r="8" spans="1:7" x14ac:dyDescent="0.3">
      <c r="A8" s="1"/>
      <c r="B8" s="96" t="s">
        <v>59</v>
      </c>
      <c r="C8" s="97"/>
      <c r="D8" s="97"/>
      <c r="E8" s="97"/>
      <c r="F8" s="98"/>
      <c r="G8" s="1"/>
    </row>
    <row r="9" spans="1:7" ht="15" customHeight="1" x14ac:dyDescent="0.3">
      <c r="A9" s="1"/>
      <c r="B9" s="54" t="s">
        <v>60</v>
      </c>
      <c r="C9" s="116" t="s">
        <v>10</v>
      </c>
      <c r="D9" s="117"/>
      <c r="E9" s="116" t="s">
        <v>26</v>
      </c>
      <c r="F9" s="117"/>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oT/jOFC+5itS353P5UVG3o1cPKvxK+MhJQAO13TiB7V35ane6moftGAtozor8fLytKRz/jsLptPLieUwDPUs8A==" saltValue="X1VyxN3Zyuqkhfnhvlj/P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94</v>
      </c>
      <c r="C3" s="94"/>
      <c r="D3" s="94"/>
      <c r="E3" s="94"/>
      <c r="F3" s="94"/>
      <c r="G3" s="1"/>
    </row>
    <row r="4" spans="1:7" ht="15" customHeight="1" x14ac:dyDescent="0.3">
      <c r="A4" s="1"/>
      <c r="B4" s="94"/>
      <c r="C4" s="94"/>
      <c r="D4" s="94"/>
      <c r="E4" s="94"/>
      <c r="F4" s="94"/>
      <c r="G4" s="1"/>
    </row>
    <row r="5" spans="1:7" x14ac:dyDescent="0.3">
      <c r="A5" s="1"/>
      <c r="B5" s="94"/>
      <c r="C5" s="94"/>
      <c r="D5" s="94"/>
      <c r="E5" s="94"/>
      <c r="F5" s="94"/>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6" t="s">
        <v>152</v>
      </c>
      <c r="C8" s="97"/>
      <c r="D8" s="97"/>
      <c r="E8" s="97"/>
      <c r="F8" s="98"/>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3CTQMbZ577GEyUsnh+RUveg+BGnqYBTMXuPh4NFYmfAWZDpFaOJzTNfajnwLFz8MsJ/2Rmuw0s0/yA2L2qcvHQ==" saltValue="vLe5zjQMu4AO3IRA4hBLH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4" t="s">
        <v>95</v>
      </c>
      <c r="C3" s="94"/>
      <c r="D3" s="1"/>
    </row>
    <row r="4" spans="1:4" ht="15" customHeight="1" x14ac:dyDescent="0.3">
      <c r="A4" s="1"/>
      <c r="B4" s="94"/>
      <c r="C4" s="94"/>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6"/>
      <c r="C12" s="98"/>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MdnXx8LSeRWB2vcWZAPWu/VPkWANKk4yLMDfejfcavkTL+xWgKLwjOg81zXZyGUhP0d7i0Zaay8DpOt425bQ2A==" saltValue="7cYPJXQNY3Smdeimgij2f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2" t="s">
        <v>128</v>
      </c>
      <c r="C3" s="92"/>
      <c r="D3" s="92"/>
      <c r="E3" s="1"/>
    </row>
    <row r="4" spans="1:5" ht="15" customHeight="1" x14ac:dyDescent="0.3">
      <c r="A4" s="1"/>
      <c r="B4" s="92"/>
      <c r="C4" s="92"/>
      <c r="D4" s="92"/>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100059906.43633637</v>
      </c>
      <c r="D9" s="8" t="s">
        <v>3</v>
      </c>
      <c r="E9" s="1"/>
    </row>
    <row r="10" spans="1:5" ht="17.100000000000001" customHeight="1" x14ac:dyDescent="0.3">
      <c r="A10" s="1"/>
      <c r="B10" s="24" t="s">
        <v>32</v>
      </c>
      <c r="C10" s="7">
        <f>'Fane 10.1. Varige tillæg'!C18</f>
        <v>220724.1</v>
      </c>
      <c r="D10" s="8" t="s">
        <v>3</v>
      </c>
      <c r="E10" s="1"/>
    </row>
    <row r="11" spans="1:5" ht="17.100000000000001" customHeight="1" x14ac:dyDescent="0.3">
      <c r="A11" s="1"/>
      <c r="B11" s="24" t="s">
        <v>33</v>
      </c>
      <c r="C11" s="9">
        <f>'Fane 10.1. Varige tillæg'!E18</f>
        <v>155177.57269999999</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6658894.0776291098</v>
      </c>
      <c r="D16" s="8" t="s">
        <v>3</v>
      </c>
      <c r="E16" s="1"/>
    </row>
    <row r="17" spans="1:5" ht="17.100000000000001" customHeight="1" x14ac:dyDescent="0.3">
      <c r="A17" s="1"/>
      <c r="B17" s="24" t="s">
        <v>9</v>
      </c>
      <c r="C17" s="9">
        <f>-SUM(C9:C16)*'Fane 5. Individuelt eff. krav'!C9</f>
        <v>-631649.78409580898</v>
      </c>
      <c r="D17" s="8" t="s">
        <v>3</v>
      </c>
      <c r="E17" s="1"/>
    </row>
    <row r="18" spans="1:5" ht="17.100000000000001" customHeight="1" x14ac:dyDescent="0.3">
      <c r="A18" s="1"/>
      <c r="B18" s="24" t="s">
        <v>21</v>
      </c>
      <c r="C18" s="9">
        <f>-'Fane 4.1. Gen. krav - drift'!C17</f>
        <v>-847674.18058380694</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2" t="s">
        <v>19</v>
      </c>
      <c r="C20" s="10">
        <f>SUM(C9:C19)</f>
        <v>105615378.22198585</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60126302.148262106</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2"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165741680.37024796</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uanCD33/ZcSexIpEcE2e48itAbV+sEyVlJ244NkdqYC8sEyBPjH16VtmO61PvjpUF7pvHJ7JswsoH97ML9Mi9g==" saltValue="LfEvYR42PQ2xFzbbV4Wlu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2" t="s">
        <v>129</v>
      </c>
      <c r="C3" s="92"/>
      <c r="D3" s="92"/>
      <c r="E3" s="1"/>
    </row>
    <row r="4" spans="1:5" ht="15" customHeight="1" x14ac:dyDescent="0.3">
      <c r="A4" s="1"/>
      <c r="B4" s="92"/>
      <c r="C4" s="92"/>
      <c r="D4" s="92"/>
      <c r="E4" s="1"/>
    </row>
    <row r="5" spans="1:5" x14ac:dyDescent="0.3">
      <c r="A5" s="1"/>
      <c r="B5" s="93"/>
      <c r="C5" s="93"/>
      <c r="D5" s="93"/>
      <c r="E5" s="1"/>
    </row>
    <row r="6" spans="1:5" x14ac:dyDescent="0.3">
      <c r="A6" s="1"/>
      <c r="B6" s="65"/>
      <c r="C6" s="65"/>
      <c r="D6" s="65"/>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105615378.22198585</v>
      </c>
      <c r="D9" s="8" t="s">
        <v>3</v>
      </c>
      <c r="E9" s="1"/>
    </row>
    <row r="10" spans="1:5" ht="15" customHeight="1" x14ac:dyDescent="0.3">
      <c r="A10" s="1"/>
      <c r="B10" s="47" t="s">
        <v>17</v>
      </c>
      <c r="C10" s="41">
        <f>C9*'Fane 13. Nøgletal'!C11</f>
        <v>7002299.5761176618</v>
      </c>
      <c r="D10" s="8" t="s">
        <v>3</v>
      </c>
      <c r="E10" s="1"/>
    </row>
    <row r="11" spans="1:5" ht="15" customHeight="1" x14ac:dyDescent="0.3">
      <c r="A11" s="1"/>
      <c r="B11" s="47" t="s">
        <v>9</v>
      </c>
      <c r="C11" s="9">
        <f>-SUM(C9:C10)*'Fane 5. Individuelt eff. krav'!C9</f>
        <v>-664224.56399902666</v>
      </c>
      <c r="D11" s="8" t="s">
        <v>3</v>
      </c>
      <c r="E11" s="1"/>
    </row>
    <row r="12" spans="1:5" ht="15" customHeight="1" x14ac:dyDescent="0.3">
      <c r="A12" s="1"/>
      <c r="B12" s="47" t="s">
        <v>21</v>
      </c>
      <c r="C12" s="9">
        <f>-'Fane 4.1. Gen. krav - drift'!C22</f>
        <v>-885797.47918138315</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111067655.75492311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64112675.980691887</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175180331.73561499</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swib3DcWyWIR9fm1hYnfQ16VjrFevL+tefAz5PI0fyNiaWueMIyeLgzUwRnBToDybo1fzVRFENTSCeiWkb5tBA==" saltValue="IbFWNpW8x+FIBs3TIXHm+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2" t="s">
        <v>130</v>
      </c>
      <c r="C3" s="92"/>
      <c r="D3" s="92"/>
      <c r="E3" s="1"/>
    </row>
    <row r="4" spans="1:5" ht="15" customHeight="1" x14ac:dyDescent="0.3">
      <c r="A4" s="1"/>
      <c r="B4" s="92"/>
      <c r="C4" s="92"/>
      <c r="D4" s="92"/>
      <c r="E4" s="1"/>
    </row>
    <row r="5" spans="1:5" x14ac:dyDescent="0.3">
      <c r="A5" s="1"/>
      <c r="B5" s="93" t="s">
        <v>20</v>
      </c>
      <c r="C5" s="93"/>
      <c r="D5" s="93"/>
      <c r="E5" s="1"/>
    </row>
    <row r="6" spans="1:5" x14ac:dyDescent="0.3">
      <c r="A6" s="1"/>
      <c r="B6" s="65"/>
      <c r="C6" s="65"/>
      <c r="D6" s="65"/>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111067655.75492311</v>
      </c>
      <c r="D9" s="8" t="s">
        <v>3</v>
      </c>
      <c r="E9" s="1"/>
    </row>
    <row r="10" spans="1:5" ht="15" customHeight="1" x14ac:dyDescent="0.3">
      <c r="A10" s="1"/>
      <c r="B10" s="47" t="s">
        <v>17</v>
      </c>
      <c r="C10" s="41">
        <f>C9*'Fane 13. Nøgletal'!C11</f>
        <v>7363785.576551402</v>
      </c>
      <c r="D10" s="8" t="s">
        <v>3</v>
      </c>
      <c r="E10" s="1"/>
    </row>
    <row r="11" spans="1:5" ht="15" customHeight="1" x14ac:dyDescent="0.3">
      <c r="A11" s="1"/>
      <c r="B11" s="47" t="s">
        <v>9</v>
      </c>
      <c r="C11" s="9">
        <f>-SUM(C9:C10)*'Fane 5. Individuelt eff. krav'!C9</f>
        <v>-698514.42526814097</v>
      </c>
      <c r="D11" s="8" t="s">
        <v>3</v>
      </c>
      <c r="E11" s="1"/>
    </row>
    <row r="12" spans="1:5" ht="15" customHeight="1" x14ac:dyDescent="0.3">
      <c r="A12" s="1"/>
      <c r="B12" s="47" t="s">
        <v>21</v>
      </c>
      <c r="C12" s="9">
        <f>-'Fane 4.1. Gen. krav - drift'!C27</f>
        <v>-925635.33501008665</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116807291.57119629</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68363346.398211762</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185170637.96940804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N1jJEHUslEa65nR/4L9JoY61EKK9YsIU3hicQwcgVwd5NNp+PXtEFRl0pGsXRtbXwYMEIG+DejtqJETgYm+Eg==" saltValue="umiHQBOnj+BclavXPgGI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2" t="s">
        <v>131</v>
      </c>
      <c r="C3" s="92"/>
      <c r="D3" s="92"/>
      <c r="E3" s="1"/>
    </row>
    <row r="4" spans="1:5" ht="15" customHeight="1" x14ac:dyDescent="0.3">
      <c r="A4" s="1"/>
      <c r="B4" s="92"/>
      <c r="C4" s="92"/>
      <c r="D4" s="92"/>
      <c r="E4" s="1"/>
    </row>
    <row r="5" spans="1:5" x14ac:dyDescent="0.3">
      <c r="A5" s="1"/>
      <c r="B5" s="93" t="s">
        <v>20</v>
      </c>
      <c r="C5" s="93"/>
      <c r="D5" s="93"/>
      <c r="E5" s="1"/>
    </row>
    <row r="6" spans="1:5" x14ac:dyDescent="0.3">
      <c r="A6" s="1"/>
      <c r="B6" s="65"/>
      <c r="C6" s="65"/>
      <c r="D6" s="65"/>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116807291.57119629</v>
      </c>
      <c r="D9" s="8" t="s">
        <v>3</v>
      </c>
      <c r="E9" s="1"/>
    </row>
    <row r="10" spans="1:5" ht="15" customHeight="1" x14ac:dyDescent="0.3">
      <c r="A10" s="1"/>
      <c r="B10" s="47" t="s">
        <v>17</v>
      </c>
      <c r="C10" s="9">
        <f>C9*'Fane 13. Nøgletal'!C11</f>
        <v>7744323.4311703136</v>
      </c>
      <c r="D10" s="8" t="s">
        <v>3</v>
      </c>
      <c r="E10" s="1"/>
    </row>
    <row r="11" spans="1:5" ht="15" customHeight="1" x14ac:dyDescent="0.3">
      <c r="A11" s="1"/>
      <c r="B11" s="47" t="s">
        <v>9</v>
      </c>
      <c r="C11" s="9">
        <f>-SUM(C9:C10)*'Fane 5. Individuelt eff. krav'!C9</f>
        <v>-734611.50849369366</v>
      </c>
      <c r="D11" s="8" t="s">
        <v>3</v>
      </c>
      <c r="E11" s="1"/>
    </row>
    <row r="12" spans="1:5" ht="15" customHeight="1" x14ac:dyDescent="0.3">
      <c r="A12" s="1"/>
      <c r="B12" s="47" t="s">
        <v>21</v>
      </c>
      <c r="C12" s="9">
        <f>-'Fane 4.1. Gen. krav - drift'!C32</f>
        <v>-967264.85856683017</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122849738.63530608</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72895836.264413208</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195745574.8997193</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X+ITICs15ycDBD9iPSCTjhl7HIXO3W+oZvRz+BveE8Zxe1uANtX6Z5aulbwbjzVvBKs/LOTGwT2DOOgj8CYp9A==" saltValue="iKiblgBaQEZPlGN1XPGb8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4" t="s">
        <v>134</v>
      </c>
      <c r="C3" s="94"/>
      <c r="D3" s="94"/>
      <c r="E3" s="1"/>
    </row>
    <row r="4" spans="1:5" ht="15" customHeight="1" x14ac:dyDescent="0.3">
      <c r="A4" s="1"/>
      <c r="B4" s="94"/>
      <c r="C4" s="94"/>
      <c r="D4" s="94"/>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98891940.618464574</v>
      </c>
      <c r="D9" s="8" t="s">
        <v>3</v>
      </c>
      <c r="E9" s="1"/>
    </row>
    <row r="10" spans="1:5" x14ac:dyDescent="0.3">
      <c r="A10" s="1"/>
      <c r="B10" s="24" t="s">
        <v>32</v>
      </c>
      <c r="C10" s="7">
        <v>288573.59999999998</v>
      </c>
      <c r="D10" s="8" t="s">
        <v>3</v>
      </c>
      <c r="E10" s="1"/>
    </row>
    <row r="11" spans="1:5" ht="15" customHeight="1" x14ac:dyDescent="0.3">
      <c r="A11" s="1"/>
      <c r="B11" s="24" t="s">
        <v>33</v>
      </c>
      <c r="C11" s="9">
        <v>185706.2984</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3558874.9018080588</v>
      </c>
      <c r="D16" s="8" t="s">
        <v>3</v>
      </c>
      <c r="E16" s="1"/>
    </row>
    <row r="17" spans="1:5" x14ac:dyDescent="0.3">
      <c r="A17" s="1"/>
      <c r="B17" s="24" t="s">
        <v>9</v>
      </c>
      <c r="C17" s="9">
        <v>-2058501.9083734525</v>
      </c>
      <c r="D17" s="8" t="s">
        <v>3</v>
      </c>
      <c r="E17" s="1"/>
    </row>
    <row r="18" spans="1:5" x14ac:dyDescent="0.3">
      <c r="A18" s="1"/>
      <c r="B18" s="24" t="s">
        <v>21</v>
      </c>
      <c r="C18" s="9">
        <v>-806687.07396280393</v>
      </c>
      <c r="D18" s="8" t="s">
        <v>3</v>
      </c>
      <c r="E18" s="1"/>
    </row>
    <row r="19" spans="1:5" x14ac:dyDescent="0.3">
      <c r="A19" s="1"/>
      <c r="B19" s="24" t="s">
        <v>22</v>
      </c>
      <c r="C19" s="9">
        <v>0</v>
      </c>
      <c r="D19" s="8" t="s">
        <v>3</v>
      </c>
      <c r="E19" s="1"/>
    </row>
    <row r="20" spans="1:5" x14ac:dyDescent="0.3">
      <c r="A20" s="1"/>
      <c r="B20" s="72" t="s">
        <v>19</v>
      </c>
      <c r="C20" s="10">
        <v>100059906.43633637</v>
      </c>
      <c r="D20" s="11" t="s">
        <v>3</v>
      </c>
      <c r="E20" s="1"/>
    </row>
    <row r="21" spans="1:5" x14ac:dyDescent="0.3">
      <c r="A21" s="1"/>
      <c r="B21" s="52" t="s">
        <v>11</v>
      </c>
      <c r="C21" s="53"/>
      <c r="D21" s="19"/>
      <c r="E21" s="1"/>
    </row>
    <row r="22" spans="1:5" x14ac:dyDescent="0.3">
      <c r="A22" s="1"/>
      <c r="B22" s="54" t="s">
        <v>11</v>
      </c>
      <c r="C22" s="10">
        <v>70727964.240741968</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2" t="s">
        <v>40</v>
      </c>
      <c r="C28" s="50">
        <v>0</v>
      </c>
      <c r="D28" s="11" t="s">
        <v>3</v>
      </c>
      <c r="E28" s="1"/>
    </row>
    <row r="29" spans="1:5" x14ac:dyDescent="0.3">
      <c r="A29" s="1"/>
      <c r="B29" s="25" t="s">
        <v>65</v>
      </c>
      <c r="C29" s="53"/>
      <c r="D29" s="19"/>
      <c r="E29" s="1"/>
    </row>
    <row r="30" spans="1:5" x14ac:dyDescent="0.3">
      <c r="A30" s="1"/>
      <c r="B30" s="58" t="s">
        <v>66</v>
      </c>
      <c r="C30" s="10">
        <v>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170787870.67707834</v>
      </c>
      <c r="D33" s="19" t="s">
        <v>3</v>
      </c>
      <c r="E33" s="1"/>
    </row>
    <row r="34" spans="1:5" ht="30" customHeight="1" x14ac:dyDescent="0.3">
      <c r="A34" s="1"/>
      <c r="B34" s="95" t="s">
        <v>193</v>
      </c>
      <c r="C34" s="95"/>
      <c r="D34" s="95"/>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LePIxkbiawVrBRvpXr2a5T47/knmsPoUQYM3OUdqqWmfWwBk0WfNE3FqnHUl7Oc8gvlykUlepRL+fjL8CQXFEA==" saltValue="yHZbfGw/U8QOqbZd2Klkl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4" t="s">
        <v>53</v>
      </c>
      <c r="C3" s="94"/>
      <c r="D3" s="94"/>
      <c r="E3" s="1"/>
    </row>
    <row r="4" spans="1:5" ht="15" customHeight="1" x14ac:dyDescent="0.3">
      <c r="A4" s="1"/>
      <c r="B4" s="94"/>
      <c r="C4" s="94"/>
      <c r="D4" s="94"/>
      <c r="E4" s="1"/>
    </row>
    <row r="5" spans="1:5" ht="15" customHeight="1" x14ac:dyDescent="0.3">
      <c r="A5" s="1"/>
      <c r="B5" s="94"/>
      <c r="C5" s="94"/>
      <c r="D5" s="94"/>
      <c r="E5" s="1"/>
    </row>
    <row r="6" spans="1:5" ht="15" customHeight="1" x14ac:dyDescent="0.3">
      <c r="A6" s="1"/>
      <c r="B6" s="66"/>
      <c r="C6" s="66"/>
      <c r="D6" s="66"/>
      <c r="E6" s="1"/>
    </row>
    <row r="7" spans="1:5" x14ac:dyDescent="0.3">
      <c r="A7" s="1"/>
      <c r="B7" s="1"/>
      <c r="C7" s="32"/>
      <c r="D7" s="1"/>
      <c r="E7" s="1"/>
    </row>
    <row r="8" spans="1:5" x14ac:dyDescent="0.3">
      <c r="A8" s="1"/>
      <c r="B8" s="96" t="s">
        <v>75</v>
      </c>
      <c r="C8" s="97"/>
      <c r="D8" s="98"/>
      <c r="E8" s="1"/>
    </row>
    <row r="9" spans="1:5" x14ac:dyDescent="0.3">
      <c r="A9" s="1"/>
      <c r="B9" s="56" t="s">
        <v>167</v>
      </c>
      <c r="C9" s="22">
        <v>40022463.351260193</v>
      </c>
      <c r="D9" s="14" t="s">
        <v>3</v>
      </c>
      <c r="E9" s="1"/>
    </row>
    <row r="10" spans="1:5" x14ac:dyDescent="0.3">
      <c r="A10" s="1"/>
      <c r="B10" s="56" t="s">
        <v>110</v>
      </c>
      <c r="C10" s="22">
        <f>('Fane 3. Omkostninger i ØR2024'!C10+'Fane 3. Omkostninger i ØR2024'!C12+'Fane 3. Omkostninger i ØR2024'!C14)*(1+'Fane 13. Nøgletal'!C10)</f>
        <v>311890.34687999997</v>
      </c>
      <c r="D10" s="14" t="s">
        <v>3</v>
      </c>
      <c r="E10" s="1"/>
    </row>
    <row r="11" spans="1:5" x14ac:dyDescent="0.3">
      <c r="A11" s="1"/>
      <c r="B11" s="56" t="s">
        <v>81</v>
      </c>
      <c r="C11" s="22">
        <f>C9*'Fane 13. Nøgletal'!C23+C10*'Fane 13. Nøgletal'!C23</f>
        <v>806687.07396280393</v>
      </c>
      <c r="D11" s="14" t="s">
        <v>3</v>
      </c>
      <c r="E11" s="1"/>
    </row>
    <row r="12" spans="1:5" x14ac:dyDescent="0.3">
      <c r="A12" s="1"/>
      <c r="B12" s="52"/>
      <c r="C12" s="31"/>
      <c r="D12" s="19"/>
      <c r="E12" s="1"/>
    </row>
    <row r="13" spans="1:5" x14ac:dyDescent="0.3">
      <c r="A13" s="1"/>
      <c r="B13" s="1"/>
      <c r="C13" s="32"/>
      <c r="D13" s="1"/>
      <c r="E13" s="1"/>
    </row>
    <row r="14" spans="1:5" x14ac:dyDescent="0.3">
      <c r="A14" s="1"/>
      <c r="B14" s="96" t="s">
        <v>153</v>
      </c>
      <c r="C14" s="97"/>
      <c r="D14" s="98"/>
      <c r="E14" s="1"/>
    </row>
    <row r="15" spans="1:5" x14ac:dyDescent="0.3">
      <c r="A15" s="1"/>
      <c r="B15" s="56" t="s">
        <v>168</v>
      </c>
      <c r="C15" s="22">
        <f>(C9+C10-C11)*(1+'Fane 13. Nøgletal'!C11)</f>
        <v>42148350.921360344</v>
      </c>
      <c r="D15" s="14" t="s">
        <v>3</v>
      </c>
      <c r="E15" s="1"/>
    </row>
    <row r="16" spans="1:5" x14ac:dyDescent="0.3">
      <c r="A16" s="1"/>
      <c r="B16" s="56" t="s">
        <v>154</v>
      </c>
      <c r="C16" s="22">
        <f>('Fane 2.1. Økonomisk ramme 2025'!C10+'Fane 2.1. Økonomisk ramme 2025'!C12+'Fane 2.1. Økonomisk ramme 2025'!C14)*(1+'Fane 13. Nøgletal'!C11)</f>
        <v>235358.10783000002</v>
      </c>
      <c r="D16" s="14" t="s">
        <v>3</v>
      </c>
      <c r="E16" s="1"/>
    </row>
    <row r="17" spans="1:5" x14ac:dyDescent="0.3">
      <c r="A17" s="1"/>
      <c r="B17" s="56" t="s">
        <v>155</v>
      </c>
      <c r="C17" s="22">
        <f>(C15+C16)*'Fane 13. Nøgletal'!C23</f>
        <v>847674.18058380694</v>
      </c>
      <c r="D17" s="14" t="s">
        <v>3</v>
      </c>
      <c r="E17" s="1"/>
    </row>
    <row r="18" spans="1:5" x14ac:dyDescent="0.3">
      <c r="A18" s="1"/>
      <c r="B18" s="52"/>
      <c r="C18" s="31"/>
      <c r="D18" s="19"/>
      <c r="E18" s="1"/>
    </row>
    <row r="19" spans="1:5" x14ac:dyDescent="0.3">
      <c r="A19" s="1"/>
      <c r="B19" s="1"/>
      <c r="C19" s="32"/>
      <c r="D19" s="1"/>
      <c r="E19" s="1"/>
    </row>
    <row r="20" spans="1:5" x14ac:dyDescent="0.3">
      <c r="A20" s="1"/>
      <c r="B20" s="96" t="s">
        <v>170</v>
      </c>
      <c r="C20" s="97"/>
      <c r="D20" s="98"/>
      <c r="E20" s="1"/>
    </row>
    <row r="21" spans="1:5" x14ac:dyDescent="0.3">
      <c r="A21" s="1"/>
      <c r="B21" s="56" t="s">
        <v>169</v>
      </c>
      <c r="C21" s="48">
        <f>(C15+C16-C17)*(1+'Fane 13. Nøgletal'!C11)</f>
        <v>44289873.959069155</v>
      </c>
      <c r="D21" s="14" t="s">
        <v>3</v>
      </c>
      <c r="E21" s="1"/>
    </row>
    <row r="22" spans="1:5" x14ac:dyDescent="0.3">
      <c r="A22" s="1"/>
      <c r="B22" s="56" t="s">
        <v>171</v>
      </c>
      <c r="C22" s="48">
        <f>(C21)*'Fane 13. Nøgletal'!C23</f>
        <v>885797.47918138315</v>
      </c>
      <c r="D22" s="14" t="s">
        <v>3</v>
      </c>
      <c r="E22" s="1"/>
    </row>
    <row r="23" spans="1:5" x14ac:dyDescent="0.3">
      <c r="A23" s="1"/>
      <c r="B23" s="52"/>
      <c r="C23" s="31"/>
      <c r="D23" s="19"/>
      <c r="E23" s="1"/>
    </row>
    <row r="24" spans="1:5" x14ac:dyDescent="0.3">
      <c r="A24" s="1"/>
      <c r="B24" s="1"/>
      <c r="C24" s="32"/>
      <c r="D24" s="1"/>
      <c r="E24" s="1"/>
    </row>
    <row r="25" spans="1:5" x14ac:dyDescent="0.3">
      <c r="A25" s="1"/>
      <c r="B25" s="96" t="s">
        <v>116</v>
      </c>
      <c r="C25" s="97"/>
      <c r="D25" s="98"/>
      <c r="E25" s="1"/>
    </row>
    <row r="26" spans="1:5" x14ac:dyDescent="0.3">
      <c r="A26" s="1"/>
      <c r="B26" s="56" t="s">
        <v>117</v>
      </c>
      <c r="C26" s="48">
        <f>(C21-C22)*(1+'Fane 13. Nøgletal'!C11)</f>
        <v>46281766.75050433</v>
      </c>
      <c r="D26" s="14" t="s">
        <v>3</v>
      </c>
      <c r="E26" s="1"/>
    </row>
    <row r="27" spans="1:5" x14ac:dyDescent="0.3">
      <c r="A27" s="1"/>
      <c r="B27" s="56" t="s">
        <v>118</v>
      </c>
      <c r="C27" s="48">
        <f>(C26)*'Fane 13. Nøgletal'!C23</f>
        <v>925635.33501008665</v>
      </c>
      <c r="D27" s="14" t="s">
        <v>3</v>
      </c>
      <c r="E27" s="1"/>
    </row>
    <row r="28" spans="1:5" x14ac:dyDescent="0.3">
      <c r="A28" s="1"/>
      <c r="B28" s="52"/>
      <c r="C28" s="42"/>
      <c r="D28" s="19"/>
      <c r="E28" s="1"/>
    </row>
    <row r="29" spans="1:5" x14ac:dyDescent="0.3">
      <c r="A29" s="1"/>
      <c r="B29" s="1"/>
      <c r="C29" s="32"/>
      <c r="D29" s="1"/>
      <c r="E29" s="1"/>
    </row>
    <row r="30" spans="1:5" x14ac:dyDescent="0.3">
      <c r="A30" s="1"/>
      <c r="B30" s="96" t="s">
        <v>136</v>
      </c>
      <c r="C30" s="97"/>
      <c r="D30" s="98"/>
      <c r="E30" s="1"/>
    </row>
    <row r="31" spans="1:5" x14ac:dyDescent="0.3">
      <c r="A31" s="1"/>
      <c r="B31" s="56" t="s">
        <v>137</v>
      </c>
      <c r="C31" s="48">
        <f>(C26-C27)*(1+'Fane 13. Nøgletal'!C11)</f>
        <v>48363242.928341508</v>
      </c>
      <c r="D31" s="14" t="s">
        <v>3</v>
      </c>
      <c r="E31" s="1"/>
    </row>
    <row r="32" spans="1:5" x14ac:dyDescent="0.3">
      <c r="A32" s="1"/>
      <c r="B32" s="56" t="s">
        <v>138</v>
      </c>
      <c r="C32" s="48">
        <f>(C31)*'Fane 13. Nøgletal'!C23</f>
        <v>967264.85856683017</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Oyiu8Fxrqa8itq5OqjcMoiNr6fvKID6yy/h7CHEKG709ZejQsyPTaxTIZuAzQQ+1+9S8F1WQEuvfruBMYjcH5A==" saltValue="5Y6s/2TuFh+xPdwA0pe4d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99" t="s">
        <v>54</v>
      </c>
      <c r="C3" s="100"/>
      <c r="D3" s="100"/>
      <c r="E3" s="1"/>
    </row>
    <row r="4" spans="1:5" ht="15" customHeight="1" x14ac:dyDescent="0.3">
      <c r="A4" s="1"/>
      <c r="B4" s="100"/>
      <c r="C4" s="100"/>
      <c r="D4" s="100"/>
      <c r="E4" s="1"/>
    </row>
    <row r="5" spans="1:5" ht="15" customHeight="1" x14ac:dyDescent="0.3">
      <c r="A5" s="1"/>
      <c r="B5" s="100"/>
      <c r="C5" s="100"/>
      <c r="D5" s="100"/>
      <c r="E5" s="1"/>
    </row>
    <row r="6" spans="1:5" ht="15" customHeight="1" x14ac:dyDescent="0.3">
      <c r="A6" s="1"/>
      <c r="B6" s="1"/>
      <c r="C6" s="1"/>
      <c r="D6" s="1"/>
      <c r="E6" s="1"/>
    </row>
    <row r="7" spans="1:5" ht="15" customHeight="1" x14ac:dyDescent="0.3">
      <c r="A7" s="1"/>
      <c r="B7" s="1"/>
      <c r="C7" s="1"/>
      <c r="D7" s="1"/>
      <c r="E7" s="1"/>
    </row>
    <row r="8" spans="1:5" x14ac:dyDescent="0.3">
      <c r="A8" s="1"/>
      <c r="B8" s="96" t="s">
        <v>76</v>
      </c>
      <c r="C8" s="97"/>
      <c r="D8" s="98"/>
      <c r="E8" s="1"/>
    </row>
    <row r="9" spans="1:5" x14ac:dyDescent="0.3">
      <c r="A9" s="1"/>
      <c r="B9" s="56" t="s">
        <v>162</v>
      </c>
      <c r="C9" s="48">
        <v>73248918.269612804</v>
      </c>
      <c r="D9" s="14" t="s">
        <v>3</v>
      </c>
      <c r="E9" s="1"/>
    </row>
    <row r="10" spans="1:5" x14ac:dyDescent="0.3">
      <c r="A10" s="1"/>
      <c r="B10" s="56" t="s">
        <v>113</v>
      </c>
      <c r="C10" s="48">
        <f>('Fane 3. Omkostninger i ØR2024'!C11+'Fane 3. Omkostninger i ØR2024'!C13+'Fane 3. Omkostninger i ØR2024'!C15)*(1+'Fane 13. Nøgletal'!C10)</f>
        <v>200711.36731072</v>
      </c>
      <c r="D10" s="14" t="s">
        <v>3</v>
      </c>
      <c r="E10" s="1"/>
    </row>
    <row r="11" spans="1:5" x14ac:dyDescent="0.3">
      <c r="A11" s="1"/>
      <c r="B11" s="56" t="s">
        <v>114</v>
      </c>
      <c r="C11" s="48">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6" t="s">
        <v>156</v>
      </c>
      <c r="C14" s="97"/>
      <c r="D14" s="98"/>
      <c r="E14" s="1"/>
    </row>
    <row r="15" spans="1:5" x14ac:dyDescent="0.3">
      <c r="A15" s="1"/>
      <c r="B15" s="56" t="s">
        <v>163</v>
      </c>
      <c r="C15" s="48">
        <f>(C9+C10-C11)*(1+'Fane 13. Nøgletal'!C11)</f>
        <v>78319340.081851557</v>
      </c>
      <c r="D15" s="14" t="s">
        <v>3</v>
      </c>
      <c r="E15" s="1"/>
    </row>
    <row r="16" spans="1:5" x14ac:dyDescent="0.3">
      <c r="A16" s="1"/>
      <c r="B16" s="56" t="s">
        <v>157</v>
      </c>
      <c r="C16" s="48">
        <f>('Fane 2.1. Økonomisk ramme 2025'!C11+'Fane 2.1. Økonomisk ramme 2025'!C13+'Fane 2.1. Økonomisk ramme 2025'!C15)*(1+'Fane 13. Nøgletal'!C11)</f>
        <v>165465.84577001</v>
      </c>
      <c r="D16" s="14" t="s">
        <v>3</v>
      </c>
      <c r="E16" s="1"/>
    </row>
    <row r="17" spans="1:5" x14ac:dyDescent="0.3">
      <c r="A17" s="1"/>
      <c r="B17" s="56" t="s">
        <v>158</v>
      </c>
      <c r="C17" s="48">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6" t="s">
        <v>166</v>
      </c>
      <c r="C20" s="97"/>
      <c r="D20" s="98"/>
      <c r="E20" s="1"/>
    </row>
    <row r="21" spans="1:5" x14ac:dyDescent="0.3">
      <c r="A21" s="1"/>
      <c r="B21" s="56" t="s">
        <v>164</v>
      </c>
      <c r="C21" s="48">
        <f>(C15+C16-C17)*(1+'Fane 13. Nøgletal'!C11)</f>
        <v>83688348.560622886</v>
      </c>
      <c r="D21" s="14" t="s">
        <v>3</v>
      </c>
      <c r="E21" s="1"/>
    </row>
    <row r="22" spans="1:5" x14ac:dyDescent="0.3">
      <c r="A22" s="1"/>
      <c r="B22" s="56" t="s">
        <v>165</v>
      </c>
      <c r="C22" s="48">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6" t="s">
        <v>119</v>
      </c>
      <c r="C25" s="97"/>
      <c r="D25" s="98"/>
      <c r="E25" s="1"/>
    </row>
    <row r="26" spans="1:5" x14ac:dyDescent="0.3">
      <c r="A26" s="1"/>
      <c r="B26" s="56" t="s">
        <v>120</v>
      </c>
      <c r="C26" s="48">
        <f>(C21-C22)*(1+'Fane 13. Nøgletal'!C11)</f>
        <v>89236886.070192188</v>
      </c>
      <c r="D26" s="14" t="s">
        <v>3</v>
      </c>
      <c r="E26" s="1"/>
    </row>
    <row r="27" spans="1:5" x14ac:dyDescent="0.3">
      <c r="A27" s="1"/>
      <c r="B27" s="56" t="s">
        <v>121</v>
      </c>
      <c r="C27" s="48">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6" t="s">
        <v>139</v>
      </c>
      <c r="C30" s="97"/>
      <c r="D30" s="98"/>
      <c r="E30" s="1"/>
    </row>
    <row r="31" spans="1:5" x14ac:dyDescent="0.3">
      <c r="A31" s="1"/>
      <c r="B31" s="56" t="s">
        <v>140</v>
      </c>
      <c r="C31" s="48">
        <f>(C26-C27)*(1+'Fane 13. Nøgletal'!C11)</f>
        <v>95153291.616645932</v>
      </c>
      <c r="D31" s="14" t="s">
        <v>3</v>
      </c>
      <c r="E31" s="1"/>
    </row>
    <row r="32" spans="1:5" x14ac:dyDescent="0.3">
      <c r="A32" s="1"/>
      <c r="B32" s="56" t="s">
        <v>141</v>
      </c>
      <c r="C32" s="48">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WNnkIFD0cdY3o6WJMDr32Rn2DuieMPcIOzLPXNUfv1u+rpp6nwaBVHDvA+6NGeVtNKm8k/eg7kIt4me6Ml7tvg==" saltValue="OkW/FsRd39o297zDz0DW8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2" t="s">
        <v>41</v>
      </c>
      <c r="C3" s="92"/>
      <c r="D3" s="1"/>
    </row>
    <row r="4" spans="1:4" ht="15" customHeight="1" x14ac:dyDescent="0.3">
      <c r="A4" s="1"/>
      <c r="B4" s="92"/>
      <c r="C4" s="92"/>
      <c r="D4" s="1"/>
    </row>
    <row r="5" spans="1:4" x14ac:dyDescent="0.3">
      <c r="A5" s="1"/>
      <c r="B5" s="1"/>
      <c r="C5" s="1"/>
      <c r="D5" s="1"/>
    </row>
    <row r="6" spans="1:4" x14ac:dyDescent="0.3">
      <c r="A6" s="1"/>
      <c r="B6" s="1"/>
      <c r="C6" s="1"/>
      <c r="D6" s="1"/>
    </row>
    <row r="7" spans="1:4" x14ac:dyDescent="0.3">
      <c r="A7" s="1"/>
      <c r="B7" s="1"/>
      <c r="C7" s="1"/>
      <c r="D7" s="1"/>
    </row>
    <row r="8" spans="1:4" x14ac:dyDescent="0.3">
      <c r="A8" s="1"/>
      <c r="B8" s="96" t="s">
        <v>9</v>
      </c>
      <c r="C8" s="98"/>
      <c r="D8" s="1"/>
    </row>
    <row r="9" spans="1:4" x14ac:dyDescent="0.3">
      <c r="A9" s="1"/>
      <c r="B9" s="56" t="s">
        <v>160</v>
      </c>
      <c r="C9" s="44">
        <v>5.8980488408740053E-3</v>
      </c>
      <c r="D9" s="1"/>
    </row>
    <row r="10" spans="1:4" x14ac:dyDescent="0.3">
      <c r="A10" s="1"/>
      <c r="B10" s="52"/>
      <c r="C10" s="19"/>
      <c r="D10" s="1"/>
    </row>
    <row r="11" spans="1:4" ht="15" customHeight="1" x14ac:dyDescent="0.3">
      <c r="A11" s="1"/>
      <c r="B11" s="101" t="s">
        <v>161</v>
      </c>
      <c r="C11" s="102"/>
      <c r="D11" s="1"/>
    </row>
    <row r="12" spans="1:4" ht="13.5" customHeight="1" x14ac:dyDescent="0.3">
      <c r="A12" s="1"/>
      <c r="B12" s="103"/>
      <c r="C12" s="104"/>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4GCyyzBotK8p3Raex5gczK9R5YIphaZvLYJ/sBOXgn942irNXyosjtNoSJemEi7Tqo6bj3I11p8nIuVu/bt35w==" saltValue="lGnjMaVSU5Gv/Huy1PBqX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2024-09-09T07:36:01Z</dcterms:modified>
</cp:coreProperties>
</file>