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erning Vand AS (S03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34" i="2" l="1"/>
  <c r="C14" i="19" l="1"/>
  <c r="E34" i="27" l="1"/>
  <c r="C21" i="23"/>
  <c r="C21" i="22"/>
  <c r="C22" i="15"/>
  <c r="C38" i="2"/>
  <c r="G18" i="41" l="1"/>
  <c r="E26" i="32" l="1"/>
  <c r="E34" i="32" l="1"/>
  <c r="E36" i="32" s="1"/>
  <c r="C19" i="23" s="1"/>
  <c r="E30" i="32"/>
  <c r="C36" i="2" s="1"/>
  <c r="F10" i="11"/>
  <c r="C20" i="15" l="1"/>
  <c r="C19" i="22"/>
  <c r="J11" i="11" l="1"/>
  <c r="H11" i="11"/>
  <c r="C15" i="19" l="1"/>
  <c r="C15" i="23" l="1"/>
  <c r="C15" i="22"/>
  <c r="C16" i="15"/>
  <c r="C24" i="2"/>
  <c r="G34" i="30"/>
  <c r="C11" i="2"/>
  <c r="C10" i="2"/>
  <c r="C10" i="37" l="1"/>
  <c r="C15" i="37" s="1"/>
  <c r="G7" i="30" l="1"/>
  <c r="G11" i="30" s="1"/>
  <c r="E10" i="39" l="1"/>
  <c r="E11" i="39" s="1"/>
  <c r="C10" i="39"/>
  <c r="C11" i="39" s="1"/>
  <c r="E16" i="27" l="1"/>
  <c r="E30" i="20" l="1"/>
  <c r="E29" i="20"/>
  <c r="E17" i="20"/>
  <c r="E11" i="20"/>
  <c r="E31" i="20" l="1"/>
  <c r="C17" i="23" s="1"/>
  <c r="C29" i="2"/>
  <c r="C31" i="2" s="1"/>
  <c r="C28" i="2"/>
  <c r="C30" i="2" l="1"/>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5" i="37" s="1"/>
  <c r="G15" i="30"/>
  <c r="E24" i="20" l="1"/>
  <c r="E18" i="20"/>
  <c r="E12" i="20"/>
  <c r="E13" i="20" s="1"/>
  <c r="E19" i="20" l="1"/>
  <c r="C18" i="15" s="1"/>
  <c r="E17" i="40"/>
  <c r="E23" i="20"/>
  <c r="E25" i="20" s="1"/>
  <c r="C17" i="22" s="1"/>
  <c r="C26" i="2"/>
  <c r="E12" i="21" l="1"/>
  <c r="E13" i="21" s="1"/>
  <c r="C12" i="21"/>
  <c r="C13" i="21" s="1"/>
  <c r="C15" i="2" l="1"/>
  <c r="C14" i="2"/>
  <c r="G19" i="30" l="1"/>
  <c r="G25" i="30" s="1"/>
  <c r="G21" i="30" l="1"/>
  <c r="G28" i="30"/>
  <c r="G32" i="30"/>
  <c r="G36" i="30" s="1"/>
  <c r="G40" i="30" s="1"/>
  <c r="C16" i="37" l="1"/>
  <c r="C12" i="2" s="1"/>
  <c r="E11" i="29"/>
  <c r="E12" i="29" s="1"/>
  <c r="C11" i="29"/>
  <c r="C12" i="29" s="1"/>
  <c r="C17" i="2" l="1"/>
  <c r="C16" i="2"/>
  <c r="G47" i="30" s="1"/>
  <c r="G42" i="30" l="1"/>
  <c r="E16"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<sst xmlns="http://schemas.openxmlformats.org/spreadsheetml/2006/main" count="636" uniqueCount="296">
  <si>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</si>
  <si>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</si>
  <si>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</si>
  <si>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</si>
  <si>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</si>
  <si>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</si>
  <si>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</si>
  <si>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</si>
  <si>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</si>
  <si>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</si>
  <si>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</si>
  <si>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</si>
  <si>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</si>
  <si>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</si>
  <si>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</si>
  <si>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</si>
  <si>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</si>
  <si>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</si>
  <si>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</si>
  <si>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</si>
  <si>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</si>
  <si>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</si>
  <si>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</si>
  <si>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</si>
  <si>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</si>
  <si>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</si>
  <si>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</si>
  <si>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</si>
  <si>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</si>
  <si>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</si>
  <si>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</si>
  <si>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</si>
  <si>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</si>
  <si>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</si>
  <si>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</si>
  <si>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</si>
  <si>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</si>
  <si>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</si>
  <si>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</si>
  <si>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</si>
  <si>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</si>
  <si>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</si>
  <si>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</si>
  <si>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</si>
  <si>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</si>
  <si>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</si>
  <si>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</si>
  <si>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</si>
  <si>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</si>
  <si>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</si>
  <si>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</si>
  <si>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</si>
  <si>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</si>
  <si>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</si>
  <si>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</si>
  <si>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</si>
  <si>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</si>
  <si>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</si>
  <si>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</si>
  <si>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</si>
  <si>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</si>
  <si>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</si>
  <si>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</si>
  <si>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</si>
  <si>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</si>
  <si>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</si>
  <si>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</si>
  <si>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</si>
  <si>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</si>
  <si>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</si>
  <si>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</si>
  <si>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</si>
  <si>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</si>
  <si>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</si>
  <si>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</si>
  <si>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</si>
  <si>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</si>
  <si>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</si>
  <si>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</si>
  <si>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</si>
  <si>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</si>
  <si>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</si>
  <si>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</si>
  <si>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</si>
  <si>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</si>
  <si>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</si>
  <si>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</si>
  <si>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</si>
  <si>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</si>
  <si>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</si>
  <si>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</si>
  <si>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</si>
  <si>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</si>
  <si>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</si>
  <si>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</si>
  <si>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</si>
  <si>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</si>
  <si>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</si>
  <si>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</si>
  <si>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</si>
  <si>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</si>
  <si>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</si>
  <si>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</si>
  <si>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</si>
  <si>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</si>
  <si>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</si>
  <si>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</si>
  <si>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</si>
  <si>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</si>
  <si>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</si>
  <si>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</si>
  <si>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</si>
  <si>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</si>
  <si>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</si>
  <si>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</si>
  <si>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</si>
  <si>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</si>
  <si>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</si>
  <si>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</si>
  <si>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</si>
  <si>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</si>
  <si>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</si>
  <si>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</si>
  <si>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</si>
  <si>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</si>
  <si>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</si>
  <si>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</si>
  <si>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</si>
  <si>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</si>
  <si>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</si>
  <si>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</si>
  <si>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</si>
  <si>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</si>
  <si>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</si>
  <si>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</si>
  <si>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</si>
  <si>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</si>
  <si>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</si>
  <si>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</si>
  <si>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</si>
  <si>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</si>
  <si>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</si>
  <si>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</si>
  <si>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</si>
  <si>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</si>
  <si>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</si>
  <si>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</si>
  <si>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</si>
  <si>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</si>
  <si>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</si>
  <si>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</si>
  <si>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</si>
  <si>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</si>
  <si>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</si>
  <si>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</si>
  <si>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</si>
  <si>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</si>
  <si>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</si>
  <si>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</si>
  <si>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</si>
  <si>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</si>
  <si>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</si>
  <si>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</si>
  <si>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</si>
  <si>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</si>
  <si>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</si>
  <si>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</si>
  <si>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</si>
  <si>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</si>
  <si>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</si>
  <si>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</si>
  <si>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</si>
  <si>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</si>
  <si>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</si>
  <si>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</si>
  <si>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</si>
  <si>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</si>
  <si>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</si>
  <si>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</si>
  <si>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</si>
  <si>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</si>
  <si>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</si>
  <si>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</si>
  <si>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</si>
  <si>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</si>
  <si>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</si>
  <si>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</si>
  <si>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</si>
  <si>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</si>
  <si>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</si>
  <si>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</si>
  <si>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</si>
  <si>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</si>
  <si>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</si>
  <si>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</si>
  <si>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</si>
  <si>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</si>
  <si>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</si>
  <si>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</si>
  <si>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</si>
  <si>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</si>
  <si>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</si>
  <si>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</si>
  <si>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</si>
  <si>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</si>
  <si>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</si>
  <si>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</si>
  <si>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</si>
  <si>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</si>
  <si>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</si>
  <si>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</si>
  <si>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</si>
  <si>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</si>
  <si>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</si>
  <si>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</si>
  <si>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</si>
  <si>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</si>
  <si>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</si>
  <si>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</si>
  <si>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</si>
  <si>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</si>
  <si>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</si>
  <si>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</si>
  <si>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</si>
  <si>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</si>
  <si>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</si>
  <si>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</si>
  <si>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</si>
  <si>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</si>
  <si>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</si>
  <si>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</si>
  <si>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</si>
  <si>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</si>
  <si>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</si>
  <si>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</si>
  <si>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</si>
  <si>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</si>
  <si>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</si>
  <si>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</si>
  <si>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</si>
  <si>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</si>
  <si>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</si>
  <si>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</si>
  <si>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</si>
  <si>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</si>
  <si>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</si>
  <si>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</si>
  <si>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</si>
  <si>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</si>
  <si>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</si>
  <si>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</si>
  <si>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</si>
  <si>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</si>
  <si>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</si>
  <si>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</si>
  <si>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</si>
  <si>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</si>
  <si>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</si>
  <si>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</si>
  <si>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</si>
  <si>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</si>
  <si>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</si>
  <si>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</si>
  <si>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</si>
  <si>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</si>
  <si>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</si>
  <si>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</si>
  <si>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</si>
  <si>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</si>
  <si>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</si>
  <si>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</si>
  <si>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</si>
  <si>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Indregnet fradrag i økonomisk ramme for 2022</t>
  </si>
  <si>
    <t>Korrektion af fradrag i den økonomiske ramme for 2023</t>
  </si>
  <si>
    <t>Tillæg/fradrag i den økonomiske ramme for 2023</t>
  </si>
  <si>
    <t>Til indregning i de økonomiske rammer for 2024-2027</t>
  </si>
  <si>
    <t>Afgift til Forsyningssekretariatet</t>
  </si>
  <si>
    <t>Køb af ydelser og produkter fra andre vandselskaber reguleret af vandsektorloven</t>
  </si>
  <si>
    <t>Ejendomsskatter</t>
  </si>
  <si>
    <t>Erstatninger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</si>
  <si>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</si>
  <si>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</si>
  <si>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</si>
  <si>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</si>
  <si>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</si>
  <si>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</si>
  <si>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</si>
  <si>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</si>
  <si>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</si>
  <si>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</si>
  <si>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Separatkloakeringer</t>
  </si>
  <si>
    <t>Byggemodninger</t>
  </si>
  <si>
    <t>Justering af den økonomiske ramme</t>
  </si>
  <si>
    <t>Oprensning af bassiner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</si>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</sst>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166" fontId="7" fillId="3" borderId="1" xfId="0" applyNumberFormat="1" applyFont="1" applyFill="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6" t="s">
        <v>4</v>
      </c>
      <c r="E6" s="96"/>
      <c r="F6" s="96"/>
      <c r="G6" s="96"/>
      <c r="H6" s="3"/>
      <c r="I6" s="1"/>
    </row>
    <row r="7" spans="1:9" ht="15" customHeight="1" x14ac:dyDescent="0.25">
      <c r="A7" s="1"/>
      <c r="B7" s="1"/>
      <c r="C7" s="3"/>
      <c r="D7" s="96"/>
      <c r="E7" s="96"/>
      <c r="F7" s="96"/>
      <c r="G7" s="96"/>
      <c r="H7" s="3"/>
      <c r="I7" s="1"/>
    </row>
    <row r="8" spans="1:9" ht="15.75" x14ac:dyDescent="0.25">
      <c r="A8" s="1"/>
      <c r="B8" s="1"/>
      <c r="C8" s="4"/>
      <c r="D8" s="101" t="s">
        <v>231</v>
      </c>
      <c r="E8" s="101"/>
      <c r="F8" s="101"/>
      <c r="G8" s="10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1"/>
      <c r="I12" s="1"/>
    </row>
    <row r="13" spans="1:9" x14ac:dyDescent="0.25">
      <c r="A13" s="1"/>
      <c r="B13" s="1"/>
      <c r="C13" s="6" t="s">
        <v>6</v>
      </c>
      <c r="D13" s="102" t="s">
        <v>134</v>
      </c>
      <c r="E13" s="103"/>
      <c r="F13" s="103"/>
      <c r="G13" s="104"/>
      <c r="H13" s="1"/>
      <c r="I13" s="1"/>
    </row>
    <row r="14" spans="1:9" x14ac:dyDescent="0.25">
      <c r="A14" s="1"/>
      <c r="B14" s="1"/>
      <c r="C14" s="6" t="s">
        <v>16</v>
      </c>
      <c r="D14" s="102" t="s">
        <v>234</v>
      </c>
      <c r="E14" s="103"/>
      <c r="F14" s="103"/>
      <c r="G14" s="104"/>
      <c r="H14" s="1"/>
      <c r="I14" s="1"/>
    </row>
    <row r="15" spans="1:9" x14ac:dyDescent="0.25">
      <c r="A15" s="1"/>
      <c r="B15" s="1"/>
      <c r="C15" s="6" t="s">
        <v>34</v>
      </c>
      <c r="D15" s="102" t="s">
        <v>135</v>
      </c>
      <c r="E15" s="103"/>
      <c r="F15" s="103"/>
      <c r="G15" s="104"/>
      <c r="H15" s="1"/>
      <c r="I15" s="1"/>
    </row>
    <row r="16" spans="1:9" x14ac:dyDescent="0.25">
      <c r="A16" s="1"/>
      <c r="B16" s="1"/>
      <c r="C16" s="6" t="s">
        <v>35</v>
      </c>
      <c r="D16" s="102" t="s">
        <v>190</v>
      </c>
      <c r="E16" s="103"/>
      <c r="F16" s="103"/>
      <c r="G16" s="104"/>
      <c r="H16" s="1"/>
      <c r="I16" s="1"/>
    </row>
    <row r="17" spans="1:9" x14ac:dyDescent="0.25">
      <c r="A17" s="1"/>
      <c r="B17" s="1"/>
      <c r="C17" s="6" t="s">
        <v>109</v>
      </c>
      <c r="D17" s="102" t="s">
        <v>191</v>
      </c>
      <c r="E17" s="103"/>
      <c r="F17" s="103"/>
      <c r="G17" s="104"/>
      <c r="H17" s="1"/>
      <c r="I17" s="1"/>
    </row>
    <row r="18" spans="1:9" x14ac:dyDescent="0.25">
      <c r="A18" s="1"/>
      <c r="B18" s="1"/>
      <c r="C18" s="6" t="s">
        <v>94</v>
      </c>
      <c r="D18" s="105" t="s">
        <v>83</v>
      </c>
      <c r="E18" s="106"/>
      <c r="F18" s="106"/>
      <c r="G18" s="107"/>
      <c r="H18" s="1"/>
      <c r="I18" s="1"/>
    </row>
    <row r="19" spans="1:9" x14ac:dyDescent="0.25">
      <c r="A19" s="1"/>
      <c r="B19" s="1"/>
      <c r="C19" s="6" t="s">
        <v>95</v>
      </c>
      <c r="D19" s="105" t="s">
        <v>84</v>
      </c>
      <c r="E19" s="106"/>
      <c r="F19" s="106"/>
      <c r="G19" s="107"/>
      <c r="H19" s="1"/>
      <c r="I19" s="1"/>
    </row>
    <row r="20" spans="1:9" x14ac:dyDescent="0.25">
      <c r="A20" s="1"/>
      <c r="B20" s="1"/>
      <c r="C20" s="6" t="s">
        <v>7</v>
      </c>
      <c r="D20" s="105" t="s">
        <v>10</v>
      </c>
      <c r="E20" s="106"/>
      <c r="F20" s="106"/>
      <c r="G20" s="107"/>
      <c r="H20" s="1"/>
      <c r="I20" s="1"/>
    </row>
    <row r="21" spans="1:9" x14ac:dyDescent="0.25">
      <c r="A21" s="1"/>
      <c r="B21" s="1"/>
      <c r="C21" s="6" t="s">
        <v>96</v>
      </c>
      <c r="D21" s="111" t="s">
        <v>12</v>
      </c>
      <c r="E21" s="112"/>
      <c r="F21" s="112"/>
      <c r="G21" s="113"/>
      <c r="H21" s="1"/>
      <c r="I21" s="1"/>
    </row>
    <row r="22" spans="1:9" x14ac:dyDescent="0.25">
      <c r="A22" s="1"/>
      <c r="B22" s="1"/>
      <c r="C22" s="6" t="s">
        <v>71</v>
      </c>
      <c r="D22" s="97" t="s">
        <v>192</v>
      </c>
      <c r="E22" s="98"/>
      <c r="F22" s="98"/>
      <c r="G22" s="99"/>
      <c r="H22" s="1"/>
      <c r="I22" s="1"/>
    </row>
    <row r="23" spans="1:9" x14ac:dyDescent="0.25">
      <c r="A23" s="1"/>
      <c r="B23" s="1"/>
      <c r="C23" s="6" t="s">
        <v>8</v>
      </c>
      <c r="D23" s="97" t="s">
        <v>250</v>
      </c>
      <c r="E23" s="98"/>
      <c r="F23" s="98"/>
      <c r="G23" s="99"/>
      <c r="H23" s="1"/>
      <c r="I23" s="1"/>
    </row>
    <row r="24" spans="1:9" x14ac:dyDescent="0.25">
      <c r="A24" s="1"/>
      <c r="B24" s="1"/>
      <c r="C24" s="6" t="s">
        <v>9</v>
      </c>
      <c r="D24" s="97" t="s">
        <v>193</v>
      </c>
      <c r="E24" s="98"/>
      <c r="F24" s="98"/>
      <c r="G24" s="99"/>
      <c r="H24" s="1"/>
      <c r="I24" s="1"/>
    </row>
    <row r="25" spans="1:9" x14ac:dyDescent="0.25">
      <c r="A25" s="1"/>
      <c r="B25" s="1"/>
      <c r="C25" s="6" t="s">
        <v>263</v>
      </c>
      <c r="D25" s="97" t="s">
        <v>245</v>
      </c>
      <c r="E25" s="98"/>
      <c r="F25" s="98"/>
      <c r="G25" s="99"/>
      <c r="H25" s="1"/>
      <c r="I25" s="1"/>
    </row>
    <row r="26" spans="1:9" x14ac:dyDescent="0.25">
      <c r="A26" s="1"/>
      <c r="B26" s="1"/>
      <c r="C26" s="6" t="s">
        <v>264</v>
      </c>
      <c r="D26" s="97" t="s">
        <v>72</v>
      </c>
      <c r="E26" s="98"/>
      <c r="F26" s="98"/>
      <c r="G26" s="99"/>
      <c r="H26" s="1"/>
      <c r="I26" s="1"/>
    </row>
    <row r="27" spans="1:9" x14ac:dyDescent="0.25">
      <c r="A27" s="1"/>
      <c r="B27" s="1"/>
      <c r="C27" s="6" t="s">
        <v>265</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37</v>
      </c>
      <c r="D29" s="97" t="s">
        <v>112</v>
      </c>
      <c r="E29" s="98"/>
      <c r="F29" s="98"/>
      <c r="G29" s="99"/>
      <c r="H29" s="1"/>
      <c r="I29" s="1"/>
    </row>
    <row r="30" spans="1:9" x14ac:dyDescent="0.25">
      <c r="A30" s="1"/>
      <c r="B30" s="1"/>
      <c r="C30" s="6" t="s">
        <v>38</v>
      </c>
      <c r="D30" s="97" t="s">
        <v>36</v>
      </c>
      <c r="E30" s="98"/>
      <c r="F30" s="98"/>
      <c r="G30" s="99"/>
      <c r="H30" s="1"/>
      <c r="I30" s="1"/>
    </row>
    <row r="31" spans="1:9" x14ac:dyDescent="0.25">
      <c r="A31" s="1"/>
      <c r="B31" s="1"/>
      <c r="C31" s="6" t="s">
        <v>266</v>
      </c>
      <c r="D31" s="108" t="s">
        <v>92</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hA/uEqOU80P4SEaTaVpHVGpReVDqot+GdOVfgHMUHeR9BS5cgLmh4igjxIg0oEZY/ikdIbtR4gWkrpuHJkX/g==" saltValue="bmWfk0Kiuaaf6McD0N8XoQ=="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97</v>
      </c>
      <c r="C3" s="114"/>
      <c r="D3" s="114"/>
      <c r="E3" s="1"/>
      <c r="F3" s="1"/>
    </row>
    <row r="4" spans="1:6" ht="15" customHeight="1" x14ac:dyDescent="0.25">
      <c r="A4" s="1"/>
      <c r="B4" s="114"/>
      <c r="C4" s="114"/>
      <c r="D4" s="11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47" t="s">
        <v>209</v>
      </c>
      <c r="C8" s="148"/>
      <c r="D8" s="150"/>
      <c r="E8" s="1"/>
      <c r="F8" s="1"/>
    </row>
    <row r="9" spans="1:6" ht="15" customHeight="1" x14ac:dyDescent="0.25">
      <c r="A9" s="1"/>
      <c r="B9" s="35" t="s">
        <v>32</v>
      </c>
      <c r="C9" s="11" t="s">
        <v>246</v>
      </c>
      <c r="D9" s="11"/>
      <c r="E9" s="1"/>
      <c r="F9" s="1"/>
    </row>
    <row r="10" spans="1:6" ht="15" customHeight="1" x14ac:dyDescent="0.25">
      <c r="A10" s="1"/>
      <c r="B10" s="88" t="s">
        <v>276</v>
      </c>
      <c r="C10" s="9">
        <v>128485</v>
      </c>
      <c r="D10" s="14" t="s">
        <v>3</v>
      </c>
      <c r="E10" s="1"/>
      <c r="F10" s="1"/>
    </row>
    <row r="11" spans="1:6" x14ac:dyDescent="0.25">
      <c r="A11" s="1"/>
      <c r="B11" s="88" t="s">
        <v>277</v>
      </c>
      <c r="C11" s="9">
        <v>47664060</v>
      </c>
      <c r="D11" s="14" t="s">
        <v>3</v>
      </c>
      <c r="E11" s="1"/>
      <c r="F11" s="1"/>
    </row>
    <row r="12" spans="1:6" x14ac:dyDescent="0.25">
      <c r="A12" s="1"/>
      <c r="B12" s="88" t="s">
        <v>278</v>
      </c>
      <c r="C12" s="9">
        <v>148259</v>
      </c>
      <c r="D12" s="14" t="s">
        <v>3</v>
      </c>
      <c r="E12" s="1"/>
      <c r="F12" s="1"/>
    </row>
    <row r="13" spans="1:6" x14ac:dyDescent="0.25">
      <c r="A13" s="1"/>
      <c r="B13" s="88" t="s">
        <v>279</v>
      </c>
      <c r="C13" s="9">
        <v>732901.14</v>
      </c>
      <c r="D13" s="14" t="s">
        <v>3</v>
      </c>
      <c r="E13" s="1"/>
      <c r="F13" s="1"/>
    </row>
    <row r="14" spans="1:6" x14ac:dyDescent="0.25">
      <c r="A14" s="1"/>
      <c r="B14" s="32" t="s">
        <v>210</v>
      </c>
      <c r="C14" s="12">
        <f>SUM(C10:C13)</f>
        <v>48673705.140000001</v>
      </c>
      <c r="D14" s="13" t="s">
        <v>3</v>
      </c>
      <c r="E14" s="1"/>
      <c r="F14" s="1"/>
    </row>
    <row r="15" spans="1:6" x14ac:dyDescent="0.25">
      <c r="A15" s="1"/>
      <c r="B15" s="32" t="s">
        <v>211</v>
      </c>
      <c r="C15" s="12">
        <f>C14*(1+'Fane 15. Nøgletal'!C15)^2</f>
        <v>52200960.052914232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47" t="s">
        <v>105</v>
      </c>
      <c r="C18" s="148"/>
      <c r="D18" s="150"/>
      <c r="E18" s="1"/>
      <c r="F18" s="1"/>
    </row>
    <row r="19" spans="1:6" x14ac:dyDescent="0.25">
      <c r="A19" s="1"/>
      <c r="B19" s="88" t="s">
        <v>267</v>
      </c>
      <c r="C19" s="9">
        <v>1228253</v>
      </c>
      <c r="D19" s="14" t="s">
        <v>3</v>
      </c>
      <c r="E19" s="1"/>
      <c r="F19" s="1"/>
    </row>
    <row r="20" spans="1:6" x14ac:dyDescent="0.25">
      <c r="A20" s="1"/>
      <c r="B20" s="88" t="s">
        <v>268</v>
      </c>
      <c r="C20" s="9">
        <v>159201</v>
      </c>
      <c r="D20" s="14" t="s">
        <v>3</v>
      </c>
      <c r="E20" s="1"/>
      <c r="F20" s="1"/>
    </row>
    <row r="21" spans="1:6" x14ac:dyDescent="0.25">
      <c r="A21" s="1"/>
      <c r="B21" s="88" t="s">
        <v>269</v>
      </c>
      <c r="C21" s="9">
        <v>162383</v>
      </c>
      <c r="D21" s="14" t="s">
        <v>3</v>
      </c>
      <c r="E21" s="1"/>
      <c r="F21" s="1"/>
    </row>
    <row r="22" spans="1:6" x14ac:dyDescent="0.25">
      <c r="A22" s="1"/>
      <c r="B22" s="28" t="s">
        <v>270</v>
      </c>
      <c r="C22" s="9">
        <v>165632</v>
      </c>
      <c r="D22" s="14" t="s">
        <v>3</v>
      </c>
      <c r="E22" s="1"/>
      <c r="F22" s="1"/>
    </row>
    <row r="23" spans="1:6" x14ac:dyDescent="0.25">
      <c r="A23" s="1"/>
      <c r="B23" s="147"/>
      <c r="C23" s="148"/>
      <c r="D23" s="150"/>
      <c r="E23" s="1"/>
      <c r="F23" s="1"/>
    </row>
    <row r="24" spans="1:6" x14ac:dyDescent="0.25">
      <c r="A24" s="1"/>
      <c r="B24" s="1"/>
      <c r="C24" s="1"/>
      <c r="D24" s="1"/>
      <c r="E24" s="1"/>
      <c r="F24" s="1"/>
    </row>
    <row r="25" spans="1:6" x14ac:dyDescent="0.25">
      <c r="A25" s="1"/>
      <c r="B25" s="1"/>
      <c r="C25" s="1"/>
      <c r="D25" s="1"/>
      <c r="E25" s="1"/>
      <c r="F25" s="1"/>
    </row>
    <row r="26" spans="1:6" x14ac:dyDescent="0.25">
      <c r="A26" s="1"/>
      <c r="B26" s="147" t="s">
        <v>86</v>
      </c>
      <c r="C26" s="148"/>
      <c r="D26" s="150"/>
      <c r="E26" s="1"/>
      <c r="F26" s="1"/>
    </row>
    <row r="27" spans="1:6" x14ac:dyDescent="0.25">
      <c r="A27" s="1"/>
      <c r="B27" s="88" t="s">
        <v>267</v>
      </c>
      <c r="C27" s="9">
        <v>0</v>
      </c>
      <c r="D27" s="14" t="s">
        <v>3</v>
      </c>
      <c r="E27" s="1"/>
      <c r="F27" s="1"/>
    </row>
    <row r="28" spans="1:6" x14ac:dyDescent="0.25">
      <c r="A28" s="1"/>
      <c r="B28" s="88" t="s">
        <v>268</v>
      </c>
      <c r="C28" s="9">
        <v>0</v>
      </c>
      <c r="D28" s="14" t="s">
        <v>3</v>
      </c>
      <c r="E28" s="1"/>
      <c r="F28" s="1"/>
    </row>
    <row r="29" spans="1:6" x14ac:dyDescent="0.25">
      <c r="A29" s="1"/>
      <c r="B29" s="88" t="s">
        <v>269</v>
      </c>
      <c r="C29" s="9">
        <v>0</v>
      </c>
      <c r="D29" s="14" t="s">
        <v>3</v>
      </c>
      <c r="E29" s="1"/>
      <c r="F29" s="1"/>
    </row>
    <row r="30" spans="1:6" x14ac:dyDescent="0.25">
      <c r="A30" s="1"/>
      <c r="B30" s="28" t="s">
        <v>270</v>
      </c>
      <c r="C30" s="9">
        <v>0</v>
      </c>
      <c r="D30" s="14" t="s">
        <v>3</v>
      </c>
      <c r="E30" s="1"/>
      <c r="F30" s="1"/>
    </row>
    <row r="31" spans="1:6" x14ac:dyDescent="0.25">
      <c r="A31" s="1"/>
      <c r="B31" s="147"/>
      <c r="C31" s="148"/>
      <c r="D31" s="150"/>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kfG9aAOBGDv8R27vOBjc2f+DZa0OEpSmck2sQeVt/WLUBmYK5HbUxivsvb9pI2lafZlUG2GqbMwJcFWBZQ72Mw==" saltValue="FZUY26mayM+YzBW5m6pe0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9" t="s">
        <v>212</v>
      </c>
      <c r="C3" s="119"/>
      <c r="D3" s="119"/>
      <c r="E3" s="119"/>
      <c r="F3" s="119"/>
      <c r="G3" s="1"/>
    </row>
    <row r="4" spans="1:7" ht="15" customHeight="1" x14ac:dyDescent="0.25">
      <c r="A4" s="1"/>
      <c r="B4" s="119"/>
      <c r="C4" s="119"/>
      <c r="D4" s="119"/>
      <c r="E4" s="119"/>
      <c r="F4" s="119"/>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3.5" customHeight="1" x14ac:dyDescent="0.25">
      <c r="A7" s="1"/>
      <c r="B7" s="1"/>
      <c r="C7" s="1"/>
      <c r="D7" s="1"/>
      <c r="E7" s="1"/>
      <c r="F7" s="1"/>
      <c r="G7" s="1"/>
    </row>
    <row r="8" spans="1:7" x14ac:dyDescent="0.25">
      <c r="A8" s="1"/>
      <c r="B8" s="147" t="s">
        <v>183</v>
      </c>
      <c r="C8" s="148"/>
      <c r="D8" s="148"/>
      <c r="E8" s="148"/>
      <c r="F8" s="150"/>
      <c r="G8" s="1"/>
    </row>
    <row r="9" spans="1:7" x14ac:dyDescent="0.25">
      <c r="A9" s="1"/>
      <c r="B9" s="141" t="s">
        <v>184</v>
      </c>
      <c r="C9" s="142"/>
      <c r="D9" s="143"/>
      <c r="E9" s="9">
        <v>39673171.067545384</v>
      </c>
      <c r="F9" s="14" t="s">
        <v>3</v>
      </c>
      <c r="G9" s="1"/>
    </row>
    <row r="10" spans="1:7" x14ac:dyDescent="0.25">
      <c r="A10" s="1"/>
      <c r="B10" s="141" t="s">
        <v>185</v>
      </c>
      <c r="C10" s="142"/>
      <c r="D10" s="143"/>
      <c r="E10" s="9">
        <v>8334572</v>
      </c>
      <c r="F10" s="14" t="s">
        <v>3</v>
      </c>
      <c r="G10" s="1"/>
    </row>
    <row r="11" spans="1:7" x14ac:dyDescent="0.25">
      <c r="A11" s="1"/>
      <c r="B11" s="141" t="s">
        <v>213</v>
      </c>
      <c r="C11" s="142"/>
      <c r="D11" s="143"/>
      <c r="E11" s="9">
        <v>14327495.726364553</v>
      </c>
      <c r="F11" s="14" t="s">
        <v>3</v>
      </c>
      <c r="G11" s="1"/>
    </row>
    <row r="12" spans="1:7" x14ac:dyDescent="0.25">
      <c r="A12" s="1"/>
      <c r="B12" s="141" t="s">
        <v>271</v>
      </c>
      <c r="C12" s="142"/>
      <c r="D12" s="143"/>
      <c r="E12" s="9">
        <v>62335238.793909937</v>
      </c>
      <c r="F12" s="14" t="s">
        <v>3</v>
      </c>
      <c r="G12" s="1"/>
    </row>
    <row r="13" spans="1:7" x14ac:dyDescent="0.25">
      <c r="A13" s="1"/>
      <c r="B13" s="32"/>
      <c r="C13" s="33"/>
      <c r="D13" s="33"/>
      <c r="E13" s="33"/>
      <c r="F13" s="20"/>
      <c r="G13" s="1"/>
    </row>
    <row r="14" spans="1:7" ht="75.75" customHeight="1" x14ac:dyDescent="0.25">
      <c r="A14" s="1"/>
      <c r="B14" s="129" t="s">
        <v>294</v>
      </c>
      <c r="C14" s="130"/>
      <c r="D14" s="130"/>
      <c r="E14" s="130"/>
      <c r="F14" s="131"/>
      <c r="G14" s="1"/>
    </row>
    <row r="15" spans="1:7" ht="24" customHeight="1" x14ac:dyDescent="0.25">
      <c r="A15" s="1"/>
      <c r="B15" s="1"/>
      <c r="C15" s="1"/>
      <c r="D15" s="1"/>
      <c r="E15" s="1"/>
      <c r="F15" s="1"/>
      <c r="G15" s="1"/>
    </row>
    <row r="16" spans="1:7" ht="28.5" customHeight="1" x14ac:dyDescent="0.25">
      <c r="A16" s="1"/>
      <c r="B16" s="147" t="s">
        <v>186</v>
      </c>
      <c r="C16" s="148"/>
      <c r="D16" s="148"/>
      <c r="E16" s="148"/>
      <c r="F16" s="150"/>
      <c r="G16" s="1"/>
    </row>
    <row r="17" spans="1:7" x14ac:dyDescent="0.25">
      <c r="A17" s="1"/>
      <c r="B17" s="141" t="s">
        <v>272</v>
      </c>
      <c r="C17" s="142"/>
      <c r="D17" s="143"/>
      <c r="E17" s="9">
        <v>0</v>
      </c>
      <c r="F17" s="14" t="s">
        <v>3</v>
      </c>
      <c r="G17" s="1"/>
    </row>
    <row r="18" spans="1:7" x14ac:dyDescent="0.25">
      <c r="A18" s="1"/>
      <c r="B18" s="141" t="s">
        <v>187</v>
      </c>
      <c r="C18" s="142"/>
      <c r="D18" s="143"/>
      <c r="E18" s="9">
        <v>0</v>
      </c>
      <c r="F18" s="14" t="s">
        <v>3</v>
      </c>
      <c r="G18" s="1"/>
    </row>
    <row r="19" spans="1:7" x14ac:dyDescent="0.25">
      <c r="A19" s="1"/>
      <c r="B19" s="32"/>
      <c r="C19" s="33"/>
      <c r="D19" s="33"/>
      <c r="E19" s="33"/>
      <c r="F19" s="20"/>
      <c r="G19" s="1"/>
    </row>
    <row r="20" spans="1:7" ht="31.5" customHeight="1" x14ac:dyDescent="0.25">
      <c r="A20" s="1"/>
      <c r="B20" s="129" t="s">
        <v>295</v>
      </c>
      <c r="C20" s="130"/>
      <c r="D20" s="130"/>
      <c r="E20" s="130"/>
      <c r="F20" s="131"/>
      <c r="G20" s="1"/>
    </row>
    <row r="21" spans="1:7" ht="26.25" customHeight="1" x14ac:dyDescent="0.25">
      <c r="A21" s="1"/>
      <c r="B21" s="1"/>
      <c r="C21" s="1"/>
      <c r="D21" s="1"/>
      <c r="E21" s="1"/>
      <c r="F21" s="1"/>
      <c r="G21" s="1"/>
    </row>
    <row r="22" spans="1:7" ht="28.5" customHeight="1" x14ac:dyDescent="0.25">
      <c r="A22" s="1"/>
      <c r="B22" s="85" t="s">
        <v>214</v>
      </c>
      <c r="C22" s="86"/>
      <c r="D22" s="86"/>
      <c r="E22" s="86"/>
      <c r="F22" s="87"/>
      <c r="G22" s="1"/>
    </row>
    <row r="23" spans="1:7" x14ac:dyDescent="0.25">
      <c r="A23" s="1"/>
      <c r="B23" s="82" t="s">
        <v>215</v>
      </c>
      <c r="C23" s="83"/>
      <c r="D23" s="84"/>
      <c r="E23" s="9">
        <v>144890897.05979988</v>
      </c>
      <c r="F23" s="14" t="s">
        <v>3</v>
      </c>
      <c r="G23" s="1"/>
    </row>
    <row r="24" spans="1:7" x14ac:dyDescent="0.25">
      <c r="A24" s="1"/>
      <c r="B24" s="82" t="s">
        <v>216</v>
      </c>
      <c r="C24" s="83"/>
      <c r="D24" s="84"/>
      <c r="E24" s="9">
        <v>143076914</v>
      </c>
      <c r="F24" s="14" t="s">
        <v>3</v>
      </c>
      <c r="G24" s="1"/>
    </row>
    <row r="25" spans="1:7" x14ac:dyDescent="0.25">
      <c r="A25" s="1"/>
      <c r="B25" s="82" t="s">
        <v>33</v>
      </c>
      <c r="C25" s="83"/>
      <c r="D25" s="84"/>
      <c r="E25" s="9">
        <v>0</v>
      </c>
      <c r="F25" s="14" t="s">
        <v>3</v>
      </c>
      <c r="G25" s="1"/>
    </row>
    <row r="26" spans="1:7" x14ac:dyDescent="0.25">
      <c r="A26" s="1"/>
      <c r="B26" s="79" t="s">
        <v>217</v>
      </c>
      <c r="C26" s="80"/>
      <c r="D26" s="81"/>
      <c r="E26" s="59">
        <f>E23-(E24-E25)</f>
        <v>1813983.0597998798</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47" t="s">
        <v>273</v>
      </c>
      <c r="C29" s="148"/>
      <c r="D29" s="148"/>
      <c r="E29" s="148"/>
      <c r="F29" s="150"/>
      <c r="G29" s="1"/>
    </row>
    <row r="30" spans="1:7" x14ac:dyDescent="0.25">
      <c r="A30" s="1"/>
      <c r="B30" s="138" t="s">
        <v>274</v>
      </c>
      <c r="C30" s="139"/>
      <c r="D30" s="140"/>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47"/>
      <c r="C31" s="148"/>
      <c r="D31" s="148"/>
      <c r="E31" s="148"/>
      <c r="F31" s="150"/>
      <c r="G31" s="1"/>
    </row>
    <row r="32" spans="1:7" x14ac:dyDescent="0.25">
      <c r="A32" s="1"/>
      <c r="B32" s="1"/>
      <c r="C32" s="1"/>
      <c r="D32" s="1"/>
      <c r="E32" s="1"/>
      <c r="F32" s="1"/>
      <c r="G32" s="1"/>
    </row>
    <row r="33" spans="1:7" ht="28.5" customHeight="1" x14ac:dyDescent="0.25">
      <c r="A33" s="1"/>
      <c r="B33" s="147" t="s">
        <v>275</v>
      </c>
      <c r="C33" s="148"/>
      <c r="D33" s="148"/>
      <c r="E33" s="148"/>
      <c r="F33" s="150"/>
      <c r="G33" s="1"/>
    </row>
    <row r="34" spans="1:7" x14ac:dyDescent="0.25">
      <c r="A34" s="1"/>
      <c r="B34" s="161" t="s">
        <v>131</v>
      </c>
      <c r="C34" s="162"/>
      <c r="D34" s="163"/>
      <c r="E34" s="9">
        <f>IF(AND(SUM(E9:E11)&gt;0,SUM(E9:E11,E26)&gt;0),0,IF(AND(SUM(E9:E11)&gt;0,SUM(E9:E11,E26)&lt;0),SUM(E9:E11,E26),IF(AND(SUM(E9:E11)&lt;0,E26&lt;0),E26,0)))</f>
        <v>0</v>
      </c>
      <c r="F34" s="14" t="s">
        <v>3</v>
      </c>
      <c r="G34" s="1"/>
    </row>
    <row r="35" spans="1:7" x14ac:dyDescent="0.25">
      <c r="A35" s="1"/>
      <c r="B35" s="161" t="s">
        <v>89</v>
      </c>
      <c r="C35" s="162"/>
      <c r="D35" s="163"/>
      <c r="E35" s="9">
        <v>4</v>
      </c>
      <c r="F35" s="14" t="s">
        <v>20</v>
      </c>
      <c r="G35" s="1"/>
    </row>
    <row r="36" spans="1:7" x14ac:dyDescent="0.25">
      <c r="A36" s="1"/>
      <c r="B36" s="164" t="s">
        <v>133</v>
      </c>
      <c r="C36" s="164"/>
      <c r="D36" s="164"/>
      <c r="E36" s="10">
        <f>E34/E35</f>
        <v>0</v>
      </c>
      <c r="F36" s="17" t="s">
        <v>3</v>
      </c>
      <c r="G36" s="1"/>
    </row>
    <row r="37" spans="1:7" x14ac:dyDescent="0.25">
      <c r="A37" s="1"/>
      <c r="B37" s="165"/>
      <c r="C37" s="166"/>
      <c r="D37" s="166"/>
      <c r="E37" s="166"/>
      <c r="F37" s="167"/>
      <c r="G37" s="1"/>
    </row>
    <row r="38" spans="1:7" x14ac:dyDescent="0.25">
      <c r="A38" s="1"/>
      <c r="B38" s="1"/>
      <c r="C38" s="1"/>
      <c r="D38" s="1"/>
      <c r="E38" s="1"/>
      <c r="F38" s="1"/>
      <c r="G38" s="1"/>
    </row>
    <row r="39" spans="1:7" x14ac:dyDescent="0.25">
      <c r="A39" s="1"/>
      <c r="B39" s="1"/>
      <c r="C39" s="1"/>
      <c r="D39" s="1"/>
      <c r="E39" s="1"/>
      <c r="F39" s="1"/>
      <c r="G39" s="1"/>
    </row>
    <row r="40" spans="1:7" x14ac:dyDescent="0.25">
      <c r="B40" s="43"/>
      <c r="C40" s="43"/>
      <c r="D40" s="43"/>
      <c r="E40" s="43"/>
      <c r="F40" s="43"/>
    </row>
    <row r="41" spans="1:7" x14ac:dyDescent="0.25">
      <c r="A41" s="43"/>
      <c r="B41" s="43"/>
      <c r="C41" s="43"/>
      <c r="D41" s="43"/>
      <c r="E41" s="43"/>
      <c r="F41" s="43"/>
      <c r="G41" s="43"/>
    </row>
  </sheetData>
  <sheetProtection algorithmName="SHA-512" hashValue="x/W3HhKp5d9oB6P3Pp1kKVaL1ujSfe4VIx095nhRSsr/k+RK8lX3RK25lXp2IWijN31U3LHpoJSZj5Af+NtsiQ==" saltValue="l+4E115SCzOUXtKeHQD6XQ=="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ignoredErrors>
    <ignoredError sqref="E3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5" customWidth="1"/>
    <col min="2" max="2" width="22.5703125" style="55" customWidth="1"/>
    <col min="3" max="3" width="8.28515625" style="55" customWidth="1"/>
    <col min="4" max="6" width="10.7109375" style="55" customWidth="1"/>
    <col min="7" max="7" width="11.140625" style="55" customWidth="1"/>
    <col min="8" max="8" width="3.28515625" style="55" customWidth="1"/>
    <col min="9" max="9" width="4.85546875" style="55" customWidth="1"/>
    <col min="10" max="16384" width="9.140625" style="5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4" t="s">
        <v>251</v>
      </c>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47" t="s">
        <v>252</v>
      </c>
      <c r="C8" s="148"/>
      <c r="D8" s="148"/>
      <c r="E8" s="148"/>
      <c r="F8" s="148"/>
      <c r="G8" s="148"/>
      <c r="H8" s="150"/>
      <c r="I8" s="1"/>
    </row>
    <row r="9" spans="1:9" ht="15" customHeight="1" x14ac:dyDescent="0.25">
      <c r="A9" s="1"/>
      <c r="B9" s="132" t="s">
        <v>253</v>
      </c>
      <c r="C9" s="133"/>
      <c r="D9" s="133"/>
      <c r="E9" s="133"/>
      <c r="F9" s="133"/>
      <c r="G9" s="133"/>
      <c r="H9" s="134"/>
      <c r="I9" s="1"/>
    </row>
    <row r="10" spans="1:9" x14ac:dyDescent="0.25">
      <c r="A10" s="1"/>
      <c r="B10" s="168" t="s">
        <v>281</v>
      </c>
      <c r="C10" s="169"/>
      <c r="D10" s="169"/>
      <c r="E10" s="169"/>
      <c r="F10" s="170"/>
      <c r="G10" s="44">
        <v>0</v>
      </c>
      <c r="H10" s="9" t="s">
        <v>3</v>
      </c>
      <c r="I10" s="1"/>
    </row>
    <row r="11" spans="1:9" x14ac:dyDescent="0.25">
      <c r="A11" s="1"/>
      <c r="B11" s="168" t="s">
        <v>282</v>
      </c>
      <c r="C11" s="169"/>
      <c r="D11" s="169"/>
      <c r="E11" s="169"/>
      <c r="F11" s="170"/>
      <c r="G11" s="44">
        <v>0</v>
      </c>
      <c r="H11" s="9" t="s">
        <v>3</v>
      </c>
      <c r="I11" s="1"/>
    </row>
    <row r="12" spans="1:9" x14ac:dyDescent="0.25">
      <c r="A12" s="1"/>
      <c r="B12" s="168" t="s">
        <v>283</v>
      </c>
      <c r="C12" s="169"/>
      <c r="D12" s="169"/>
      <c r="E12" s="169"/>
      <c r="F12" s="170"/>
      <c r="G12" s="9">
        <v>0</v>
      </c>
      <c r="H12" s="9" t="s">
        <v>3</v>
      </c>
      <c r="I12" s="1"/>
    </row>
    <row r="13" spans="1:9" x14ac:dyDescent="0.25">
      <c r="A13" s="1"/>
      <c r="B13" s="168" t="s">
        <v>284</v>
      </c>
      <c r="C13" s="169"/>
      <c r="D13" s="169"/>
      <c r="E13" s="169"/>
      <c r="F13" s="170"/>
      <c r="G13" s="9">
        <v>0</v>
      </c>
      <c r="H13" s="9" t="s">
        <v>3</v>
      </c>
      <c r="I13" s="1"/>
    </row>
    <row r="14" spans="1:9" x14ac:dyDescent="0.25">
      <c r="A14" s="1"/>
      <c r="B14" s="168" t="s">
        <v>285</v>
      </c>
      <c r="C14" s="169"/>
      <c r="D14" s="169"/>
      <c r="E14" s="169"/>
      <c r="F14" s="170"/>
      <c r="G14" s="9">
        <v>0</v>
      </c>
      <c r="H14" s="9" t="s">
        <v>3</v>
      </c>
      <c r="I14" s="1"/>
    </row>
    <row r="15" spans="1:9" x14ac:dyDescent="0.25">
      <c r="A15" s="1"/>
      <c r="B15" s="168" t="s">
        <v>286</v>
      </c>
      <c r="C15" s="169"/>
      <c r="D15" s="169"/>
      <c r="E15" s="169"/>
      <c r="F15" s="170"/>
      <c r="G15" s="9">
        <v>0</v>
      </c>
      <c r="H15" s="9" t="s">
        <v>3</v>
      </c>
      <c r="I15" s="1"/>
    </row>
    <row r="16" spans="1:9" x14ac:dyDescent="0.25">
      <c r="A16" s="1"/>
      <c r="B16" s="168" t="s">
        <v>287</v>
      </c>
      <c r="C16" s="169"/>
      <c r="D16" s="169"/>
      <c r="E16" s="169"/>
      <c r="F16" s="170"/>
      <c r="G16" s="9">
        <v>0</v>
      </c>
      <c r="H16" s="9" t="s">
        <v>3</v>
      </c>
      <c r="I16" s="1"/>
    </row>
    <row r="17" spans="1:9" x14ac:dyDescent="0.25">
      <c r="A17" s="1"/>
      <c r="B17" s="168" t="s">
        <v>288</v>
      </c>
      <c r="C17" s="169"/>
      <c r="D17" s="169"/>
      <c r="E17" s="169"/>
      <c r="F17" s="170"/>
      <c r="G17" s="9">
        <v>0</v>
      </c>
      <c r="H17" s="9" t="s">
        <v>3</v>
      </c>
      <c r="I17" s="1"/>
    </row>
    <row r="18" spans="1:9" x14ac:dyDescent="0.25">
      <c r="A18" s="1"/>
      <c r="B18" s="147" t="s">
        <v>254</v>
      </c>
      <c r="C18" s="148"/>
      <c r="D18" s="148"/>
      <c r="E18" s="148"/>
      <c r="F18" s="15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3Td9UexTYe11GQ796N7Q7pmqSaF+bRIFhO39ItuFsONrnNILslD7Rj+1YNoMVKuYdPkEasF8iQd6TTKnZGo9wQ==" saltValue="C5Iz28VwUsUnL52+fbXAs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9" t="s">
        <v>255</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1" t="s">
        <v>218</v>
      </c>
      <c r="C9" s="171"/>
      <c r="D9" s="171"/>
      <c r="E9" s="171"/>
      <c r="F9" s="171"/>
      <c r="G9" s="1"/>
    </row>
    <row r="10" spans="1:7" x14ac:dyDescent="0.25">
      <c r="A10" s="1"/>
      <c r="B10" s="129" t="s">
        <v>87</v>
      </c>
      <c r="C10" s="130"/>
      <c r="D10" s="131"/>
      <c r="E10" s="7">
        <v>0</v>
      </c>
      <c r="F10" s="8" t="s">
        <v>3</v>
      </c>
      <c r="G10" s="1"/>
    </row>
    <row r="11" spans="1:7" x14ac:dyDescent="0.25">
      <c r="A11" s="1"/>
      <c r="B11" s="141" t="s">
        <v>219</v>
      </c>
      <c r="C11" s="142"/>
      <c r="D11" s="143"/>
      <c r="E11" s="7">
        <v>0</v>
      </c>
      <c r="F11" s="8" t="s">
        <v>3</v>
      </c>
      <c r="G11" s="1"/>
    </row>
    <row r="12" spans="1:7" x14ac:dyDescent="0.25">
      <c r="A12" s="1"/>
      <c r="B12" s="138" t="s">
        <v>88</v>
      </c>
      <c r="C12" s="139"/>
      <c r="D12" s="140"/>
      <c r="E12" s="10">
        <f>E11-E10</f>
        <v>0</v>
      </c>
      <c r="F12" s="11" t="s">
        <v>3</v>
      </c>
      <c r="G12" s="1"/>
    </row>
    <row r="13" spans="1:7" x14ac:dyDescent="0.25">
      <c r="A13" s="1"/>
      <c r="B13" s="171" t="s">
        <v>82</v>
      </c>
      <c r="C13" s="171"/>
      <c r="D13" s="171"/>
      <c r="E13" s="171"/>
      <c r="F13" s="171"/>
      <c r="G13" s="1"/>
    </row>
    <row r="14" spans="1:7" x14ac:dyDescent="0.25">
      <c r="A14" s="1"/>
      <c r="B14" s="141" t="s">
        <v>220</v>
      </c>
      <c r="C14" s="142"/>
      <c r="D14" s="143"/>
      <c r="E14" s="9">
        <v>2081585</v>
      </c>
      <c r="F14" s="8" t="s">
        <v>3</v>
      </c>
      <c r="G14" s="1"/>
    </row>
    <row r="15" spans="1:7" x14ac:dyDescent="0.25">
      <c r="A15" s="1"/>
      <c r="B15" s="129" t="s">
        <v>221</v>
      </c>
      <c r="C15" s="130"/>
      <c r="D15" s="131"/>
      <c r="E15" s="9">
        <v>0</v>
      </c>
      <c r="F15" s="8" t="s">
        <v>3</v>
      </c>
      <c r="G15" s="1"/>
    </row>
    <row r="16" spans="1:7" x14ac:dyDescent="0.25">
      <c r="A16" s="1"/>
      <c r="B16" s="138" t="s">
        <v>88</v>
      </c>
      <c r="C16" s="139"/>
      <c r="D16" s="140"/>
      <c r="E16" s="10">
        <f>E15-E14</f>
        <v>-2081585</v>
      </c>
      <c r="F16" s="11" t="s">
        <v>3</v>
      </c>
      <c r="G16" s="1"/>
    </row>
    <row r="17" spans="1:7" ht="15" customHeight="1" x14ac:dyDescent="0.25">
      <c r="A17" s="1"/>
      <c r="B17" s="32" t="s">
        <v>222</v>
      </c>
      <c r="C17" s="33"/>
      <c r="D17" s="33"/>
      <c r="E17" s="12">
        <f>E12+E16</f>
        <v>-2081585</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dNCag8e7L22tz/hetnO5dOdRykurRzE2km0ELPIVi0/U3KT5Svak0GmSnhNcwSX1/ef5tXdZ5OkGNGyRN6mVw==" saltValue="mYuINriLotxf4j46Are0K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4" t="s">
        <v>256</v>
      </c>
      <c r="C3" s="114"/>
      <c r="D3" s="114"/>
      <c r="E3" s="114"/>
      <c r="F3" s="114"/>
      <c r="G3" s="114"/>
      <c r="H3" s="114"/>
      <c r="I3" s="114"/>
      <c r="J3" s="114"/>
      <c r="K3" s="114"/>
      <c r="L3" s="1"/>
    </row>
    <row r="4" spans="1:12" ht="15" customHeight="1" x14ac:dyDescent="0.25">
      <c r="A4" s="1"/>
      <c r="B4" s="114"/>
      <c r="C4" s="114"/>
      <c r="D4" s="114"/>
      <c r="E4" s="114"/>
      <c r="F4" s="114"/>
      <c r="G4" s="114"/>
      <c r="H4" s="114"/>
      <c r="I4" s="114"/>
      <c r="J4" s="114"/>
      <c r="K4" s="11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47" t="s">
        <v>229</v>
      </c>
      <c r="C8" s="148"/>
      <c r="D8" s="148"/>
      <c r="E8" s="148"/>
      <c r="F8" s="148"/>
      <c r="G8" s="148"/>
      <c r="H8" s="148"/>
      <c r="I8" s="148"/>
      <c r="J8" s="148"/>
      <c r="K8" s="150"/>
      <c r="L8" s="1"/>
    </row>
    <row r="9" spans="1:12" ht="39.75" customHeight="1" x14ac:dyDescent="0.25">
      <c r="A9" s="1"/>
      <c r="B9" s="19" t="s">
        <v>0</v>
      </c>
      <c r="C9" s="19" t="s">
        <v>1</v>
      </c>
      <c r="D9" s="172" t="s">
        <v>247</v>
      </c>
      <c r="E9" s="173"/>
      <c r="F9" s="172" t="s">
        <v>2</v>
      </c>
      <c r="G9" s="173"/>
      <c r="H9" s="172" t="s">
        <v>249</v>
      </c>
      <c r="I9" s="173"/>
      <c r="J9" s="172" t="s">
        <v>30</v>
      </c>
      <c r="K9" s="173"/>
      <c r="L9" s="1"/>
    </row>
    <row r="10" spans="1:12" x14ac:dyDescent="0.25">
      <c r="A10" s="1"/>
      <c r="B10" s="90" t="s">
        <v>289</v>
      </c>
      <c r="C10" s="38">
        <v>0</v>
      </c>
      <c r="D10" s="9">
        <v>0</v>
      </c>
      <c r="E10" s="14" t="s">
        <v>3</v>
      </c>
      <c r="F10" s="9">
        <f>IFERROR(D10/C10,0)</f>
        <v>0</v>
      </c>
      <c r="G10" s="14" t="s">
        <v>3</v>
      </c>
      <c r="H10" s="9">
        <v>0</v>
      </c>
      <c r="I10" s="14" t="s">
        <v>3</v>
      </c>
      <c r="J10" s="9">
        <v>0</v>
      </c>
      <c r="K10" s="14" t="s">
        <v>3</v>
      </c>
      <c r="L10" s="1"/>
    </row>
    <row r="11" spans="1:12" x14ac:dyDescent="0.25">
      <c r="A11" s="1"/>
      <c r="B11" s="147" t="s">
        <v>230</v>
      </c>
      <c r="C11" s="148"/>
      <c r="D11" s="148"/>
      <c r="E11" s="150"/>
      <c r="F11" s="12">
        <f>SUM(F10:F10)</f>
        <v>0</v>
      </c>
      <c r="G11" s="87" t="s">
        <v>248</v>
      </c>
      <c r="H11" s="12">
        <f>SUM(H10:H10)</f>
        <v>0</v>
      </c>
      <c r="I11" s="87" t="s">
        <v>248</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nQnsPnf5a5q9p1nIWvWjNcGwFZmYOLeCecHl6SLOkGMqoeY21box8IKlB44lIMEVu7z++0E3+7Fj77sa5SVzQ==" saltValue="+GzTZK/AHyCRuTAI300bPQ=="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257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7" t="s">
        <v>17</v>
      </c>
      <c r="C9" s="77" t="s">
        <v>11</v>
      </c>
      <c r="D9" s="78"/>
      <c r="E9" s="77" t="s">
        <v>31</v>
      </c>
      <c r="F9" s="93"/>
      <c r="G9" s="1"/>
    </row>
    <row r="10" spans="1:7" x14ac:dyDescent="0.25">
      <c r="A10" s="1"/>
      <c r="B10" s="25" t="s">
        <v>241</v>
      </c>
      <c r="C10" s="22">
        <f>'Fane 10. Anlægsprojekter (§19) '!H11</f>
        <v>0</v>
      </c>
      <c r="D10" s="14" t="s">
        <v>3</v>
      </c>
      <c r="E10" s="9">
        <f>'Fane 10. Anlægsprojekter (§19) '!F11+'Fane 10. Anlægsprojekter (§19) '!J11</f>
        <v>0</v>
      </c>
      <c r="F10" s="14" t="s">
        <v>3</v>
      </c>
      <c r="G10" s="1"/>
    </row>
    <row r="11" spans="1:7" x14ac:dyDescent="0.25">
      <c r="A11" s="1"/>
      <c r="B11" s="39" t="s">
        <v>290</v>
      </c>
      <c r="C11" s="22">
        <v>0</v>
      </c>
      <c r="D11" s="14" t="s">
        <v>3</v>
      </c>
      <c r="E11" s="9">
        <v>1407928</v>
      </c>
      <c r="F11" s="14" t="s">
        <v>3</v>
      </c>
      <c r="G11" s="1"/>
    </row>
    <row r="12" spans="1:7" x14ac:dyDescent="0.25">
      <c r="A12" s="1"/>
      <c r="B12" s="25" t="s">
        <v>291</v>
      </c>
      <c r="C12" s="22">
        <v>199671</v>
      </c>
      <c r="D12" s="14" t="s">
        <v>3</v>
      </c>
      <c r="E12" s="9">
        <v>1051642</v>
      </c>
      <c r="F12" s="14" t="s">
        <v>3</v>
      </c>
      <c r="G12" s="1"/>
    </row>
    <row r="13" spans="1:7" x14ac:dyDescent="0.25">
      <c r="A13" s="1"/>
      <c r="B13" s="25" t="s">
        <v>292</v>
      </c>
      <c r="C13" s="22">
        <v>94320</v>
      </c>
      <c r="D13" s="14" t="s">
        <v>3</v>
      </c>
      <c r="E13" s="9">
        <v>791353</v>
      </c>
      <c r="F13" s="14" t="s">
        <v>3</v>
      </c>
      <c r="G13" s="1"/>
    </row>
    <row r="14" spans="1:7" x14ac:dyDescent="0.25">
      <c r="A14" s="1"/>
      <c r="B14" s="25" t="s">
        <v>293</v>
      </c>
      <c r="C14" s="22">
        <v>266549</v>
      </c>
      <c r="D14" s="14" t="s">
        <v>3</v>
      </c>
      <c r="E14" s="9">
        <v>0</v>
      </c>
      <c r="F14" s="14" t="s">
        <v>3</v>
      </c>
      <c r="G14" s="1"/>
    </row>
    <row r="15" spans="1:7" x14ac:dyDescent="0.25">
      <c r="A15" s="1"/>
      <c r="B15" s="32" t="s">
        <v>144</v>
      </c>
      <c r="C15" s="12">
        <f>SUM(C10:C14)</f>
        <v>560540</v>
      </c>
      <c r="D15" s="13" t="s">
        <v>3</v>
      </c>
      <c r="E15" s="12">
        <f>SUM(E10:E14)</f>
        <v>3250923</v>
      </c>
      <c r="F15" s="13" t="s">
        <v>3</v>
      </c>
      <c r="G15" s="1"/>
    </row>
    <row r="16" spans="1:7" x14ac:dyDescent="0.25">
      <c r="A16" s="1"/>
      <c r="B16" s="32" t="s">
        <v>223</v>
      </c>
      <c r="C16" s="12">
        <f>C15*(1+'Fane 15. Nøgletal'!C15)</f>
        <v>580495.22400000005</v>
      </c>
      <c r="D16" s="13" t="s">
        <v>3</v>
      </c>
      <c r="E16" s="12">
        <f>E15*(1+'Fane 15. Nøgletal'!C15)</f>
        <v>3366655.8588</v>
      </c>
      <c r="F16" s="13" t="s">
        <v>3</v>
      </c>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evx4S1eAoB7fLoSrA/9xR+dOhYiQHy36UFTYE/QqYxyf5BymRofDnYxS8ea8hQozAayiF2+5ubc9oX2kDg7oQ==" saltValue="UIXuqTwVr4zKOS19pRT97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258</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85" t="s">
        <v>85</v>
      </c>
      <c r="C7" s="86"/>
      <c r="D7" s="86"/>
      <c r="E7" s="86"/>
      <c r="F7" s="87"/>
      <c r="G7" s="1"/>
    </row>
    <row r="8" spans="1:7" x14ac:dyDescent="0.25">
      <c r="A8" s="1"/>
      <c r="B8" s="77" t="s">
        <v>17</v>
      </c>
      <c r="C8" s="77" t="s">
        <v>11</v>
      </c>
      <c r="D8" s="78"/>
      <c r="E8" s="77" t="s">
        <v>31</v>
      </c>
      <c r="F8" s="93"/>
      <c r="G8" s="1"/>
    </row>
    <row r="9" spans="1:7" x14ac:dyDescent="0.25">
      <c r="A9" s="1"/>
      <c r="B9" s="25" t="s">
        <v>293</v>
      </c>
      <c r="C9" s="22">
        <v>2255711</v>
      </c>
      <c r="D9" s="14" t="s">
        <v>3</v>
      </c>
      <c r="E9" s="22">
        <v>0</v>
      </c>
      <c r="F9" s="14" t="s">
        <v>3</v>
      </c>
      <c r="G9" s="1"/>
    </row>
    <row r="10" spans="1:7" x14ac:dyDescent="0.25">
      <c r="A10" s="1"/>
      <c r="B10" s="32" t="s">
        <v>232</v>
      </c>
      <c r="C10" s="12">
        <f>SUM(C9:C9)</f>
        <v>2255711</v>
      </c>
      <c r="D10" s="13" t="s">
        <v>3</v>
      </c>
      <c r="E10" s="12">
        <f>SUM(E9:E9)</f>
        <v>0</v>
      </c>
      <c r="F10" s="13" t="s">
        <v>3</v>
      </c>
      <c r="G10" s="1"/>
    </row>
    <row r="11" spans="1:7" x14ac:dyDescent="0.25">
      <c r="A11" s="1"/>
      <c r="B11" s="32" t="s">
        <v>145</v>
      </c>
      <c r="C11" s="12">
        <f>C10*(1+'Fane 15. Nøgletal'!$C$15)^2</f>
        <v>2419176.4210929601</v>
      </c>
      <c r="D11" s="13" t="s">
        <v>3</v>
      </c>
      <c r="E11" s="12">
        <f>E10*(1+'Fane 15. Nøgletal'!$C$15)^2</f>
        <v>0</v>
      </c>
      <c r="F11" s="13" t="s">
        <v>3</v>
      </c>
      <c r="G11" s="1"/>
    </row>
    <row r="12" spans="1:7" x14ac:dyDescent="0.25">
      <c r="A12" s="1"/>
      <c r="B12" s="1"/>
      <c r="C12" s="1"/>
      <c r="D12" s="1"/>
      <c r="E12" s="1"/>
      <c r="F12" s="1"/>
      <c r="G12" s="1"/>
    </row>
    <row r="13" spans="1:7" x14ac:dyDescent="0.25">
      <c r="A13" s="1"/>
      <c r="B13" s="91"/>
      <c r="C13" s="91"/>
      <c r="D13" s="91"/>
      <c r="E13" s="91"/>
      <c r="F13" s="91"/>
      <c r="G13" s="1"/>
    </row>
    <row r="14" spans="1:7" x14ac:dyDescent="0.25">
      <c r="A14" s="1"/>
      <c r="B14" s="47"/>
      <c r="C14" s="47"/>
      <c r="D14" s="47"/>
      <c r="E14" s="47"/>
      <c r="F14" s="48"/>
      <c r="G14" s="1"/>
    </row>
    <row r="15" spans="1:7" x14ac:dyDescent="0.25">
      <c r="A15" s="1"/>
      <c r="B15" s="49"/>
      <c r="C15" s="50"/>
      <c r="D15" s="51"/>
      <c r="E15" s="50"/>
      <c r="F15" s="51"/>
      <c r="G15" s="1"/>
    </row>
    <row r="16" spans="1:7" x14ac:dyDescent="0.25">
      <c r="A16" s="1"/>
      <c r="B16" s="49"/>
      <c r="C16" s="50"/>
      <c r="D16" s="51"/>
      <c r="E16" s="50"/>
      <c r="F16" s="51"/>
      <c r="G16" s="1"/>
    </row>
    <row r="17" spans="1:7" x14ac:dyDescent="0.25">
      <c r="A17" s="1"/>
      <c r="B17" s="31"/>
      <c r="C17" s="52"/>
      <c r="D17" s="53"/>
      <c r="E17" s="52"/>
      <c r="F17" s="53"/>
      <c r="G17" s="1"/>
    </row>
    <row r="18" spans="1:7" x14ac:dyDescent="0.25">
      <c r="A18" s="1"/>
      <c r="B18" s="31"/>
      <c r="C18" s="52"/>
      <c r="D18" s="53"/>
      <c r="E18" s="52"/>
      <c r="F18" s="53"/>
      <c r="G18" s="1"/>
    </row>
    <row r="19" spans="1:7" x14ac:dyDescent="0.25">
      <c r="A19" s="1"/>
      <c r="B19" s="46"/>
      <c r="C19" s="46"/>
      <c r="D19" s="46"/>
      <c r="E19" s="46"/>
      <c r="F19" s="46"/>
      <c r="G19" s="1"/>
    </row>
    <row r="20" spans="1:7" x14ac:dyDescent="0.25">
      <c r="A20" s="1"/>
      <c r="B20" s="174"/>
      <c r="C20" s="174"/>
      <c r="D20" s="174"/>
      <c r="E20" s="174"/>
      <c r="F20" s="174"/>
      <c r="G20" s="1"/>
    </row>
    <row r="21" spans="1:7" x14ac:dyDescent="0.25">
      <c r="A21" s="1"/>
      <c r="B21" s="47"/>
      <c r="C21" s="47"/>
      <c r="D21" s="47"/>
      <c r="E21" s="47"/>
      <c r="F21" s="48"/>
      <c r="G21" s="1"/>
    </row>
    <row r="22" spans="1:7" x14ac:dyDescent="0.25">
      <c r="A22" s="1"/>
      <c r="B22" s="49"/>
      <c r="C22" s="50"/>
      <c r="D22" s="51"/>
      <c r="E22" s="50"/>
      <c r="F22" s="51"/>
      <c r="G22" s="1"/>
    </row>
    <row r="23" spans="1:7" x14ac:dyDescent="0.25">
      <c r="A23" s="1"/>
      <c r="B23" s="49"/>
      <c r="C23" s="50"/>
      <c r="D23" s="51"/>
      <c r="E23" s="50"/>
      <c r="F23" s="51"/>
      <c r="G23" s="1"/>
    </row>
    <row r="24" spans="1:7" x14ac:dyDescent="0.25">
      <c r="A24" s="1"/>
      <c r="B24" s="31"/>
      <c r="C24" s="52"/>
      <c r="D24" s="53"/>
      <c r="E24" s="52"/>
      <c r="F24" s="53"/>
      <c r="G24" s="1"/>
    </row>
    <row r="25" spans="1:7" x14ac:dyDescent="0.25">
      <c r="A25" s="1"/>
      <c r="B25" s="31"/>
      <c r="C25" s="52"/>
      <c r="D25" s="53"/>
      <c r="E25" s="52"/>
      <c r="F25" s="53"/>
      <c r="G25" s="1"/>
    </row>
    <row r="26" spans="1:7" x14ac:dyDescent="0.25">
      <c r="A26" s="1"/>
      <c r="B26" s="46"/>
      <c r="C26" s="46"/>
      <c r="D26" s="46"/>
      <c r="E26" s="46"/>
      <c r="F26" s="46"/>
      <c r="G26" s="1"/>
    </row>
    <row r="27" spans="1:7" x14ac:dyDescent="0.25">
      <c r="A27" s="1"/>
      <c r="B27" s="174"/>
      <c r="C27" s="174"/>
      <c r="D27" s="174"/>
      <c r="E27" s="174"/>
      <c r="F27" s="174"/>
      <c r="G27" s="1"/>
    </row>
    <row r="28" spans="1:7" x14ac:dyDescent="0.25">
      <c r="A28" s="1"/>
      <c r="B28" s="47"/>
      <c r="C28" s="47"/>
      <c r="D28" s="47"/>
      <c r="E28" s="47"/>
      <c r="F28" s="48"/>
      <c r="G28" s="1"/>
    </row>
    <row r="29" spans="1:7" x14ac:dyDescent="0.25">
      <c r="A29" s="1"/>
      <c r="B29" s="49"/>
      <c r="C29" s="50"/>
      <c r="D29" s="51"/>
      <c r="E29" s="50"/>
      <c r="F29" s="51"/>
      <c r="G29" s="1"/>
    </row>
    <row r="30" spans="1:7" x14ac:dyDescent="0.25">
      <c r="A30" s="1"/>
      <c r="B30" s="49"/>
      <c r="C30" s="50"/>
      <c r="D30" s="51"/>
      <c r="E30" s="50"/>
      <c r="F30" s="51"/>
      <c r="G30" s="1"/>
    </row>
    <row r="31" spans="1:7" x14ac:dyDescent="0.25">
      <c r="A31" s="1"/>
      <c r="B31" s="31"/>
      <c r="C31" s="52"/>
      <c r="D31" s="53"/>
      <c r="E31" s="52"/>
      <c r="F31" s="53"/>
      <c r="G31" s="1"/>
    </row>
    <row r="32" spans="1:7" x14ac:dyDescent="0.25">
      <c r="A32" s="1"/>
      <c r="B32" s="31"/>
      <c r="C32" s="52"/>
      <c r="D32" s="53"/>
      <c r="E32" s="52"/>
      <c r="F32" s="5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lTI4/XlCEt17rRgZ0MtAtiP6ERZULfMqqJdQFWJ2WogvNxiBVNT0hp4PIkVAmAQvqFrXtLdtxe4rNFL27uTJBA==" saltValue="fOeNh670nAjemqFxeH5NNg=="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259</v>
      </c>
      <c r="C3" s="119"/>
      <c r="D3" s="119"/>
      <c r="E3" s="119"/>
      <c r="F3" s="119"/>
      <c r="G3" s="1"/>
    </row>
    <row r="4" spans="1:7" ht="15" customHeight="1" x14ac:dyDescent="0.25">
      <c r="A4" s="1"/>
      <c r="B4" s="119"/>
      <c r="C4" s="119"/>
      <c r="D4" s="119"/>
      <c r="E4" s="119"/>
      <c r="F4" s="119"/>
      <c r="G4" s="1"/>
    </row>
    <row r="5" spans="1:7" x14ac:dyDescent="0.25">
      <c r="A5" s="1"/>
      <c r="B5" s="119"/>
      <c r="C5" s="119"/>
      <c r="D5" s="119"/>
      <c r="E5" s="119"/>
      <c r="F5" s="11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47" t="s">
        <v>79</v>
      </c>
      <c r="C9" s="148"/>
      <c r="D9" s="148"/>
      <c r="E9" s="148"/>
      <c r="F9" s="150"/>
      <c r="G9" s="1"/>
    </row>
    <row r="10" spans="1:7" x14ac:dyDescent="0.25">
      <c r="A10" s="1"/>
      <c r="B10" s="168" t="s">
        <v>239</v>
      </c>
      <c r="C10" s="169"/>
      <c r="D10" s="170"/>
      <c r="E10" s="9">
        <v>0</v>
      </c>
      <c r="F10" s="14" t="s">
        <v>3</v>
      </c>
      <c r="G10" s="1"/>
    </row>
    <row r="11" spans="1:7" x14ac:dyDescent="0.25">
      <c r="A11" s="1"/>
      <c r="B11" s="126" t="s">
        <v>10</v>
      </c>
      <c r="C11" s="127"/>
      <c r="D11" s="128"/>
      <c r="E11" s="9">
        <f>-E10*'Fane 5. Individuelt eff. krav'!G9</f>
        <v>0</v>
      </c>
      <c r="F11" s="14" t="s">
        <v>3</v>
      </c>
      <c r="G11" s="1"/>
    </row>
    <row r="12" spans="1:7" x14ac:dyDescent="0.25">
      <c r="A12" s="1"/>
      <c r="B12" s="126" t="s">
        <v>25</v>
      </c>
      <c r="C12" s="127"/>
      <c r="D12" s="128"/>
      <c r="E12" s="9">
        <f>-E10*'Fane 15. Nøgletal'!C31</f>
        <v>0</v>
      </c>
      <c r="F12" s="14" t="s">
        <v>3</v>
      </c>
      <c r="G12" s="1"/>
    </row>
    <row r="13" spans="1:7" x14ac:dyDescent="0.25">
      <c r="A13" s="1"/>
      <c r="B13" s="147" t="s">
        <v>80</v>
      </c>
      <c r="C13" s="148"/>
      <c r="D13" s="150"/>
      <c r="E13" s="12">
        <f>SUM(E10:E12)*(1+'Fane 15. Nøgletal'!C15)^2</f>
        <v>0</v>
      </c>
      <c r="F13" s="13" t="s">
        <v>3</v>
      </c>
      <c r="G13" s="1"/>
    </row>
    <row r="14" spans="1:7" x14ac:dyDescent="0.25">
      <c r="A14" s="1"/>
      <c r="B14" s="1"/>
      <c r="C14" s="1"/>
      <c r="D14" s="1"/>
      <c r="E14" s="1"/>
      <c r="F14" s="1"/>
      <c r="G14" s="1"/>
    </row>
    <row r="15" spans="1:7" x14ac:dyDescent="0.25">
      <c r="A15" s="1"/>
      <c r="B15" s="147" t="s">
        <v>117</v>
      </c>
      <c r="C15" s="148"/>
      <c r="D15" s="148"/>
      <c r="E15" s="148"/>
      <c r="F15" s="150"/>
      <c r="G15" s="1"/>
    </row>
    <row r="16" spans="1:7" x14ac:dyDescent="0.25">
      <c r="A16" s="1"/>
      <c r="B16" s="168" t="s">
        <v>239</v>
      </c>
      <c r="C16" s="169"/>
      <c r="D16" s="170"/>
      <c r="E16" s="9">
        <v>0</v>
      </c>
      <c r="F16" s="14" t="s">
        <v>3</v>
      </c>
      <c r="G16" s="1"/>
    </row>
    <row r="17" spans="1:7" x14ac:dyDescent="0.25">
      <c r="A17" s="1"/>
      <c r="B17" s="126" t="s">
        <v>10</v>
      </c>
      <c r="C17" s="127"/>
      <c r="D17" s="128"/>
      <c r="E17" s="9">
        <f>-E16*'Fane 5. Individuelt eff. krav'!G9</f>
        <v>0</v>
      </c>
      <c r="F17" s="14" t="s">
        <v>3</v>
      </c>
      <c r="G17" s="1"/>
    </row>
    <row r="18" spans="1:7" x14ac:dyDescent="0.25">
      <c r="A18" s="1"/>
      <c r="B18" s="126" t="s">
        <v>25</v>
      </c>
      <c r="C18" s="127"/>
      <c r="D18" s="128"/>
      <c r="E18" s="9">
        <f>-E16*'Fane 15. Nøgletal'!C31</f>
        <v>0</v>
      </c>
      <c r="F18" s="14" t="s">
        <v>3</v>
      </c>
      <c r="G18" s="1"/>
    </row>
    <row r="19" spans="1:7" x14ac:dyDescent="0.25">
      <c r="A19" s="1"/>
      <c r="B19" s="147" t="s">
        <v>118</v>
      </c>
      <c r="C19" s="148"/>
      <c r="D19" s="150"/>
      <c r="E19" s="12">
        <f>SUM(E16:E18)*(1+'Fane 15. Nøgletal'!C15)^3</f>
        <v>0</v>
      </c>
      <c r="F19" s="13" t="s">
        <v>3</v>
      </c>
      <c r="G19" s="1"/>
    </row>
    <row r="20" spans="1:7" x14ac:dyDescent="0.25">
      <c r="A20" s="1"/>
      <c r="B20" s="1"/>
      <c r="C20" s="1"/>
      <c r="D20" s="1"/>
      <c r="E20" s="1"/>
      <c r="F20" s="1"/>
      <c r="G20" s="1"/>
    </row>
    <row r="21" spans="1:7" x14ac:dyDescent="0.25">
      <c r="A21" s="1"/>
      <c r="B21" s="147" t="s">
        <v>146</v>
      </c>
      <c r="C21" s="148"/>
      <c r="D21" s="148"/>
      <c r="E21" s="148"/>
      <c r="F21" s="150"/>
      <c r="G21" s="1"/>
    </row>
    <row r="22" spans="1:7" x14ac:dyDescent="0.25">
      <c r="A22" s="1"/>
      <c r="B22" s="168" t="s">
        <v>239</v>
      </c>
      <c r="C22" s="169"/>
      <c r="D22" s="170"/>
      <c r="E22" s="9">
        <v>0</v>
      </c>
      <c r="F22" s="14" t="s">
        <v>3</v>
      </c>
      <c r="G22" s="1"/>
    </row>
    <row r="23" spans="1:7" x14ac:dyDescent="0.25">
      <c r="A23" s="1"/>
      <c r="B23" s="126" t="s">
        <v>10</v>
      </c>
      <c r="C23" s="127"/>
      <c r="D23" s="128"/>
      <c r="E23" s="9">
        <f>-E22*'Fane 5. Individuelt eff. krav'!G9</f>
        <v>0</v>
      </c>
      <c r="F23" s="14" t="s">
        <v>3</v>
      </c>
      <c r="G23" s="1"/>
    </row>
    <row r="24" spans="1:7" x14ac:dyDescent="0.25">
      <c r="A24" s="1"/>
      <c r="B24" s="126" t="s">
        <v>25</v>
      </c>
      <c r="C24" s="127"/>
      <c r="D24" s="128"/>
      <c r="E24" s="9">
        <f>-E22*'Fane 15. Nøgletal'!C31</f>
        <v>0</v>
      </c>
      <c r="F24" s="14" t="s">
        <v>3</v>
      </c>
      <c r="G24" s="1"/>
    </row>
    <row r="25" spans="1:7" x14ac:dyDescent="0.25">
      <c r="A25" s="1"/>
      <c r="B25" s="147" t="s">
        <v>147</v>
      </c>
      <c r="C25" s="148"/>
      <c r="D25" s="150"/>
      <c r="E25" s="12">
        <f>SUM(E22:E24)*(1+'Fane 15. Nøgletal'!C15)^4</f>
        <v>0</v>
      </c>
      <c r="F25" s="13" t="s">
        <v>3</v>
      </c>
      <c r="G25" s="1"/>
    </row>
    <row r="26" spans="1:7" x14ac:dyDescent="0.25">
      <c r="A26" s="1"/>
      <c r="B26" s="1"/>
      <c r="C26" s="1"/>
      <c r="D26" s="1"/>
      <c r="E26" s="1"/>
      <c r="F26" s="1"/>
      <c r="G26" s="1"/>
    </row>
    <row r="27" spans="1:7" x14ac:dyDescent="0.25">
      <c r="A27" s="1"/>
      <c r="B27" s="147" t="s">
        <v>224</v>
      </c>
      <c r="C27" s="148"/>
      <c r="D27" s="148"/>
      <c r="E27" s="148"/>
      <c r="F27" s="150"/>
      <c r="G27" s="1"/>
    </row>
    <row r="28" spans="1:7" x14ac:dyDescent="0.25">
      <c r="A28" s="1"/>
      <c r="B28" s="168" t="s">
        <v>239</v>
      </c>
      <c r="C28" s="169"/>
      <c r="D28" s="170"/>
      <c r="E28" s="9">
        <v>0</v>
      </c>
      <c r="F28" s="14" t="s">
        <v>3</v>
      </c>
      <c r="G28" s="1"/>
    </row>
    <row r="29" spans="1:7" x14ac:dyDescent="0.25">
      <c r="A29" s="1"/>
      <c r="B29" s="126" t="s">
        <v>10</v>
      </c>
      <c r="C29" s="127"/>
      <c r="D29" s="128"/>
      <c r="E29" s="9">
        <f>-E28*'Fane 5. Individuelt eff. krav'!G9</f>
        <v>0</v>
      </c>
      <c r="F29" s="14" t="s">
        <v>3</v>
      </c>
      <c r="G29" s="1"/>
    </row>
    <row r="30" spans="1:7" x14ac:dyDescent="0.25">
      <c r="A30" s="1"/>
      <c r="B30" s="126" t="s">
        <v>25</v>
      </c>
      <c r="C30" s="127"/>
      <c r="D30" s="128"/>
      <c r="E30" s="9">
        <f>-E28*'Fane 15. Nøgletal'!C31</f>
        <v>0</v>
      </c>
      <c r="F30" s="14" t="s">
        <v>3</v>
      </c>
      <c r="G30" s="1"/>
    </row>
    <row r="31" spans="1:7" x14ac:dyDescent="0.25">
      <c r="A31" s="1"/>
      <c r="B31" s="147" t="s">
        <v>225</v>
      </c>
      <c r="C31" s="148"/>
      <c r="D31" s="150"/>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D8a/Dzhz8LY1tFiXkv4S4t4Vn+tOUCH0fzBRgnWme/3whMkdyYFVN/mQHVCPUZlpKSmfJ62mBy1b9xxXejOMg==" saltValue="tyVDDLzakcrC/zeK5JpyBA=="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260</v>
      </c>
      <c r="C3" s="119"/>
      <c r="D3" s="119"/>
      <c r="E3" s="119"/>
      <c r="F3" s="119"/>
      <c r="G3" s="1"/>
    </row>
    <row r="4" spans="1:7" ht="25.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47" t="s">
        <v>119</v>
      </c>
      <c r="C8" s="148"/>
      <c r="D8" s="148"/>
      <c r="E8" s="148"/>
      <c r="F8" s="150"/>
      <c r="G8" s="1"/>
    </row>
    <row r="9" spans="1:7" ht="15" customHeight="1" x14ac:dyDescent="0.25">
      <c r="A9" s="1"/>
      <c r="B9" s="92" t="s">
        <v>120</v>
      </c>
      <c r="C9" s="132" t="s">
        <v>11</v>
      </c>
      <c r="D9" s="134"/>
      <c r="E9" s="175" t="s">
        <v>31</v>
      </c>
      <c r="F9" s="176"/>
      <c r="G9" s="1"/>
    </row>
    <row r="10" spans="1:7" x14ac:dyDescent="0.25">
      <c r="A10" s="1"/>
      <c r="B10" s="25" t="s">
        <v>280</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Vk2FA9tDYNxr/suDj+OW2nszqrX4y4ltpPEipSxnkoqSMiZerQRofIW3fLw0UIe0IXLkrG3fQUxBNeX6LXgAlA==" saltValue="p9R7oyWVOHB/UstXJX+Mr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261</v>
      </c>
      <c r="C3" s="119"/>
      <c r="D3" s="119"/>
      <c r="E3" s="119"/>
      <c r="F3" s="119"/>
      <c r="G3" s="1"/>
    </row>
    <row r="4" spans="1:7" ht="25.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47" t="s">
        <v>81</v>
      </c>
      <c r="C9" s="148"/>
      <c r="D9" s="148"/>
      <c r="E9" s="148"/>
      <c r="F9" s="150"/>
      <c r="G9" s="1"/>
    </row>
    <row r="10" spans="1:7" ht="26.25" x14ac:dyDescent="0.25">
      <c r="A10" s="1"/>
      <c r="B10" s="92" t="s">
        <v>18</v>
      </c>
      <c r="C10" s="92" t="s">
        <v>11</v>
      </c>
      <c r="D10" s="93"/>
      <c r="E10" s="92" t="s">
        <v>31</v>
      </c>
      <c r="F10" s="93"/>
      <c r="G10" s="1"/>
    </row>
    <row r="11" spans="1:7" x14ac:dyDescent="0.25">
      <c r="A11" s="1"/>
      <c r="B11" s="25" t="s">
        <v>182</v>
      </c>
      <c r="C11" s="9">
        <v>0</v>
      </c>
      <c r="D11" s="14" t="s">
        <v>3</v>
      </c>
      <c r="E11" s="9">
        <v>0</v>
      </c>
      <c r="F11" s="14" t="s">
        <v>3</v>
      </c>
      <c r="G11" s="1"/>
    </row>
    <row r="12" spans="1:7" x14ac:dyDescent="0.25">
      <c r="A12" s="1"/>
      <c r="B12" s="32" t="s">
        <v>233</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4"/>
      <c r="C15" s="174"/>
      <c r="D15" s="174"/>
      <c r="E15" s="174"/>
      <c r="F15" s="174"/>
      <c r="G15" s="1"/>
    </row>
    <row r="16" spans="1:7" x14ac:dyDescent="0.25">
      <c r="A16" s="1"/>
      <c r="B16" s="48"/>
      <c r="C16" s="48"/>
      <c r="D16" s="48"/>
      <c r="E16" s="48"/>
      <c r="F16" s="48"/>
      <c r="G16" s="1"/>
    </row>
    <row r="17" spans="1:7" x14ac:dyDescent="0.25">
      <c r="A17" s="1"/>
      <c r="B17" s="49"/>
      <c r="C17" s="54"/>
      <c r="D17" s="51"/>
      <c r="E17" s="54"/>
      <c r="F17" s="51"/>
      <c r="G17" s="1"/>
    </row>
    <row r="18" spans="1:7" x14ac:dyDescent="0.25">
      <c r="A18" s="1"/>
      <c r="B18" s="31"/>
      <c r="C18" s="52"/>
      <c r="D18" s="53"/>
      <c r="E18" s="52"/>
      <c r="F18" s="53"/>
      <c r="G18" s="1"/>
    </row>
    <row r="19" spans="1:7" x14ac:dyDescent="0.25">
      <c r="A19" s="1"/>
      <c r="B19" s="31"/>
      <c r="C19" s="52"/>
      <c r="D19" s="53"/>
      <c r="E19" s="52"/>
      <c r="F19" s="53"/>
      <c r="G19" s="1"/>
    </row>
    <row r="20" spans="1:7" x14ac:dyDescent="0.25">
      <c r="A20" s="1"/>
      <c r="B20" s="46"/>
      <c r="C20" s="46"/>
      <c r="D20" s="46"/>
      <c r="E20" s="46"/>
      <c r="F20" s="46"/>
      <c r="G20" s="1"/>
    </row>
    <row r="21" spans="1:7" x14ac:dyDescent="0.25">
      <c r="A21" s="1"/>
      <c r="B21" s="174"/>
      <c r="C21" s="174"/>
      <c r="D21" s="174"/>
      <c r="E21" s="174"/>
      <c r="F21" s="174"/>
      <c r="G21" s="1"/>
    </row>
    <row r="22" spans="1:7" x14ac:dyDescent="0.25">
      <c r="A22" s="1"/>
      <c r="B22" s="48"/>
      <c r="C22" s="48"/>
      <c r="D22" s="48"/>
      <c r="E22" s="48"/>
      <c r="F22" s="48"/>
      <c r="G22" s="1"/>
    </row>
    <row r="23" spans="1:7" x14ac:dyDescent="0.25">
      <c r="A23" s="1"/>
      <c r="B23" s="49"/>
      <c r="C23" s="54"/>
      <c r="D23" s="51"/>
      <c r="E23" s="54"/>
      <c r="F23" s="51"/>
      <c r="G23" s="1"/>
    </row>
    <row r="24" spans="1:7" x14ac:dyDescent="0.25">
      <c r="A24" s="1"/>
      <c r="B24" s="31"/>
      <c r="C24" s="52"/>
      <c r="D24" s="53"/>
      <c r="E24" s="52"/>
      <c r="F24" s="53"/>
      <c r="G24" s="1"/>
    </row>
    <row r="25" spans="1:7" x14ac:dyDescent="0.25">
      <c r="A25" s="1"/>
      <c r="B25" s="31"/>
      <c r="C25" s="52"/>
      <c r="D25" s="53"/>
      <c r="E25" s="52"/>
      <c r="F25" s="53"/>
      <c r="G25" s="1"/>
    </row>
    <row r="26" spans="1:7" x14ac:dyDescent="0.25">
      <c r="A26" s="1"/>
      <c r="B26" s="46"/>
      <c r="C26" s="46"/>
      <c r="D26" s="46"/>
      <c r="E26" s="46"/>
      <c r="F26" s="46"/>
      <c r="G26" s="1"/>
    </row>
    <row r="27" spans="1:7" x14ac:dyDescent="0.25">
      <c r="A27" s="1"/>
      <c r="B27" s="174"/>
      <c r="C27" s="174"/>
      <c r="D27" s="174"/>
      <c r="E27" s="174"/>
      <c r="F27" s="174"/>
      <c r="G27" s="1"/>
    </row>
    <row r="28" spans="1:7" x14ac:dyDescent="0.25">
      <c r="A28" s="1"/>
      <c r="B28" s="48"/>
      <c r="C28" s="48"/>
      <c r="D28" s="48"/>
      <c r="E28" s="48"/>
      <c r="F28" s="48"/>
      <c r="G28" s="1"/>
    </row>
    <row r="29" spans="1:7" x14ac:dyDescent="0.25">
      <c r="A29" s="1"/>
      <c r="B29" s="49"/>
      <c r="C29" s="54"/>
      <c r="D29" s="51"/>
      <c r="E29" s="54"/>
      <c r="F29" s="51"/>
      <c r="G29" s="1"/>
    </row>
    <row r="30" spans="1:7" x14ac:dyDescent="0.25">
      <c r="A30" s="1"/>
      <c r="B30" s="31"/>
      <c r="C30" s="52"/>
      <c r="D30" s="53"/>
      <c r="E30" s="52"/>
      <c r="F30" s="53"/>
      <c r="G30" s="1"/>
    </row>
    <row r="31" spans="1:7" x14ac:dyDescent="0.25">
      <c r="A31" s="1"/>
      <c r="B31" s="3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tF9il6XyV2Nf2PeD0Z7SxdaaObm0TBMAYh9OQOzCosQwjn2dqQqbSTrM0vw63G7eEtuwKcIA6xoMk4dQEA7o/A==" saltValue="cIG+wI8mzb6JchW+ID+mT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0"/>
  <sheetViews>
    <sheetView showGridLines="0" view="pageLayout" zoomScale="89" zoomScaleNormal="100" zoomScalePageLayoutView="89" workbookViewId="0"/>
  </sheetViews>
  <sheetFormatPr defaultColWidth="9" defaultRowHeight="15" x14ac:dyDescent="0.25"/>
  <cols>
    <col min="1" max="1" width="4.28515625" style="2" customWidth="1"/>
    <col min="2" max="2" width="60.5703125" style="2" customWidth="1"/>
    <col min="3" max="3" width="12.7109375" style="2" customWidth="1"/>
    <col min="4" max="4" width="3.7109375" style="2" customWidth="1"/>
    <col min="5" max="5" width="5.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194</v>
      </c>
      <c r="C3" s="114"/>
      <c r="D3" s="114"/>
      <c r="E3" s="1"/>
    </row>
    <row r="4" spans="1:5" ht="15" customHeight="1"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4" t="s">
        <v>93</v>
      </c>
      <c r="C9" s="7">
        <f>'Fane 3. Omkostninger i ØR2022'!E20</f>
        <v>113019882.07248318</v>
      </c>
      <c r="D9" s="8" t="s">
        <v>3</v>
      </c>
      <c r="E9" s="1"/>
    </row>
    <row r="10" spans="1:5" x14ac:dyDescent="0.25">
      <c r="A10" s="1"/>
      <c r="B10" s="75" t="s">
        <v>235</v>
      </c>
      <c r="C10" s="7">
        <f>('Fane 3. Omkostninger i ØR2022'!E10+'Fane 3. Omkostninger i ØR2022'!E14)*(1+'Fane 15. Nøgletal'!C14)*(1-'Fane 15. Nøgletal'!C31-'Fane 5. Individuelt eff. krav'!G9)</f>
        <v>291803.250120221</v>
      </c>
      <c r="D10" s="8" t="s">
        <v>3</v>
      </c>
      <c r="E10" s="1"/>
    </row>
    <row r="11" spans="1:5" x14ac:dyDescent="0.25">
      <c r="A11" s="1"/>
      <c r="B11" s="75" t="s">
        <v>236</v>
      </c>
      <c r="C11" s="7">
        <f>('Fane 3. Omkostninger i ØR2022'!E11+'Fane 3. Omkostninger i ØR2022'!E15)*(1+'Fane 15. Nøgletal'!C14)*(1-'Fane 15. Nøgletal'!C25-'Fane 5. Individuelt eff. krav'!G9)</f>
        <v>4469248.3442527968</v>
      </c>
      <c r="D11" s="8" t="s">
        <v>3</v>
      </c>
      <c r="E11" s="1"/>
    </row>
    <row r="12" spans="1:5" ht="17.25" customHeight="1" x14ac:dyDescent="0.25">
      <c r="A12" s="1"/>
      <c r="B12" s="76" t="s">
        <v>39</v>
      </c>
      <c r="C12" s="40">
        <f>'Fane 11.1. Varige tillæg'!C16</f>
        <v>580495.22400000005</v>
      </c>
      <c r="D12" s="8" t="s">
        <v>3</v>
      </c>
      <c r="E12" s="1"/>
    </row>
    <row r="13" spans="1:5" ht="17.25" customHeight="1" x14ac:dyDescent="0.25">
      <c r="A13" s="1"/>
      <c r="B13" s="76" t="s">
        <v>40</v>
      </c>
      <c r="C13" s="40">
        <f>'Fane 11.1. Varige tillæg'!E16</f>
        <v>3366655.8588</v>
      </c>
      <c r="D13" s="8" t="s">
        <v>3</v>
      </c>
      <c r="E13" s="1"/>
    </row>
    <row r="14" spans="1:5" ht="17.25" customHeight="1" x14ac:dyDescent="0.25">
      <c r="A14" s="1"/>
      <c r="B14" s="76" t="s">
        <v>28</v>
      </c>
      <c r="C14" s="9">
        <f>-'Fane 14. Bortfald'!C13</f>
        <v>0</v>
      </c>
      <c r="D14" s="8" t="s">
        <v>3</v>
      </c>
      <c r="E14" s="1"/>
    </row>
    <row r="15" spans="1:5" ht="17.25" customHeight="1" x14ac:dyDescent="0.25">
      <c r="A15" s="1"/>
      <c r="B15" s="76" t="s">
        <v>27</v>
      </c>
      <c r="C15" s="9">
        <f>-'Fane 14. Bortfald'!E13</f>
        <v>0</v>
      </c>
      <c r="D15" s="8" t="s">
        <v>3</v>
      </c>
      <c r="E15" s="1"/>
    </row>
    <row r="16" spans="1:5" ht="17.25" customHeight="1" x14ac:dyDescent="0.25">
      <c r="A16" s="1"/>
      <c r="B16" s="76" t="s">
        <v>113</v>
      </c>
      <c r="C16" s="9">
        <f>'Fane 13. Tilknyttet virksomhed'!C12</f>
        <v>0</v>
      </c>
      <c r="D16" s="8" t="s">
        <v>3</v>
      </c>
      <c r="E16" s="1"/>
    </row>
    <row r="17" spans="1:5" ht="17.25" customHeight="1" x14ac:dyDescent="0.25">
      <c r="A17" s="1"/>
      <c r="B17" s="76" t="s">
        <v>114</v>
      </c>
      <c r="C17" s="9">
        <f>'Fane 13. Tilknyttet virksomhed'!E12</f>
        <v>0</v>
      </c>
      <c r="D17" s="8" t="s">
        <v>3</v>
      </c>
      <c r="E17" s="1"/>
    </row>
    <row r="18" spans="1:5" ht="17.25" customHeight="1" x14ac:dyDescent="0.25">
      <c r="A18" s="1"/>
      <c r="B18" s="76" t="s">
        <v>19</v>
      </c>
      <c r="C18" s="9">
        <f>SUM(C9)*'Fane 15. Nøgletal'!C14+SUM(C12:C17)*'Fane 15. Nøgletal'!C15</f>
        <v>513484.1893868745</v>
      </c>
      <c r="D18" s="8" t="s">
        <v>3</v>
      </c>
      <c r="E18" s="1"/>
    </row>
    <row r="19" spans="1:5" ht="17.25" customHeight="1" x14ac:dyDescent="0.25">
      <c r="A19" s="1"/>
      <c r="B19" s="76" t="s">
        <v>10</v>
      </c>
      <c r="C19" s="9">
        <f>-SUM(C9,C12:C18)*'Fane 5. Individuelt eff. krav'!G9</f>
        <v>-782840.50544414041</v>
      </c>
      <c r="D19" s="8" t="s">
        <v>3</v>
      </c>
      <c r="E19" s="1"/>
    </row>
    <row r="20" spans="1:5" ht="17.25" customHeight="1" x14ac:dyDescent="0.25">
      <c r="A20" s="1"/>
      <c r="B20" s="76" t="s">
        <v>25</v>
      </c>
      <c r="C20" s="9">
        <f>-'Fane 4.1. Gen. krav - drift'!G48</f>
        <v>-408880.88373999053</v>
      </c>
      <c r="D20" s="8" t="s">
        <v>3</v>
      </c>
      <c r="E20" s="42"/>
    </row>
    <row r="21" spans="1:5" ht="15" customHeight="1" x14ac:dyDescent="0.25">
      <c r="A21" s="1"/>
      <c r="B21" s="76" t="s">
        <v>26</v>
      </c>
      <c r="C21" s="9">
        <f>-'Fane 4.2. Gen. krav - anlæg'!G47</f>
        <v>-1403230.2625325054</v>
      </c>
      <c r="D21" s="8" t="s">
        <v>3</v>
      </c>
      <c r="E21" s="1"/>
    </row>
    <row r="22" spans="1:5" ht="15" customHeight="1" x14ac:dyDescent="0.25">
      <c r="A22" s="1"/>
      <c r="B22" s="79" t="s">
        <v>21</v>
      </c>
      <c r="C22" s="10">
        <f>SUM(C9,C12:C21)</f>
        <v>114885565.69295342</v>
      </c>
      <c r="D22" s="11" t="s">
        <v>3</v>
      </c>
      <c r="E22" s="1"/>
    </row>
    <row r="23" spans="1:5" ht="15" customHeight="1" x14ac:dyDescent="0.25">
      <c r="A23" s="1"/>
      <c r="B23" s="32" t="s">
        <v>12</v>
      </c>
      <c r="C23" s="33"/>
      <c r="D23" s="20"/>
      <c r="E23" s="1"/>
    </row>
    <row r="24" spans="1:5" ht="15" customHeight="1" x14ac:dyDescent="0.25">
      <c r="A24" s="1"/>
      <c r="B24" s="92" t="s">
        <v>12</v>
      </c>
      <c r="C24" s="10">
        <f>'Fane 6. Ikke-påvirkelige omk.'!C15+'Fane 6. Ikke-påvirkelige omk.'!C19+'Fane 6. Ikke-påvirkelige omk.'!C27</f>
        <v>53429213.052914232</v>
      </c>
      <c r="D24" s="11" t="s">
        <v>3</v>
      </c>
      <c r="E24" s="1"/>
    </row>
    <row r="25" spans="1:5" ht="15" customHeight="1" x14ac:dyDescent="0.25">
      <c r="A25" s="1"/>
      <c r="B25" s="32" t="s">
        <v>74</v>
      </c>
      <c r="C25" s="33"/>
      <c r="D25" s="20"/>
      <c r="E25" s="1"/>
    </row>
    <row r="26" spans="1:5" ht="15" customHeight="1" x14ac:dyDescent="0.25">
      <c r="A26" s="1"/>
      <c r="B26" s="79" t="s">
        <v>74</v>
      </c>
      <c r="C26" s="10">
        <f>'Fane 12. Periodevise driftsomk.'!E13</f>
        <v>0</v>
      </c>
      <c r="D26" s="11" t="s">
        <v>3</v>
      </c>
      <c r="E26" s="1"/>
    </row>
    <row r="27" spans="1:5" ht="15" customHeight="1" x14ac:dyDescent="0.25">
      <c r="A27" s="1"/>
      <c r="B27" s="32" t="s">
        <v>73</v>
      </c>
      <c r="C27" s="33"/>
      <c r="D27" s="20"/>
      <c r="E27" s="1"/>
    </row>
    <row r="28" spans="1:5" x14ac:dyDescent="0.25">
      <c r="A28" s="1"/>
      <c r="B28" s="76" t="s">
        <v>69</v>
      </c>
      <c r="C28" s="9">
        <f>'Fane 11.2. Engangstillæg'!C11</f>
        <v>2419176.4210929601</v>
      </c>
      <c r="D28" s="8" t="s">
        <v>3</v>
      </c>
      <c r="E28" s="1"/>
    </row>
    <row r="29" spans="1:5" ht="15" customHeight="1" x14ac:dyDescent="0.25">
      <c r="A29" s="1"/>
      <c r="B29" s="76" t="s">
        <v>70</v>
      </c>
      <c r="C29" s="9">
        <f>'Fane 11.2. Engangstillæg'!E11</f>
        <v>0</v>
      </c>
      <c r="D29" s="8" t="s">
        <v>3</v>
      </c>
      <c r="E29" s="1"/>
    </row>
    <row r="30" spans="1:5" ht="15" customHeight="1" x14ac:dyDescent="0.25">
      <c r="A30" s="1"/>
      <c r="B30" s="76" t="s">
        <v>243</v>
      </c>
      <c r="C30" s="9">
        <f>-C28*('Fane 15. Nøgletal'!C31+'Fane 5. Individuelt eff. krav'!G9)</f>
        <v>-64503.897441777211</v>
      </c>
      <c r="D30" s="8" t="s">
        <v>3</v>
      </c>
      <c r="E30" s="1"/>
    </row>
    <row r="31" spans="1:5" ht="15" customHeight="1" x14ac:dyDescent="0.25">
      <c r="A31" s="1"/>
      <c r="B31" s="41" t="s">
        <v>244</v>
      </c>
      <c r="C31" s="9">
        <f>-C29*('Fane 15. Nøgletal'!C26+'Fane 5. Individuelt eff. krav'!G9)</f>
        <v>0</v>
      </c>
      <c r="D31" s="8" t="s">
        <v>3</v>
      </c>
      <c r="E31" s="1"/>
    </row>
    <row r="32" spans="1:5" x14ac:dyDescent="0.25">
      <c r="A32" s="1"/>
      <c r="B32" s="79" t="s">
        <v>75</v>
      </c>
      <c r="C32" s="10">
        <f>SUM(C28:C31)</f>
        <v>2354672.5236511827</v>
      </c>
      <c r="D32" s="11" t="s">
        <v>3</v>
      </c>
      <c r="E32" s="1"/>
    </row>
    <row r="33" spans="1:5" x14ac:dyDescent="0.25">
      <c r="A33" s="1"/>
      <c r="B33" s="32" t="s">
        <v>193</v>
      </c>
      <c r="C33" s="33"/>
      <c r="D33" s="20"/>
      <c r="E33" s="1"/>
    </row>
    <row r="34" spans="1:5" x14ac:dyDescent="0.25">
      <c r="A34" s="1"/>
      <c r="B34" s="92" t="s">
        <v>193</v>
      </c>
      <c r="C34" s="10">
        <f>'Fane 9. Korrektion af ØR2021'!E17</f>
        <v>-2081585</v>
      </c>
      <c r="D34" s="11" t="s">
        <v>3</v>
      </c>
      <c r="E34" s="1"/>
    </row>
    <row r="35" spans="1:5" x14ac:dyDescent="0.25">
      <c r="A35" s="1"/>
      <c r="B35" s="32" t="s">
        <v>131</v>
      </c>
      <c r="C35" s="33"/>
      <c r="D35" s="20"/>
      <c r="E35" s="1"/>
    </row>
    <row r="36" spans="1:5" x14ac:dyDescent="0.25">
      <c r="A36" s="1"/>
      <c r="B36" s="92" t="s">
        <v>189</v>
      </c>
      <c r="C36" s="10">
        <f>'Fane 7. Kontrol af ØR2021'!E30</f>
        <v>0</v>
      </c>
      <c r="D36" s="11" t="s">
        <v>3</v>
      </c>
      <c r="E36" s="1"/>
    </row>
    <row r="37" spans="1:5" ht="26.25" customHeight="1" x14ac:dyDescent="0.25">
      <c r="A37" s="1"/>
      <c r="B37" s="115" t="s">
        <v>178</v>
      </c>
      <c r="C37" s="116"/>
      <c r="D37" s="117"/>
      <c r="E37" s="1"/>
    </row>
    <row r="38" spans="1:5" x14ac:dyDescent="0.25">
      <c r="A38" s="1"/>
      <c r="B38" s="89" t="s">
        <v>179</v>
      </c>
      <c r="C38" s="10">
        <f>'Fane 8. Skattesagen'!G12</f>
        <v>0</v>
      </c>
      <c r="D38" s="11" t="s">
        <v>3</v>
      </c>
      <c r="E38" s="1"/>
    </row>
    <row r="39" spans="1:5" x14ac:dyDescent="0.25">
      <c r="A39" s="1"/>
      <c r="B39" s="32" t="s">
        <v>78</v>
      </c>
      <c r="C39" s="12">
        <f>SUM(C22,C24,C26,C32,C34,C36,C38)</f>
        <v>168587866.26951885</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row>
  </sheetData>
  <sheetProtection algorithmName="SHA-512" hashValue="/hYwSEG5q0Bl4tZR7Ul0KKjt+jDvrzOu4RLnnvzD0aR2QFXe5W1qY6/ysS9ugrtzmD77iXpTOILew1HXvDgllA==" saltValue="BM0KjKv7P5e3DDJJiLfxm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19" t="s">
        <v>262</v>
      </c>
      <c r="C3" s="119"/>
      <c r="D3" s="1"/>
    </row>
    <row r="4" spans="1:4" ht="25.5" customHeight="1" x14ac:dyDescent="0.25">
      <c r="A4" s="1"/>
      <c r="B4" s="119"/>
      <c r="C4" s="11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8" t="s">
        <v>180</v>
      </c>
      <c r="C9" s="26">
        <v>1.2699999999999999E-2</v>
      </c>
      <c r="D9" s="1"/>
    </row>
    <row r="10" spans="1:4" x14ac:dyDescent="0.25">
      <c r="A10" s="1"/>
      <c r="B10" s="88" t="s">
        <v>100</v>
      </c>
      <c r="C10" s="26">
        <v>1.7500000000000002E-2</v>
      </c>
      <c r="D10" s="1"/>
    </row>
    <row r="11" spans="1:4" x14ac:dyDescent="0.25">
      <c r="A11" s="1"/>
      <c r="B11" s="88"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188</v>
      </c>
      <c r="C14" s="29">
        <v>3.3E-3</v>
      </c>
      <c r="D14" s="1"/>
    </row>
    <row r="15" spans="1:4" x14ac:dyDescent="0.25">
      <c r="A15" s="1"/>
      <c r="B15" s="28" t="s">
        <v>227</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8" t="s">
        <v>181</v>
      </c>
      <c r="C20" s="23">
        <v>9.1000000000000004E-3</v>
      </c>
      <c r="D20" s="1"/>
    </row>
    <row r="21" spans="1:4" x14ac:dyDescent="0.25">
      <c r="A21" s="1"/>
      <c r="B21" s="88" t="s">
        <v>102</v>
      </c>
      <c r="C21" s="23">
        <v>1.77E-2</v>
      </c>
      <c r="D21" s="1"/>
    </row>
    <row r="22" spans="1:4" x14ac:dyDescent="0.25">
      <c r="A22" s="1"/>
      <c r="B22" s="88" t="s">
        <v>101</v>
      </c>
      <c r="C22" s="23">
        <v>8.6999999999999994E-3</v>
      </c>
      <c r="D22" s="1"/>
    </row>
    <row r="23" spans="1:4" x14ac:dyDescent="0.25">
      <c r="A23" s="1"/>
      <c r="B23" s="88" t="s">
        <v>103</v>
      </c>
      <c r="C23" s="23">
        <v>2.8400000000000002E-2</v>
      </c>
      <c r="D23" s="1"/>
    </row>
    <row r="24" spans="1:4" x14ac:dyDescent="0.25">
      <c r="A24" s="1"/>
      <c r="B24" s="88" t="s">
        <v>122</v>
      </c>
      <c r="C24" s="30">
        <v>2.75E-2</v>
      </c>
      <c r="D24" s="1"/>
    </row>
    <row r="25" spans="1:4" x14ac:dyDescent="0.25">
      <c r="A25" s="1"/>
      <c r="B25" s="88" t="s">
        <v>149</v>
      </c>
      <c r="C25" s="30">
        <v>1.4800000000000001E-2</v>
      </c>
      <c r="D25" s="1"/>
    </row>
    <row r="26" spans="1:4" x14ac:dyDescent="0.25">
      <c r="A26" s="1"/>
      <c r="B26" s="88" t="s">
        <v>228</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8"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fmEDDAlpmNVe1kUZHK+kMaJJzQVFvOiaM3lU4ui4qlV58JHPI4M067Ox6jL3k86olSYWI3Wnc3b0+RwjnUlZpw==" saltValue="qwbuyhOAf09x0NXbqwNvK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195</v>
      </c>
      <c r="C3" s="114"/>
      <c r="D3" s="114"/>
      <c r="E3" s="1"/>
    </row>
    <row r="4" spans="1:5" ht="15" customHeight="1" x14ac:dyDescent="0.25">
      <c r="A4" s="1"/>
      <c r="B4" s="114"/>
      <c r="C4" s="114"/>
      <c r="D4" s="114"/>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4" t="s">
        <v>115</v>
      </c>
      <c r="C9" s="7">
        <f>'Fane 2.1. Økonomisk ramme 2023'!C22</f>
        <v>114885565.69295342</v>
      </c>
      <c r="D9" s="8" t="s">
        <v>3</v>
      </c>
      <c r="E9" s="1"/>
    </row>
    <row r="10" spans="1:5" ht="15" customHeight="1" x14ac:dyDescent="0.25">
      <c r="A10" s="1"/>
      <c r="B10" s="75" t="s">
        <v>19</v>
      </c>
      <c r="C10" s="7">
        <f>SUM(C9:C9)*'Fane 15. Nøgletal'!C15</f>
        <v>4089926.138669142</v>
      </c>
      <c r="D10" s="8" t="s">
        <v>3</v>
      </c>
      <c r="E10" s="1"/>
    </row>
    <row r="11" spans="1:5" ht="15" customHeight="1" x14ac:dyDescent="0.25">
      <c r="A11" s="1"/>
      <c r="B11" s="75" t="s">
        <v>10</v>
      </c>
      <c r="C11" s="9">
        <f>-SUM(C9:C10)*'Fane 5. Individuelt eff. krav'!G9</f>
        <v>-792802.38345969631</v>
      </c>
      <c r="D11" s="8" t="s">
        <v>3</v>
      </c>
      <c r="E11" s="1"/>
    </row>
    <row r="12" spans="1:5" ht="15" customHeight="1" x14ac:dyDescent="0.25">
      <c r="A12" s="1"/>
      <c r="B12" s="75" t="s">
        <v>25</v>
      </c>
      <c r="C12" s="9">
        <f>-'Fane 4.1. Gen. krav - drift'!G54</f>
        <v>-414968.30233711161</v>
      </c>
      <c r="D12" s="8" t="s">
        <v>3</v>
      </c>
      <c r="E12" s="1"/>
    </row>
    <row r="13" spans="1:5" ht="15" customHeight="1" x14ac:dyDescent="0.25">
      <c r="A13" s="1"/>
      <c r="B13" s="75" t="s">
        <v>26</v>
      </c>
      <c r="C13" s="9">
        <f>-'Fane 4.2. Gen. krav - anlæg'!G52</f>
        <v>0</v>
      </c>
      <c r="D13" s="8" t="s">
        <v>3</v>
      </c>
      <c r="E13" s="1"/>
    </row>
    <row r="14" spans="1:5" ht="15" customHeight="1" x14ac:dyDescent="0.25">
      <c r="A14" s="1"/>
      <c r="B14" s="35" t="s">
        <v>21</v>
      </c>
      <c r="C14" s="10">
        <f>SUM(C9:C13)</f>
        <v>117767721.14582576</v>
      </c>
      <c r="D14" s="11" t="s">
        <v>3</v>
      </c>
      <c r="E14" s="1"/>
    </row>
    <row r="15" spans="1:5" ht="15" customHeight="1" x14ac:dyDescent="0.25">
      <c r="A15" s="1"/>
      <c r="B15" s="32" t="s">
        <v>12</v>
      </c>
      <c r="C15" s="33"/>
      <c r="D15" s="20"/>
      <c r="E15" s="1"/>
    </row>
    <row r="16" spans="1:5" ht="15" customHeight="1" x14ac:dyDescent="0.25">
      <c r="A16" s="1"/>
      <c r="B16" s="92" t="s">
        <v>12</v>
      </c>
      <c r="C16" s="10">
        <f>'Fane 6. Ikke-påvirkelige omk.'!C15*(1+'Fane 15. Nøgletal'!C15)+'Fane 6. Ikke-påvirkelige omk.'!C20+'Fane 6. Ikke-påvirkelige omk.'!C28</f>
        <v>54218515.230797984</v>
      </c>
      <c r="D16" s="11" t="s">
        <v>3</v>
      </c>
      <c r="E16" s="1"/>
    </row>
    <row r="17" spans="1:5" ht="15" customHeight="1" x14ac:dyDescent="0.25">
      <c r="A17" s="1"/>
      <c r="B17" s="32" t="s">
        <v>74</v>
      </c>
      <c r="C17" s="33"/>
      <c r="D17" s="20"/>
      <c r="E17" s="1"/>
    </row>
    <row r="18" spans="1:5" ht="15" customHeight="1" x14ac:dyDescent="0.25">
      <c r="A18" s="1"/>
      <c r="B18" s="79"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2" t="s">
        <v>189</v>
      </c>
      <c r="C20" s="10">
        <f>'Fane 7. Kontrol af ØR2021'!E36</f>
        <v>0</v>
      </c>
      <c r="D20" s="11" t="s">
        <v>3</v>
      </c>
      <c r="E20" s="1"/>
    </row>
    <row r="21" spans="1:5" x14ac:dyDescent="0.25">
      <c r="A21" s="1"/>
      <c r="B21" s="34" t="s">
        <v>178</v>
      </c>
      <c r="C21" s="33"/>
      <c r="D21" s="20"/>
      <c r="E21" s="1"/>
    </row>
    <row r="22" spans="1:5" x14ac:dyDescent="0.25">
      <c r="A22" s="1"/>
      <c r="B22" s="89" t="s">
        <v>179</v>
      </c>
      <c r="C22" s="10">
        <f>'Fane 8. Skattesagen'!G13</f>
        <v>0</v>
      </c>
      <c r="D22" s="11" t="s">
        <v>3</v>
      </c>
      <c r="E22" s="1"/>
    </row>
    <row r="23" spans="1:5" ht="15" customHeight="1" x14ac:dyDescent="0.25">
      <c r="A23" s="1"/>
      <c r="B23" s="32" t="s">
        <v>116</v>
      </c>
      <c r="C23" s="12">
        <f>SUM(C14,C16,C18,C20,C22)</f>
        <v>171986236.37662375</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dztv8qs4FHtppJH4pXfqWGo4Vw804hWBX2FZzYg8CET4ppefX6eXGwG77ghPrB9DWsirkTRKlQS/+x8wtv8sCA==" saltValue="R9gJ9lrUstZGQf58HweBz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196</v>
      </c>
      <c r="C3" s="114"/>
      <c r="D3" s="114"/>
      <c r="E3" s="1"/>
    </row>
    <row r="4" spans="1:5" ht="15" customHeight="1" x14ac:dyDescent="0.25">
      <c r="A4" s="1"/>
      <c r="B4" s="114"/>
      <c r="C4" s="114"/>
      <c r="D4" s="114"/>
      <c r="E4" s="1"/>
    </row>
    <row r="5" spans="1:5" x14ac:dyDescent="0.25">
      <c r="A5" s="1"/>
      <c r="B5" s="118" t="s">
        <v>22</v>
      </c>
      <c r="C5" s="118"/>
      <c r="D5" s="118"/>
      <c r="E5" s="1"/>
    </row>
    <row r="6" spans="1:5" x14ac:dyDescent="0.25">
      <c r="A6" s="1"/>
      <c r="B6" s="1"/>
      <c r="C6" s="1"/>
      <c r="D6" s="1"/>
      <c r="E6" s="1"/>
    </row>
    <row r="7" spans="1:5" x14ac:dyDescent="0.25">
      <c r="A7" s="1"/>
      <c r="B7" s="32" t="s">
        <v>13</v>
      </c>
      <c r="C7" s="33"/>
      <c r="D7" s="20"/>
      <c r="E7" s="1"/>
    </row>
    <row r="8" spans="1:5" ht="15" customHeight="1" x14ac:dyDescent="0.25">
      <c r="A8" s="1"/>
      <c r="B8" s="74" t="s">
        <v>137</v>
      </c>
      <c r="C8" s="7">
        <f>'Fane 2.2. Økonomisk ramme 2024'!C14</f>
        <v>117767721.14582576</v>
      </c>
      <c r="D8" s="8" t="s">
        <v>3</v>
      </c>
      <c r="E8" s="1"/>
    </row>
    <row r="9" spans="1:5" ht="15" customHeight="1" x14ac:dyDescent="0.25">
      <c r="A9" s="1"/>
      <c r="B9" s="75" t="s">
        <v>19</v>
      </c>
      <c r="C9" s="44">
        <f>SUM(C8:C8)*'Fane 15. Nøgletal'!C15</f>
        <v>4192530.8727913969</v>
      </c>
      <c r="D9" s="8" t="s">
        <v>3</v>
      </c>
      <c r="E9" s="1"/>
    </row>
    <row r="10" spans="1:5" ht="15" customHeight="1" x14ac:dyDescent="0.25">
      <c r="A10" s="1"/>
      <c r="B10" s="75" t="s">
        <v>10</v>
      </c>
      <c r="C10" s="9">
        <f>-SUM(C8:C9)*'Fane 5. Individuelt eff. krav'!G9</f>
        <v>-812691.56360827514</v>
      </c>
      <c r="D10" s="8" t="s">
        <v>3</v>
      </c>
      <c r="E10" s="1"/>
    </row>
    <row r="11" spans="1:5" ht="15" customHeight="1" x14ac:dyDescent="0.25">
      <c r="A11" s="1"/>
      <c r="B11" s="75" t="s">
        <v>25</v>
      </c>
      <c r="C11" s="9">
        <f>-'Fane 4.1. Gen. krav - drift'!G59</f>
        <v>-421146.35042230657</v>
      </c>
      <c r="D11" s="8" t="s">
        <v>3</v>
      </c>
      <c r="E11" s="1"/>
    </row>
    <row r="12" spans="1:5" ht="15" customHeight="1" x14ac:dyDescent="0.25">
      <c r="A12" s="1"/>
      <c r="B12" s="75" t="s">
        <v>26</v>
      </c>
      <c r="C12" s="9">
        <f>-'Fane 4.2. Gen. krav - anlæg'!G57</f>
        <v>0</v>
      </c>
      <c r="D12" s="8" t="s">
        <v>3</v>
      </c>
      <c r="E12" s="1"/>
    </row>
    <row r="13" spans="1:5" ht="15.75" customHeight="1" x14ac:dyDescent="0.25">
      <c r="A13" s="1"/>
      <c r="B13" s="35" t="s">
        <v>21</v>
      </c>
      <c r="C13" s="10">
        <f>SUM(C8:C12)</f>
        <v>120726414.10458657</v>
      </c>
      <c r="D13" s="11" t="s">
        <v>3</v>
      </c>
      <c r="E13" s="1"/>
    </row>
    <row r="14" spans="1:5" x14ac:dyDescent="0.25">
      <c r="A14" s="1"/>
      <c r="B14" s="32" t="s">
        <v>12</v>
      </c>
      <c r="C14" s="33"/>
      <c r="D14" s="20"/>
      <c r="E14" s="1"/>
    </row>
    <row r="15" spans="1:5" ht="15" customHeight="1" x14ac:dyDescent="0.25">
      <c r="A15" s="1"/>
      <c r="B15" s="92" t="s">
        <v>12</v>
      </c>
      <c r="C15" s="10">
        <f>'Fane 6. Ikke-påvirkelige omk.'!C15*(1+'Fane 15. Nøgletal'!C15)^2+'Fane 6. Ikke-påvirkelige omk.'!C21+'Fane 6. Ikke-påvirkelige omk.'!C29</f>
        <v>56146208.817414388</v>
      </c>
      <c r="D15" s="11" t="s">
        <v>3</v>
      </c>
      <c r="E15" s="1"/>
    </row>
    <row r="16" spans="1:5" ht="15" customHeight="1" x14ac:dyDescent="0.25">
      <c r="A16" s="1"/>
      <c r="B16" s="32" t="s">
        <v>74</v>
      </c>
      <c r="C16" s="33"/>
      <c r="D16" s="20"/>
      <c r="E16" s="1"/>
    </row>
    <row r="17" spans="1:5" ht="15" customHeight="1" x14ac:dyDescent="0.25">
      <c r="A17" s="1"/>
      <c r="B17" s="79"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2" t="s">
        <v>189</v>
      </c>
      <c r="C19" s="10">
        <f>'Fane 7. Kontrol af ØR2021'!E36</f>
        <v>0</v>
      </c>
      <c r="D19" s="11" t="s">
        <v>3</v>
      </c>
      <c r="E19" s="1"/>
    </row>
    <row r="20" spans="1:5" x14ac:dyDescent="0.25">
      <c r="A20" s="1"/>
      <c r="B20" s="34" t="s">
        <v>178</v>
      </c>
      <c r="C20" s="33"/>
      <c r="D20" s="20"/>
      <c r="E20" s="1"/>
    </row>
    <row r="21" spans="1:5" x14ac:dyDescent="0.25">
      <c r="A21" s="1"/>
      <c r="B21" s="89" t="s">
        <v>179</v>
      </c>
      <c r="C21" s="10">
        <f>'Fane 8. Skattesagen'!G14</f>
        <v>0</v>
      </c>
      <c r="D21" s="11" t="s">
        <v>3</v>
      </c>
      <c r="E21" s="1"/>
    </row>
    <row r="22" spans="1:5" x14ac:dyDescent="0.25">
      <c r="A22" s="1"/>
      <c r="B22" s="32" t="s">
        <v>138</v>
      </c>
      <c r="C22" s="12">
        <f>SUM(C13,C15,C17,C19,C21)</f>
        <v>176872622.92200094</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xCMUGubUSZLXb/+1fqZWGp6aV6bdaHHE0s5nnLdjoMa5gTaw0+8yhcUoUnbbN4jS2S2YmoNE3MhvZYEWp3rDAw==" saltValue="DqiD6FdJRIqW/2c4llu4v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197</v>
      </c>
      <c r="C3" s="114"/>
      <c r="D3" s="114"/>
      <c r="E3" s="1"/>
    </row>
    <row r="4" spans="1:5" ht="15" customHeight="1" x14ac:dyDescent="0.25">
      <c r="A4" s="1"/>
      <c r="B4" s="114"/>
      <c r="C4" s="114"/>
      <c r="D4" s="114"/>
      <c r="E4" s="1"/>
    </row>
    <row r="5" spans="1:5" x14ac:dyDescent="0.25">
      <c r="A5" s="1"/>
      <c r="B5" s="118" t="s">
        <v>22</v>
      </c>
      <c r="C5" s="118"/>
      <c r="D5" s="118"/>
      <c r="E5" s="1"/>
    </row>
    <row r="6" spans="1:5" x14ac:dyDescent="0.25">
      <c r="A6" s="1"/>
      <c r="B6" s="1"/>
      <c r="C6" s="1"/>
      <c r="D6" s="1"/>
      <c r="E6" s="1"/>
    </row>
    <row r="7" spans="1:5" x14ac:dyDescent="0.25">
      <c r="A7" s="1"/>
      <c r="B7" s="32" t="s">
        <v>13</v>
      </c>
      <c r="C7" s="33"/>
      <c r="D7" s="20"/>
      <c r="E7" s="1"/>
    </row>
    <row r="8" spans="1:5" ht="15" customHeight="1" x14ac:dyDescent="0.25">
      <c r="A8" s="1"/>
      <c r="B8" s="74" t="s">
        <v>198</v>
      </c>
      <c r="C8" s="7">
        <f>'Fane 2.3. Økonomisk ramme 2025'!C13</f>
        <v>120726414.10458657</v>
      </c>
      <c r="D8" s="8" t="s">
        <v>3</v>
      </c>
      <c r="E8" s="1"/>
    </row>
    <row r="9" spans="1:5" ht="15" customHeight="1" x14ac:dyDescent="0.25">
      <c r="A9" s="1"/>
      <c r="B9" s="75" t="s">
        <v>19</v>
      </c>
      <c r="C9" s="44">
        <f>SUM(C8:C8)*'Fane 15. Nøgletal'!C15</f>
        <v>4297860.3421232821</v>
      </c>
      <c r="D9" s="8" t="s">
        <v>3</v>
      </c>
      <c r="E9" s="1"/>
    </row>
    <row r="10" spans="1:5" ht="15" customHeight="1" x14ac:dyDescent="0.25">
      <c r="A10" s="1"/>
      <c r="B10" s="75" t="s">
        <v>10</v>
      </c>
      <c r="C10" s="9">
        <f>-SUM(C8:C9)*'Fane 5. Individuelt eff. krav'!G9</f>
        <v>-833108.91382527351</v>
      </c>
      <c r="D10" s="8" t="s">
        <v>3</v>
      </c>
      <c r="E10" s="1"/>
    </row>
    <row r="11" spans="1:5" ht="15" customHeight="1" x14ac:dyDescent="0.25">
      <c r="A11" s="1"/>
      <c r="B11" s="75" t="s">
        <v>25</v>
      </c>
      <c r="C11" s="9">
        <f>-'Fane 4.1. Gen. krav - drift'!G64</f>
        <v>-427416.3772873939</v>
      </c>
      <c r="D11" s="8" t="s">
        <v>3</v>
      </c>
      <c r="E11" s="1"/>
    </row>
    <row r="12" spans="1:5" ht="15" customHeight="1" x14ac:dyDescent="0.25">
      <c r="A12" s="1"/>
      <c r="B12" s="75" t="s">
        <v>26</v>
      </c>
      <c r="C12" s="9">
        <f>-'Fane 4.2. Gen. krav - anlæg'!G62</f>
        <v>0</v>
      </c>
      <c r="D12" s="8" t="s">
        <v>3</v>
      </c>
      <c r="E12" s="1"/>
    </row>
    <row r="13" spans="1:5" ht="15.75" customHeight="1" x14ac:dyDescent="0.25">
      <c r="A13" s="1"/>
      <c r="B13" s="35" t="s">
        <v>21</v>
      </c>
      <c r="C13" s="10">
        <f>SUM(C8:C12)</f>
        <v>123763749.1555972</v>
      </c>
      <c r="D13" s="11" t="s">
        <v>3</v>
      </c>
      <c r="E13" s="1"/>
    </row>
    <row r="14" spans="1:5" x14ac:dyDescent="0.25">
      <c r="A14" s="1"/>
      <c r="B14" s="32" t="s">
        <v>12</v>
      </c>
      <c r="C14" s="33"/>
      <c r="D14" s="20"/>
      <c r="E14" s="1"/>
    </row>
    <row r="15" spans="1:5" ht="15" customHeight="1" x14ac:dyDescent="0.25">
      <c r="A15" s="1"/>
      <c r="B15" s="92" t="s">
        <v>12</v>
      </c>
      <c r="C15" s="10">
        <f>'Fane 6. Ikke-påvirkelige omk.'!C15*(1+'Fane 15. Nøgletal'!C15)^3+'Fane 6. Ikke-påvirkelige omk.'!C22+'Fane 6. Ikke-påvirkelige omk.'!C30</f>
        <v>58142482.016514346</v>
      </c>
      <c r="D15" s="11" t="s">
        <v>3</v>
      </c>
      <c r="E15" s="1"/>
    </row>
    <row r="16" spans="1:5" ht="15" customHeight="1" x14ac:dyDescent="0.25">
      <c r="A16" s="1"/>
      <c r="B16" s="32" t="s">
        <v>74</v>
      </c>
      <c r="C16" s="33"/>
      <c r="D16" s="20"/>
      <c r="E16" s="1"/>
    </row>
    <row r="17" spans="1:5" ht="15" customHeight="1" x14ac:dyDescent="0.25">
      <c r="A17" s="1"/>
      <c r="B17" s="79"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2" t="s">
        <v>189</v>
      </c>
      <c r="C19" s="10">
        <f>'Fane 7. Kontrol af ØR2021'!E36</f>
        <v>0</v>
      </c>
      <c r="D19" s="11" t="s">
        <v>3</v>
      </c>
      <c r="E19" s="1"/>
    </row>
    <row r="20" spans="1:5" ht="15" customHeight="1" x14ac:dyDescent="0.25">
      <c r="A20" s="1"/>
      <c r="B20" s="34" t="s">
        <v>178</v>
      </c>
      <c r="C20" s="33"/>
      <c r="D20" s="20"/>
      <c r="E20" s="1"/>
    </row>
    <row r="21" spans="1:5" ht="15" customHeight="1" x14ac:dyDescent="0.25">
      <c r="A21" s="1"/>
      <c r="B21" s="89" t="s">
        <v>179</v>
      </c>
      <c r="C21" s="10">
        <f>'Fane 8. Skattesagen'!G15</f>
        <v>0</v>
      </c>
      <c r="D21" s="11" t="s">
        <v>3</v>
      </c>
      <c r="E21" s="1"/>
    </row>
    <row r="22" spans="1:5" ht="15" customHeight="1" x14ac:dyDescent="0.25">
      <c r="A22" s="1"/>
      <c r="B22" s="32" t="s">
        <v>199</v>
      </c>
      <c r="C22" s="12">
        <f>SUM(C13,C15,C17,C19,C21)</f>
        <v>181906231.17211154</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wWslwVa4Q4Xy3XntjqBGPHLBq9etcRx31hn/wnApxu2/REOOQMQxfK48qMxkgF2/RY4x+ssYIf7nKEfEflgAA==" saltValue="3SReMBkwII3BmrGzmiDc5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200</v>
      </c>
      <c r="C3" s="119"/>
      <c r="D3" s="119"/>
      <c r="E3" s="119"/>
      <c r="F3" s="119"/>
      <c r="G3" s="1"/>
    </row>
    <row r="4" spans="1:7" ht="29.2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201</v>
      </c>
      <c r="C8" s="33"/>
      <c r="D8" s="33"/>
      <c r="E8" s="33"/>
      <c r="F8" s="20"/>
      <c r="G8" s="1"/>
    </row>
    <row r="9" spans="1:7" x14ac:dyDescent="0.25">
      <c r="A9" s="1"/>
      <c r="B9" s="120" t="s">
        <v>24</v>
      </c>
      <c r="C9" s="121"/>
      <c r="D9" s="122"/>
      <c r="E9" s="60">
        <v>110382195.27340128</v>
      </c>
      <c r="F9" s="8" t="s">
        <v>3</v>
      </c>
      <c r="G9" s="1"/>
    </row>
    <row r="10" spans="1:7" ht="14.25" customHeight="1" x14ac:dyDescent="0.25">
      <c r="A10" s="1"/>
      <c r="B10" s="126" t="s">
        <v>39</v>
      </c>
      <c r="C10" s="127"/>
      <c r="D10" s="128"/>
      <c r="E10" s="60">
        <v>298810.83240000001</v>
      </c>
      <c r="F10" s="8" t="s">
        <v>3</v>
      </c>
      <c r="G10" s="1"/>
    </row>
    <row r="11" spans="1:7" ht="14.25" customHeight="1" x14ac:dyDescent="0.25">
      <c r="A11" s="1"/>
      <c r="B11" s="126" t="s">
        <v>40</v>
      </c>
      <c r="C11" s="127"/>
      <c r="D11" s="128"/>
      <c r="E11" s="60">
        <v>4552256.0339000002</v>
      </c>
      <c r="F11" s="8" t="s">
        <v>3</v>
      </c>
      <c r="G11" s="1"/>
    </row>
    <row r="12" spans="1:7" x14ac:dyDescent="0.25">
      <c r="A12" s="1"/>
      <c r="B12" s="123" t="s">
        <v>28</v>
      </c>
      <c r="C12" s="124"/>
      <c r="D12" s="125"/>
      <c r="E12" s="61">
        <v>0</v>
      </c>
      <c r="F12" s="8" t="s">
        <v>3</v>
      </c>
      <c r="G12" s="1"/>
    </row>
    <row r="13" spans="1:7" ht="15" customHeight="1" x14ac:dyDescent="0.25">
      <c r="A13" s="1"/>
      <c r="B13" s="123" t="s">
        <v>27</v>
      </c>
      <c r="C13" s="124"/>
      <c r="D13" s="125"/>
      <c r="E13" s="61">
        <v>0</v>
      </c>
      <c r="F13" s="8" t="s">
        <v>3</v>
      </c>
      <c r="G13" s="1"/>
    </row>
    <row r="14" spans="1:7" x14ac:dyDescent="0.25">
      <c r="A14" s="1"/>
      <c r="B14" s="123" t="s">
        <v>113</v>
      </c>
      <c r="C14" s="124"/>
      <c r="D14" s="125"/>
      <c r="E14" s="61">
        <v>0</v>
      </c>
      <c r="F14" s="8" t="s">
        <v>3</v>
      </c>
      <c r="G14" s="1"/>
    </row>
    <row r="15" spans="1:7" x14ac:dyDescent="0.25">
      <c r="A15" s="1"/>
      <c r="B15" s="123" t="s">
        <v>114</v>
      </c>
      <c r="C15" s="124"/>
      <c r="D15" s="125"/>
      <c r="E15" s="61">
        <v>0</v>
      </c>
      <c r="F15" s="8" t="s">
        <v>3</v>
      </c>
      <c r="G15" s="1"/>
    </row>
    <row r="16" spans="1:7" x14ac:dyDescent="0.25">
      <c r="A16" s="1"/>
      <c r="B16" s="123" t="s">
        <v>19</v>
      </c>
      <c r="C16" s="124"/>
      <c r="D16" s="125"/>
      <c r="E16" s="61">
        <f>SUM(E9:E15)*'Fane 15. Nøgletal'!C14</f>
        <v>380269.76506101422</v>
      </c>
      <c r="F16" s="8" t="s">
        <v>3</v>
      </c>
      <c r="G16" s="1"/>
    </row>
    <row r="17" spans="1:7" x14ac:dyDescent="0.25">
      <c r="A17" s="1"/>
      <c r="B17" s="123" t="s">
        <v>10</v>
      </c>
      <c r="C17" s="124"/>
      <c r="D17" s="125"/>
      <c r="E17" s="61">
        <v>-770399.70369701949</v>
      </c>
      <c r="F17" s="8" t="s">
        <v>3</v>
      </c>
      <c r="G17" s="1"/>
    </row>
    <row r="18" spans="1:7" x14ac:dyDescent="0.25">
      <c r="A18" s="1"/>
      <c r="B18" s="123" t="s">
        <v>25</v>
      </c>
      <c r="C18" s="124"/>
      <c r="D18" s="125"/>
      <c r="E18" s="61">
        <f>-'Fane 4.1. Gen. krav - drift'!G42</f>
        <v>-403624.84074035531</v>
      </c>
      <c r="F18" s="8" t="s">
        <v>3</v>
      </c>
      <c r="G18" s="1"/>
    </row>
    <row r="19" spans="1:7" x14ac:dyDescent="0.25">
      <c r="A19" s="1"/>
      <c r="B19" s="123" t="s">
        <v>26</v>
      </c>
      <c r="C19" s="124"/>
      <c r="D19" s="125"/>
      <c r="E19" s="61">
        <f>-'Fane 4.2. Gen. krav - anlæg'!G41</f>
        <v>-1419625.2878417436</v>
      </c>
      <c r="F19" s="8" t="s">
        <v>3</v>
      </c>
      <c r="G19" s="1"/>
    </row>
    <row r="20" spans="1:7" x14ac:dyDescent="0.25">
      <c r="A20" s="1"/>
      <c r="B20" s="135" t="s">
        <v>21</v>
      </c>
      <c r="C20" s="136"/>
      <c r="D20" s="137"/>
      <c r="E20" s="62">
        <f>SUM(E9:E19)</f>
        <v>113019882.07248318</v>
      </c>
      <c r="F20" s="45" t="s">
        <v>3</v>
      </c>
      <c r="G20" s="1"/>
    </row>
    <row r="21" spans="1:7" x14ac:dyDescent="0.25">
      <c r="A21" s="1"/>
      <c r="B21" s="32" t="s">
        <v>12</v>
      </c>
      <c r="C21" s="33"/>
      <c r="D21" s="33"/>
      <c r="E21" s="63"/>
      <c r="F21" s="20"/>
      <c r="G21" s="1"/>
    </row>
    <row r="22" spans="1:7" ht="14.25" customHeight="1" x14ac:dyDescent="0.25">
      <c r="A22" s="1"/>
      <c r="B22" s="132" t="s">
        <v>12</v>
      </c>
      <c r="C22" s="133"/>
      <c r="D22" s="134"/>
      <c r="E22" s="64">
        <v>36850202.264753446</v>
      </c>
      <c r="F22" s="10" t="s">
        <v>3</v>
      </c>
      <c r="G22" s="1"/>
    </row>
    <row r="23" spans="1:7" ht="14.25" customHeight="1" x14ac:dyDescent="0.25">
      <c r="A23" s="1"/>
      <c r="B23" s="32" t="s">
        <v>74</v>
      </c>
      <c r="C23" s="33"/>
      <c r="D23" s="33"/>
      <c r="E23" s="63"/>
      <c r="F23" s="20"/>
      <c r="G23" s="1"/>
    </row>
    <row r="24" spans="1:7" x14ac:dyDescent="0.25">
      <c r="A24" s="1"/>
      <c r="B24" s="138" t="s">
        <v>74</v>
      </c>
      <c r="C24" s="139"/>
      <c r="D24" s="140"/>
      <c r="E24" s="64">
        <v>0</v>
      </c>
      <c r="F24" s="10" t="s">
        <v>3</v>
      </c>
      <c r="G24" s="1"/>
    </row>
    <row r="25" spans="1:7" x14ac:dyDescent="0.25">
      <c r="A25" s="1"/>
      <c r="B25" s="32" t="s">
        <v>73</v>
      </c>
      <c r="C25" s="33"/>
      <c r="D25" s="33"/>
      <c r="E25" s="63"/>
      <c r="F25" s="20"/>
      <c r="G25" s="1"/>
    </row>
    <row r="26" spans="1:7" ht="15.4" customHeight="1" x14ac:dyDescent="0.25">
      <c r="A26" s="1"/>
      <c r="B26" s="126" t="s">
        <v>69</v>
      </c>
      <c r="C26" s="127"/>
      <c r="D26" s="128"/>
      <c r="E26" s="65">
        <v>0</v>
      </c>
      <c r="F26" s="8" t="s">
        <v>3</v>
      </c>
      <c r="G26" s="1"/>
    </row>
    <row r="27" spans="1:7" ht="15.75" customHeight="1" x14ac:dyDescent="0.25">
      <c r="A27" s="1"/>
      <c r="B27" s="126" t="s">
        <v>70</v>
      </c>
      <c r="C27" s="127"/>
      <c r="D27" s="128"/>
      <c r="E27" s="65">
        <v>0</v>
      </c>
      <c r="F27" s="8" t="s">
        <v>3</v>
      </c>
      <c r="G27" s="1"/>
    </row>
    <row r="28" spans="1:7" x14ac:dyDescent="0.25">
      <c r="A28" s="1"/>
      <c r="B28" s="79" t="s">
        <v>75</v>
      </c>
      <c r="C28" s="36"/>
      <c r="D28" s="37"/>
      <c r="E28" s="64">
        <v>0</v>
      </c>
      <c r="F28" s="11" t="s">
        <v>3</v>
      </c>
      <c r="G28" s="1"/>
    </row>
    <row r="29" spans="1:7" x14ac:dyDescent="0.25">
      <c r="A29" s="1"/>
      <c r="B29" s="32" t="s">
        <v>136</v>
      </c>
      <c r="C29" s="33"/>
      <c r="D29" s="33"/>
      <c r="E29" s="63"/>
      <c r="F29" s="20"/>
      <c r="G29" s="1"/>
    </row>
    <row r="30" spans="1:7" ht="15" customHeight="1" x14ac:dyDescent="0.25">
      <c r="A30" s="1"/>
      <c r="B30" s="132" t="s">
        <v>136</v>
      </c>
      <c r="C30" s="133"/>
      <c r="D30" s="134"/>
      <c r="E30" s="64">
        <v>-2078642</v>
      </c>
      <c r="F30" s="11" t="s">
        <v>3</v>
      </c>
      <c r="G30" s="1"/>
    </row>
    <row r="31" spans="1:7" ht="15" customHeight="1" x14ac:dyDescent="0.25">
      <c r="A31" s="1"/>
      <c r="B31" s="32" t="s">
        <v>131</v>
      </c>
      <c r="C31" s="32"/>
      <c r="D31" s="32"/>
      <c r="E31" s="63"/>
      <c r="F31" s="20"/>
      <c r="G31" s="1"/>
    </row>
    <row r="32" spans="1:7" ht="15" customHeight="1" x14ac:dyDescent="0.25">
      <c r="A32" s="1"/>
      <c r="B32" s="132" t="s">
        <v>189</v>
      </c>
      <c r="C32" s="133"/>
      <c r="D32" s="134"/>
      <c r="E32" s="64">
        <v>0</v>
      </c>
      <c r="F32" s="11" t="s">
        <v>3</v>
      </c>
      <c r="G32" s="1"/>
    </row>
    <row r="33" spans="1:7" ht="15" customHeight="1" x14ac:dyDescent="0.25">
      <c r="A33" s="1"/>
      <c r="B33" s="34" t="s">
        <v>178</v>
      </c>
      <c r="C33" s="34"/>
      <c r="D33" s="34"/>
      <c r="E33" s="63"/>
      <c r="F33" s="20"/>
      <c r="G33" s="1"/>
    </row>
    <row r="34" spans="1:7" ht="15" customHeight="1" x14ac:dyDescent="0.25">
      <c r="A34" s="1"/>
      <c r="B34" s="89" t="s">
        <v>179</v>
      </c>
      <c r="C34" s="89"/>
      <c r="D34" s="89"/>
      <c r="E34" s="64">
        <f>'Fane 8. Skattesagen'!G11</f>
        <v>0</v>
      </c>
      <c r="F34" s="11" t="s">
        <v>3</v>
      </c>
      <c r="G34" s="1"/>
    </row>
    <row r="35" spans="1:7" x14ac:dyDescent="0.25">
      <c r="A35" s="1"/>
      <c r="B35" s="32" t="s">
        <v>29</v>
      </c>
      <c r="C35" s="33"/>
      <c r="D35" s="33"/>
      <c r="E35" s="95">
        <f>E20+E22+E24+E28+E30+E32+E34</f>
        <v>147791442.33723664</v>
      </c>
      <c r="F35" s="13" t="s">
        <v>3</v>
      </c>
      <c r="G35" s="1"/>
    </row>
    <row r="36" spans="1:7" ht="27" customHeight="1" x14ac:dyDescent="0.25">
      <c r="A36" s="1"/>
      <c r="B36" s="129" t="s">
        <v>202</v>
      </c>
      <c r="C36" s="130"/>
      <c r="D36" s="130"/>
      <c r="E36" s="130"/>
      <c r="F36" s="13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a01lU68KYr7MQQds+LY9G1RcfnG5KpQJenU2YgsU0DZNtMk3hmYXTpfC//5NHomyCzcVMPw7eTTrLybMw7wsAg==" saltValue="6uFKvzIIFsXU1gl20WPh1g=="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8" customWidth="1"/>
    <col min="8" max="8" width="4.42578125" style="2" customWidth="1"/>
    <col min="9" max="9" width="6.7109375" style="2" customWidth="1"/>
    <col min="10" max="16384" width="9" style="2"/>
  </cols>
  <sheetData>
    <row r="1" spans="1:9" ht="15" customHeight="1" x14ac:dyDescent="0.25">
      <c r="A1" s="1"/>
      <c r="B1" s="119" t="s">
        <v>99</v>
      </c>
      <c r="C1" s="119"/>
      <c r="D1" s="119"/>
      <c r="E1" s="119"/>
      <c r="F1" s="119"/>
      <c r="G1" s="119"/>
      <c r="H1" s="119"/>
      <c r="I1" s="1"/>
    </row>
    <row r="2" spans="1:9" ht="15" customHeight="1" x14ac:dyDescent="0.25">
      <c r="A2" s="1"/>
      <c r="B2" s="119"/>
      <c r="C2" s="119"/>
      <c r="D2" s="119"/>
      <c r="E2" s="119"/>
      <c r="F2" s="119"/>
      <c r="G2" s="119"/>
      <c r="H2" s="119"/>
      <c r="I2" s="1"/>
    </row>
    <row r="3" spans="1:9" ht="15" customHeight="1" x14ac:dyDescent="0.25">
      <c r="A3" s="1"/>
      <c r="B3" s="119"/>
      <c r="C3" s="119"/>
      <c r="D3" s="119"/>
      <c r="E3" s="119"/>
      <c r="F3" s="119"/>
      <c r="G3" s="119"/>
      <c r="H3" s="119"/>
      <c r="I3" s="1"/>
    </row>
    <row r="4" spans="1:9" x14ac:dyDescent="0.25">
      <c r="A4" s="1"/>
      <c r="B4" s="147" t="s">
        <v>154</v>
      </c>
      <c r="C4" s="148"/>
      <c r="D4" s="148"/>
      <c r="E4" s="148"/>
      <c r="F4" s="148"/>
      <c r="G4" s="148"/>
      <c r="H4" s="150"/>
      <c r="I4" s="1"/>
    </row>
    <row r="5" spans="1:9" x14ac:dyDescent="0.25">
      <c r="A5" s="1"/>
      <c r="B5" s="141" t="s">
        <v>155</v>
      </c>
      <c r="C5" s="142"/>
      <c r="D5" s="142"/>
      <c r="E5" s="142"/>
      <c r="F5" s="143"/>
      <c r="G5" s="24">
        <v>19267641</v>
      </c>
      <c r="H5" s="14" t="s">
        <v>3</v>
      </c>
      <c r="I5" s="1"/>
    </row>
    <row r="6" spans="1:9" ht="15" customHeight="1" x14ac:dyDescent="0.25">
      <c r="A6" s="1"/>
      <c r="B6" s="129" t="s">
        <v>156</v>
      </c>
      <c r="C6" s="130"/>
      <c r="D6" s="130"/>
      <c r="E6" s="130"/>
      <c r="F6" s="131"/>
      <c r="G6" s="66">
        <v>0</v>
      </c>
      <c r="H6" s="14" t="s">
        <v>3</v>
      </c>
      <c r="I6" s="1"/>
    </row>
    <row r="7" spans="1:9" x14ac:dyDescent="0.25">
      <c r="A7" s="1"/>
      <c r="B7" s="141" t="s">
        <v>157</v>
      </c>
      <c r="C7" s="142"/>
      <c r="D7" s="142"/>
      <c r="E7" s="142"/>
      <c r="F7" s="143"/>
      <c r="G7" s="66">
        <f>SUM(G5:G6)*'Fane 15. Nøgletal'!C31</f>
        <v>385352.82</v>
      </c>
      <c r="H7" s="14" t="s">
        <v>3</v>
      </c>
      <c r="I7" s="1"/>
    </row>
    <row r="8" spans="1:9" x14ac:dyDescent="0.25">
      <c r="A8" s="1"/>
      <c r="B8" s="32"/>
      <c r="C8" s="33"/>
      <c r="D8" s="33"/>
      <c r="E8" s="33"/>
      <c r="F8" s="33"/>
      <c r="G8" s="67"/>
      <c r="H8" s="20"/>
      <c r="I8" s="1"/>
    </row>
    <row r="9" spans="1:9" x14ac:dyDescent="0.25">
      <c r="A9" s="1"/>
      <c r="B9" s="1"/>
      <c r="C9" s="1"/>
      <c r="D9" s="1"/>
      <c r="E9" s="1"/>
      <c r="F9" s="1"/>
      <c r="G9" s="68"/>
      <c r="H9" s="1"/>
      <c r="I9" s="1"/>
    </row>
    <row r="10" spans="1:9" x14ac:dyDescent="0.25">
      <c r="A10" s="1"/>
      <c r="B10" s="147" t="s">
        <v>49</v>
      </c>
      <c r="C10" s="148"/>
      <c r="D10" s="148"/>
      <c r="E10" s="148"/>
      <c r="F10" s="148"/>
      <c r="G10" s="149"/>
      <c r="H10" s="150"/>
      <c r="I10" s="1"/>
    </row>
    <row r="11" spans="1:9" x14ac:dyDescent="0.25">
      <c r="A11" s="1"/>
      <c r="B11" s="141" t="s">
        <v>158</v>
      </c>
      <c r="C11" s="142"/>
      <c r="D11" s="142"/>
      <c r="E11" s="142"/>
      <c r="F11" s="143"/>
      <c r="G11" s="66">
        <f>(G5-G7)*(1+'Fane 15. Nøgletal'!C10)</f>
        <v>19212728.22315</v>
      </c>
      <c r="H11" s="14" t="s">
        <v>3</v>
      </c>
      <c r="I11" s="1"/>
    </row>
    <row r="12" spans="1:9" x14ac:dyDescent="0.25">
      <c r="A12" s="1"/>
      <c r="B12" s="141" t="s">
        <v>110</v>
      </c>
      <c r="C12" s="142"/>
      <c r="D12" s="142"/>
      <c r="E12" s="142"/>
      <c r="F12" s="143"/>
      <c r="G12" s="66">
        <v>-0.4524358685780317</v>
      </c>
      <c r="H12" s="14" t="s">
        <v>3</v>
      </c>
      <c r="I12" s="1"/>
    </row>
    <row r="13" spans="1:9" x14ac:dyDescent="0.25">
      <c r="A13" s="1"/>
      <c r="B13" s="129" t="s">
        <v>108</v>
      </c>
      <c r="C13" s="130"/>
      <c r="D13" s="130"/>
      <c r="E13" s="130"/>
      <c r="F13" s="131"/>
      <c r="G13" s="66">
        <v>0</v>
      </c>
      <c r="H13" s="14" t="s">
        <v>3</v>
      </c>
      <c r="I13" s="1"/>
    </row>
    <row r="14" spans="1:9" x14ac:dyDescent="0.25">
      <c r="A14" s="1"/>
      <c r="B14" s="153" t="s">
        <v>159</v>
      </c>
      <c r="C14" s="151"/>
      <c r="D14" s="151"/>
      <c r="E14" s="151"/>
      <c r="F14" s="152"/>
      <c r="G14" s="66">
        <v>0</v>
      </c>
      <c r="H14" s="14" t="s">
        <v>3</v>
      </c>
      <c r="I14" s="1"/>
    </row>
    <row r="15" spans="1:9" x14ac:dyDescent="0.25">
      <c r="A15" s="1"/>
      <c r="B15" s="141" t="s">
        <v>42</v>
      </c>
      <c r="C15" s="142"/>
      <c r="D15" s="142"/>
      <c r="E15" s="142"/>
      <c r="F15" s="143"/>
      <c r="G15" s="66">
        <f>SUM(G11:G14)*'Fane 15. Nøgletal'!C31</f>
        <v>384254.5554142826</v>
      </c>
      <c r="H15" s="14" t="s">
        <v>3</v>
      </c>
      <c r="I15" s="1"/>
    </row>
    <row r="16" spans="1:9" x14ac:dyDescent="0.25">
      <c r="A16" s="1"/>
      <c r="B16" s="32"/>
      <c r="C16" s="33"/>
      <c r="D16" s="33"/>
      <c r="E16" s="33"/>
      <c r="F16" s="33"/>
      <c r="G16" s="67"/>
      <c r="H16" s="20"/>
      <c r="I16" s="1"/>
    </row>
    <row r="17" spans="1:9" x14ac:dyDescent="0.25">
      <c r="A17" s="1"/>
      <c r="B17" s="1"/>
      <c r="C17" s="1"/>
      <c r="D17" s="1"/>
      <c r="E17" s="1"/>
      <c r="F17" s="1"/>
      <c r="G17" s="68"/>
      <c r="H17" s="1"/>
      <c r="I17" s="1"/>
    </row>
    <row r="18" spans="1:9" x14ac:dyDescent="0.25">
      <c r="A18" s="1"/>
      <c r="B18" s="147" t="s">
        <v>50</v>
      </c>
      <c r="C18" s="148"/>
      <c r="D18" s="148"/>
      <c r="E18" s="148"/>
      <c r="F18" s="148"/>
      <c r="G18" s="149"/>
      <c r="H18" s="150"/>
      <c r="I18" s="1"/>
    </row>
    <row r="19" spans="1:9" x14ac:dyDescent="0.25">
      <c r="A19" s="1"/>
      <c r="B19" s="141" t="s">
        <v>43</v>
      </c>
      <c r="C19" s="142"/>
      <c r="D19" s="142"/>
      <c r="E19" s="142"/>
      <c r="F19" s="143"/>
      <c r="G19" s="66">
        <f>(G11+G12+G14-G15)*(1+'Fane 15. Nøgletal'!C10)</f>
        <v>19157971.496567596</v>
      </c>
      <c r="H19" s="14" t="s">
        <v>3</v>
      </c>
      <c r="I19" s="1"/>
    </row>
    <row r="20" spans="1:9" x14ac:dyDescent="0.25">
      <c r="A20" s="1"/>
      <c r="B20" s="153" t="s">
        <v>44</v>
      </c>
      <c r="C20" s="151"/>
      <c r="D20" s="151"/>
      <c r="E20" s="151"/>
      <c r="F20" s="152"/>
      <c r="G20" s="66">
        <v>0</v>
      </c>
      <c r="H20" s="14" t="s">
        <v>3</v>
      </c>
      <c r="I20" s="1"/>
    </row>
    <row r="21" spans="1:9" x14ac:dyDescent="0.25">
      <c r="A21" s="1"/>
      <c r="B21" s="141" t="s">
        <v>45</v>
      </c>
      <c r="C21" s="142"/>
      <c r="D21" s="142"/>
      <c r="E21" s="142"/>
      <c r="F21" s="143"/>
      <c r="G21" s="66">
        <f>(G19+G20)*'Fane 15. Nøgletal'!C31</f>
        <v>383159.42993135192</v>
      </c>
      <c r="H21" s="14" t="s">
        <v>3</v>
      </c>
      <c r="I21" s="1"/>
    </row>
    <row r="22" spans="1:9" x14ac:dyDescent="0.25">
      <c r="A22" s="1"/>
      <c r="B22" s="32"/>
      <c r="C22" s="33"/>
      <c r="D22" s="33"/>
      <c r="E22" s="33"/>
      <c r="F22" s="33"/>
      <c r="G22" s="67"/>
      <c r="H22" s="20"/>
      <c r="I22" s="1"/>
    </row>
    <row r="23" spans="1:9" x14ac:dyDescent="0.25">
      <c r="A23" s="1"/>
      <c r="B23" s="1"/>
      <c r="C23" s="1"/>
      <c r="D23" s="1"/>
      <c r="E23" s="1"/>
      <c r="F23" s="1"/>
      <c r="G23" s="68"/>
      <c r="H23" s="1"/>
      <c r="I23" s="1"/>
    </row>
    <row r="24" spans="1:9" x14ac:dyDescent="0.25">
      <c r="A24" s="1"/>
      <c r="B24" s="147" t="s">
        <v>51</v>
      </c>
      <c r="C24" s="148"/>
      <c r="D24" s="148"/>
      <c r="E24" s="148"/>
      <c r="F24" s="148"/>
      <c r="G24" s="149"/>
      <c r="H24" s="150"/>
      <c r="I24" s="1"/>
    </row>
    <row r="25" spans="1:9" x14ac:dyDescent="0.25">
      <c r="A25" s="1"/>
      <c r="B25" s="141" t="s">
        <v>46</v>
      </c>
      <c r="C25" s="142"/>
      <c r="D25" s="142"/>
      <c r="E25" s="142"/>
      <c r="F25" s="143"/>
      <c r="G25" s="66">
        <f>G19*(1-'Fane 15. Nøgletal'!C31)*(1+'Fane 15. Nøgletal'!C10)+G20*(1-'Fane 15. Nøgletal'!C31)*(1+'Fane 15. Nøgletal'!C11)</f>
        <v>19103371.277802378</v>
      </c>
      <c r="H25" s="14" t="s">
        <v>3</v>
      </c>
      <c r="I25" s="1"/>
    </row>
    <row r="26" spans="1:9" x14ac:dyDescent="0.25">
      <c r="A26" s="1"/>
      <c r="B26" s="144" t="s">
        <v>160</v>
      </c>
      <c r="C26" s="145"/>
      <c r="D26" s="145"/>
      <c r="E26" s="145"/>
      <c r="F26" s="146"/>
      <c r="G26" s="66">
        <f>G20*(1-'Fane 15. Nøgletal'!C31)*(1+'Fane 15. Nøgletal'!C11)</f>
        <v>0</v>
      </c>
      <c r="H26" s="14" t="s">
        <v>3</v>
      </c>
      <c r="I26" s="1"/>
    </row>
    <row r="27" spans="1:9" x14ac:dyDescent="0.25">
      <c r="A27" s="1"/>
      <c r="B27" s="153" t="s">
        <v>47</v>
      </c>
      <c r="C27" s="151"/>
      <c r="D27" s="151"/>
      <c r="E27" s="151"/>
      <c r="F27" s="152"/>
      <c r="G27" s="66">
        <v>0</v>
      </c>
      <c r="H27" s="14" t="s">
        <v>3</v>
      </c>
      <c r="I27" s="1"/>
    </row>
    <row r="28" spans="1:9" x14ac:dyDescent="0.25">
      <c r="A28" s="1"/>
      <c r="B28" s="141" t="s">
        <v>48</v>
      </c>
      <c r="C28" s="142"/>
      <c r="D28" s="142"/>
      <c r="E28" s="142"/>
      <c r="F28" s="143"/>
      <c r="G28" s="66">
        <f>SUM(G25,G27)*'Fane 15. Nøgletal'!C31</f>
        <v>382067.42555604759</v>
      </c>
      <c r="H28" s="14" t="s">
        <v>3</v>
      </c>
      <c r="I28" s="1"/>
    </row>
    <row r="29" spans="1:9" x14ac:dyDescent="0.25">
      <c r="A29" s="1"/>
      <c r="B29" s="32"/>
      <c r="C29" s="33"/>
      <c r="D29" s="33"/>
      <c r="E29" s="33"/>
      <c r="F29" s="33"/>
      <c r="G29" s="67"/>
      <c r="H29" s="20"/>
      <c r="I29" s="1"/>
    </row>
    <row r="30" spans="1:9" x14ac:dyDescent="0.25">
      <c r="A30" s="1"/>
      <c r="B30" s="1"/>
      <c r="C30" s="1"/>
      <c r="D30" s="1"/>
      <c r="E30" s="1"/>
      <c r="F30" s="1"/>
      <c r="G30" s="68"/>
      <c r="H30" s="1"/>
      <c r="I30" s="1"/>
    </row>
    <row r="31" spans="1:9" x14ac:dyDescent="0.25">
      <c r="A31" s="1"/>
      <c r="B31" s="147" t="s">
        <v>52</v>
      </c>
      <c r="C31" s="148"/>
      <c r="D31" s="148"/>
      <c r="E31" s="148"/>
      <c r="F31" s="148"/>
      <c r="G31" s="149"/>
      <c r="H31" s="150"/>
      <c r="I31" s="1"/>
    </row>
    <row r="32" spans="1:9" x14ac:dyDescent="0.25">
      <c r="A32" s="1"/>
      <c r="B32" s="141" t="s">
        <v>53</v>
      </c>
      <c r="C32" s="142"/>
      <c r="D32" s="142"/>
      <c r="E32" s="142"/>
      <c r="F32" s="143"/>
      <c r="G32" s="66">
        <f>(G25-G26)*(1-'Fane 15. Nøgletal'!C31)*(1+'Fane 15. Nøgletal'!C10)+G26*(1-'Fane 15. Nøgletal'!C31)*(1+'Fane 15. Nøgletal'!C11)+G27*(1-'Fane 15. Nøgletal'!C31)*(1+'Fane 15. Nøgletal'!C12)</f>
        <v>19048926.669660643</v>
      </c>
      <c r="H32" s="14" t="s">
        <v>3</v>
      </c>
      <c r="I32" s="1"/>
    </row>
    <row r="33" spans="1:9" x14ac:dyDescent="0.25">
      <c r="A33" s="1"/>
      <c r="B33" s="144" t="s">
        <v>160</v>
      </c>
      <c r="C33" s="151"/>
      <c r="D33" s="151"/>
      <c r="E33" s="151"/>
      <c r="F33" s="152"/>
      <c r="G33" s="66">
        <f>G26*(1-'Fane 15. Nøgletal'!C31)*(1+'Fane 15. Nøgletal'!C11)</f>
        <v>0</v>
      </c>
      <c r="H33" s="14" t="s">
        <v>3</v>
      </c>
      <c r="I33" s="1"/>
    </row>
    <row r="34" spans="1:9" x14ac:dyDescent="0.25">
      <c r="A34" s="1"/>
      <c r="B34" s="144" t="s">
        <v>107</v>
      </c>
      <c r="C34" s="151"/>
      <c r="D34" s="151"/>
      <c r="E34" s="151"/>
      <c r="F34" s="152"/>
      <c r="G34" s="66">
        <f>G27*(1-'Fane 15. Nøgletal'!C31)*(1+'Fane 15. Nøgletal'!C12)</f>
        <v>0</v>
      </c>
      <c r="H34" s="14" t="s">
        <v>3</v>
      </c>
      <c r="I34" s="1"/>
    </row>
    <row r="35" spans="1:9" x14ac:dyDescent="0.25">
      <c r="A35" s="1"/>
      <c r="B35" s="141" t="s">
        <v>123</v>
      </c>
      <c r="C35" s="142"/>
      <c r="D35" s="142"/>
      <c r="E35" s="142"/>
      <c r="F35" s="143"/>
      <c r="G35" s="66">
        <v>1171534.71478176</v>
      </c>
      <c r="H35" s="14" t="s">
        <v>3</v>
      </c>
      <c r="I35" s="1"/>
    </row>
    <row r="36" spans="1:9" x14ac:dyDescent="0.25">
      <c r="A36" s="1"/>
      <c r="B36" s="141" t="s">
        <v>54</v>
      </c>
      <c r="C36" s="142"/>
      <c r="D36" s="142"/>
      <c r="E36" s="142"/>
      <c r="F36" s="143"/>
      <c r="G36" s="66">
        <f>SUM(G32,G35)*'Fane 15. Nøgletal'!C31</f>
        <v>404409.2276888481</v>
      </c>
      <c r="H36" s="14" t="s">
        <v>3</v>
      </c>
      <c r="I36" s="1"/>
    </row>
    <row r="37" spans="1:9" x14ac:dyDescent="0.25">
      <c r="A37" s="1"/>
      <c r="B37" s="32"/>
      <c r="C37" s="33"/>
      <c r="D37" s="33"/>
      <c r="E37" s="33"/>
      <c r="F37" s="33"/>
      <c r="G37" s="67"/>
      <c r="H37" s="20"/>
      <c r="I37" s="1"/>
    </row>
    <row r="38" spans="1:9" x14ac:dyDescent="0.25">
      <c r="A38" s="1"/>
      <c r="B38" s="1"/>
      <c r="C38" s="1"/>
      <c r="D38" s="1"/>
      <c r="E38" s="1"/>
      <c r="F38" s="1"/>
      <c r="G38" s="68"/>
      <c r="H38" s="1"/>
      <c r="I38" s="1"/>
    </row>
    <row r="39" spans="1:9" x14ac:dyDescent="0.25">
      <c r="A39" s="1"/>
      <c r="B39" s="147" t="s">
        <v>139</v>
      </c>
      <c r="C39" s="148"/>
      <c r="D39" s="148"/>
      <c r="E39" s="148"/>
      <c r="F39" s="148"/>
      <c r="G39" s="149"/>
      <c r="H39" s="150"/>
      <c r="I39" s="1"/>
    </row>
    <row r="40" spans="1:9" x14ac:dyDescent="0.25">
      <c r="A40" s="1"/>
      <c r="B40" s="141" t="s">
        <v>166</v>
      </c>
      <c r="C40" s="142"/>
      <c r="D40" s="142"/>
      <c r="E40" s="142"/>
      <c r="F40" s="143"/>
      <c r="G40" s="66">
        <f>(SUM(G32,G35)-G36)*(1+'Fane 15. Nøgletal'!C14)</f>
        <v>19881445.128870845</v>
      </c>
      <c r="H40" s="14" t="s">
        <v>3</v>
      </c>
      <c r="I40" s="1"/>
    </row>
    <row r="41" spans="1:9" x14ac:dyDescent="0.25">
      <c r="A41" s="1"/>
      <c r="B41" s="141" t="s">
        <v>165</v>
      </c>
      <c r="C41" s="142"/>
      <c r="D41" s="142"/>
      <c r="E41" s="142"/>
      <c r="F41" s="143"/>
      <c r="G41" s="69">
        <v>299796.90814692003</v>
      </c>
      <c r="H41" s="14" t="s">
        <v>3</v>
      </c>
      <c r="I41" s="1"/>
    </row>
    <row r="42" spans="1:9" x14ac:dyDescent="0.25">
      <c r="A42" s="1"/>
      <c r="B42" s="141" t="s">
        <v>164</v>
      </c>
      <c r="C42" s="142"/>
      <c r="D42" s="142"/>
      <c r="E42" s="142"/>
      <c r="F42" s="143"/>
      <c r="G42" s="66">
        <f>(G40+G41)*'Fane 15. Nøgletal'!C31</f>
        <v>403624.84074035531</v>
      </c>
      <c r="H42" s="14" t="s">
        <v>3</v>
      </c>
      <c r="I42" s="1"/>
    </row>
    <row r="43" spans="1:9" x14ac:dyDescent="0.25">
      <c r="A43" s="1"/>
      <c r="B43" s="32"/>
      <c r="C43" s="33"/>
      <c r="D43" s="33"/>
      <c r="E43" s="33"/>
      <c r="F43" s="33"/>
      <c r="G43" s="67"/>
      <c r="H43" s="20"/>
      <c r="I43" s="1"/>
    </row>
    <row r="44" spans="1:9" x14ac:dyDescent="0.25">
      <c r="A44" s="1"/>
      <c r="B44" s="1"/>
      <c r="C44" s="1"/>
      <c r="D44" s="1"/>
      <c r="E44" s="1"/>
      <c r="F44" s="1"/>
      <c r="G44" s="68"/>
      <c r="H44" s="1"/>
      <c r="I44" s="1"/>
    </row>
    <row r="45" spans="1:9" x14ac:dyDescent="0.25">
      <c r="A45" s="1"/>
      <c r="B45" s="147" t="s">
        <v>151</v>
      </c>
      <c r="C45" s="148"/>
      <c r="D45" s="148"/>
      <c r="E45" s="148"/>
      <c r="F45" s="148"/>
      <c r="G45" s="149"/>
      <c r="H45" s="150"/>
      <c r="I45" s="1"/>
    </row>
    <row r="46" spans="1:9" x14ac:dyDescent="0.25">
      <c r="A46" s="1"/>
      <c r="B46" s="141" t="s">
        <v>175</v>
      </c>
      <c r="C46" s="142"/>
      <c r="D46" s="142"/>
      <c r="E46" s="142"/>
      <c r="F46" s="143"/>
      <c r="G46" s="66">
        <f>(G40+G41-G42)*(1+'Fane 15. Nøgletal'!C14)</f>
        <v>19842883.333025128</v>
      </c>
      <c r="H46" s="14" t="s">
        <v>3</v>
      </c>
      <c r="I46" s="1"/>
    </row>
    <row r="47" spans="1:9" x14ac:dyDescent="0.25">
      <c r="A47" s="1"/>
      <c r="B47" s="144" t="s">
        <v>237</v>
      </c>
      <c r="C47" s="145"/>
      <c r="D47" s="145"/>
      <c r="E47" s="145"/>
      <c r="F47" s="146"/>
      <c r="G47" s="69">
        <f>('Fane 2.1. Økonomisk ramme 2023'!C12+'Fane 2.1. Økonomisk ramme 2023'!C14+'Fane 2.1. Økonomisk ramme 2023'!C16)*(1+'Fane 15. Nøgletal'!C15)</f>
        <v>601160.85397440009</v>
      </c>
      <c r="H47" s="14" t="s">
        <v>3</v>
      </c>
      <c r="I47" s="1"/>
    </row>
    <row r="48" spans="1:9" x14ac:dyDescent="0.25">
      <c r="A48" s="1"/>
      <c r="B48" s="141" t="s">
        <v>176</v>
      </c>
      <c r="C48" s="142"/>
      <c r="D48" s="142"/>
      <c r="E48" s="142"/>
      <c r="F48" s="143"/>
      <c r="G48" s="66">
        <f>G46*'Fane 15. Nøgletal'!C31+'Fane 4.1. Gen. krav - drift'!G47*'Fane 15. Nøgletal'!C31</f>
        <v>408880.88373999053</v>
      </c>
      <c r="H48" s="14" t="s">
        <v>3</v>
      </c>
      <c r="I48" s="1"/>
    </row>
    <row r="49" spans="1:9" x14ac:dyDescent="0.25">
      <c r="A49" s="1"/>
      <c r="B49" s="32"/>
      <c r="C49" s="33"/>
      <c r="D49" s="33"/>
      <c r="E49" s="33"/>
      <c r="F49" s="33"/>
      <c r="G49" s="67"/>
      <c r="H49" s="20"/>
      <c r="I49" s="1"/>
    </row>
    <row r="50" spans="1:9" x14ac:dyDescent="0.25">
      <c r="A50" s="1"/>
      <c r="B50" s="31"/>
      <c r="C50" s="31"/>
      <c r="D50" s="31"/>
      <c r="E50" s="31"/>
      <c r="F50" s="31"/>
      <c r="G50" s="70"/>
      <c r="H50" s="31"/>
      <c r="I50" s="1"/>
    </row>
    <row r="51" spans="1:9" x14ac:dyDescent="0.25">
      <c r="A51" s="1"/>
      <c r="B51" s="31"/>
      <c r="C51" s="31"/>
      <c r="D51" s="31"/>
      <c r="E51" s="31"/>
      <c r="F51" s="31"/>
      <c r="G51" s="70"/>
      <c r="H51" s="31"/>
      <c r="I51" s="1"/>
    </row>
    <row r="52" spans="1:9" x14ac:dyDescent="0.25">
      <c r="A52" s="1"/>
      <c r="B52" s="147" t="s">
        <v>124</v>
      </c>
      <c r="C52" s="148"/>
      <c r="D52" s="148"/>
      <c r="E52" s="148"/>
      <c r="F52" s="148"/>
      <c r="G52" s="149"/>
      <c r="H52" s="150"/>
      <c r="I52" s="1"/>
    </row>
    <row r="53" spans="1:9" x14ac:dyDescent="0.25">
      <c r="A53" s="1"/>
      <c r="B53" s="141" t="s">
        <v>125</v>
      </c>
      <c r="C53" s="142"/>
      <c r="D53" s="142"/>
      <c r="E53" s="142"/>
      <c r="F53" s="143"/>
      <c r="G53" s="66">
        <f>(G46+G47-G48)*(1+'Fane 15. Nøgletal'!C15)</f>
        <v>20748415.11685558</v>
      </c>
      <c r="H53" s="14" t="s">
        <v>3</v>
      </c>
      <c r="I53" s="1"/>
    </row>
    <row r="54" spans="1:9" x14ac:dyDescent="0.25">
      <c r="A54" s="1"/>
      <c r="B54" s="141" t="s">
        <v>126</v>
      </c>
      <c r="C54" s="142"/>
      <c r="D54" s="142"/>
      <c r="E54" s="142"/>
      <c r="F54" s="143"/>
      <c r="G54" s="66">
        <f>(G53)*'Fane 15. Nøgletal'!C31</f>
        <v>414968.30233711161</v>
      </c>
      <c r="H54" s="14" t="s">
        <v>3</v>
      </c>
      <c r="I54" s="1"/>
    </row>
    <row r="55" spans="1:9" x14ac:dyDescent="0.25">
      <c r="A55" s="1"/>
      <c r="B55" s="32"/>
      <c r="C55" s="33"/>
      <c r="D55" s="33"/>
      <c r="E55" s="33"/>
      <c r="F55" s="33"/>
      <c r="G55" s="67"/>
      <c r="H55" s="20"/>
      <c r="I55" s="1"/>
    </row>
    <row r="56" spans="1:9" x14ac:dyDescent="0.25">
      <c r="A56" s="1"/>
      <c r="B56" s="1"/>
      <c r="C56" s="1"/>
      <c r="D56" s="1"/>
      <c r="E56" s="1"/>
      <c r="F56" s="1"/>
      <c r="G56" s="68"/>
      <c r="H56" s="1"/>
      <c r="I56" s="1"/>
    </row>
    <row r="57" spans="1:9" x14ac:dyDescent="0.25">
      <c r="A57" s="1"/>
      <c r="B57" s="85" t="s">
        <v>152</v>
      </c>
      <c r="C57" s="86"/>
      <c r="D57" s="86"/>
      <c r="E57" s="86"/>
      <c r="F57" s="86"/>
      <c r="G57" s="71"/>
      <c r="H57" s="87"/>
      <c r="I57" s="1"/>
    </row>
    <row r="58" spans="1:9" x14ac:dyDescent="0.25">
      <c r="A58" s="1"/>
      <c r="B58" s="82" t="s">
        <v>161</v>
      </c>
      <c r="C58" s="83"/>
      <c r="D58" s="83"/>
      <c r="E58" s="83"/>
      <c r="F58" s="84"/>
      <c r="G58" s="66">
        <f>(G53-G54)*(1+'Fane 15. Nøgletal'!C15)</f>
        <v>21057317.521115329</v>
      </c>
      <c r="H58" s="14" t="s">
        <v>3</v>
      </c>
      <c r="I58" s="1"/>
    </row>
    <row r="59" spans="1:9" x14ac:dyDescent="0.25">
      <c r="A59" s="1"/>
      <c r="B59" s="82" t="s">
        <v>162</v>
      </c>
      <c r="C59" s="83"/>
      <c r="D59" s="83"/>
      <c r="E59" s="83"/>
      <c r="F59" s="84"/>
      <c r="G59" s="66">
        <f>(G58)*'Fane 15. Nøgletal'!C31</f>
        <v>421146.35042230657</v>
      </c>
      <c r="H59" s="14" t="s">
        <v>3</v>
      </c>
      <c r="I59" s="1"/>
    </row>
    <row r="60" spans="1:9" x14ac:dyDescent="0.25">
      <c r="A60" s="1"/>
      <c r="B60" s="32"/>
      <c r="C60" s="33"/>
      <c r="D60" s="33"/>
      <c r="E60" s="33"/>
      <c r="F60" s="33"/>
      <c r="G60" s="67"/>
      <c r="H60" s="20"/>
      <c r="I60" s="1"/>
    </row>
    <row r="61" spans="1:9" x14ac:dyDescent="0.25">
      <c r="A61" s="1"/>
      <c r="B61" s="1"/>
      <c r="C61" s="1"/>
      <c r="D61" s="1"/>
      <c r="E61" s="1"/>
      <c r="F61" s="1"/>
      <c r="G61" s="68"/>
      <c r="H61" s="1"/>
      <c r="I61" s="1"/>
    </row>
    <row r="62" spans="1:9" x14ac:dyDescent="0.25">
      <c r="A62" s="1"/>
      <c r="B62" s="85" t="s">
        <v>203</v>
      </c>
      <c r="C62" s="86"/>
      <c r="D62" s="86"/>
      <c r="E62" s="86"/>
      <c r="F62" s="86"/>
      <c r="G62" s="71"/>
      <c r="H62" s="87"/>
      <c r="I62" s="1"/>
    </row>
    <row r="63" spans="1:9" x14ac:dyDescent="0.25">
      <c r="A63" s="1"/>
      <c r="B63" s="82" t="s">
        <v>204</v>
      </c>
      <c r="C63" s="83"/>
      <c r="D63" s="83"/>
      <c r="E63" s="83"/>
      <c r="F63" s="84"/>
      <c r="G63" s="66">
        <f>(G58-G59)*(1+'Fane 15. Nøgletal'!C15)</f>
        <v>21370818.864369694</v>
      </c>
      <c r="H63" s="14" t="s">
        <v>3</v>
      </c>
      <c r="I63" s="1"/>
    </row>
    <row r="64" spans="1:9" x14ac:dyDescent="0.25">
      <c r="A64" s="1"/>
      <c r="B64" s="82" t="s">
        <v>205</v>
      </c>
      <c r="C64" s="83"/>
      <c r="D64" s="83"/>
      <c r="E64" s="83"/>
      <c r="F64" s="84"/>
      <c r="G64" s="66">
        <f>(G63)*'Fane 15. Nøgletal'!C31</f>
        <v>427416.3772873939</v>
      </c>
      <c r="H64" s="14" t="s">
        <v>3</v>
      </c>
      <c r="I64" s="1"/>
    </row>
    <row r="65" spans="1:9" x14ac:dyDescent="0.25">
      <c r="A65" s="1"/>
      <c r="B65" s="32"/>
      <c r="C65" s="33"/>
      <c r="D65" s="33"/>
      <c r="E65" s="33"/>
      <c r="F65" s="33"/>
      <c r="G65" s="56"/>
      <c r="H65" s="20"/>
      <c r="I65" s="1"/>
    </row>
    <row r="66" spans="1:9" x14ac:dyDescent="0.25">
      <c r="A66" s="1"/>
      <c r="B66" s="1"/>
      <c r="C66" s="1"/>
      <c r="D66" s="1"/>
      <c r="E66" s="1"/>
      <c r="F66" s="1"/>
      <c r="G66" s="57"/>
      <c r="H66" s="1"/>
      <c r="I66" s="1"/>
    </row>
    <row r="67" spans="1:9" x14ac:dyDescent="0.25">
      <c r="A67" s="1"/>
      <c r="B67" s="1"/>
      <c r="C67" s="1"/>
      <c r="D67" s="1"/>
      <c r="E67" s="1"/>
      <c r="F67" s="1"/>
      <c r="G67" s="57"/>
      <c r="H67" s="1"/>
      <c r="I67" s="1"/>
    </row>
    <row r="68" spans="1:9" x14ac:dyDescent="0.25">
      <c r="A68" s="1"/>
      <c r="B68" s="1"/>
      <c r="C68" s="1"/>
      <c r="D68" s="1"/>
      <c r="E68" s="1"/>
      <c r="F68" s="1"/>
      <c r="G68" s="57"/>
      <c r="H68" s="1"/>
      <c r="I68" s="1"/>
    </row>
  </sheetData>
  <sheetProtection algorithmName="SHA-512" hashValue="2zHQI2OIBUwcCcea1U4qS5aovXzc62hFfOqOplwJOgKNfb2hvGKQ5f5Dlbz3Yt+8TPy2/Lno5k6Hy8IVUaGaMA==" saltValue="GCWlAhHZG2J+GjoOyDNL7A=="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19.140625" style="2" customWidth="1"/>
    <col min="7" max="7" width="11"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4" t="s">
        <v>98</v>
      </c>
      <c r="C2" s="154"/>
      <c r="D2" s="154"/>
      <c r="E2" s="154"/>
      <c r="F2" s="154"/>
      <c r="G2" s="154"/>
      <c r="H2" s="154"/>
      <c r="I2" s="1"/>
    </row>
    <row r="3" spans="1:9" ht="28.5" customHeight="1" x14ac:dyDescent="0.25">
      <c r="A3" s="1"/>
      <c r="B3" s="154"/>
      <c r="C3" s="154"/>
      <c r="D3" s="154"/>
      <c r="E3" s="154"/>
      <c r="F3" s="154"/>
      <c r="G3" s="154"/>
      <c r="H3" s="154"/>
      <c r="I3" s="1"/>
    </row>
    <row r="4" spans="1:9" ht="18.75" x14ac:dyDescent="0.3">
      <c r="A4" s="1"/>
      <c r="B4" s="27"/>
      <c r="C4" s="27"/>
      <c r="D4" s="27"/>
      <c r="E4" s="27"/>
      <c r="F4" s="27"/>
      <c r="G4" s="27"/>
      <c r="H4" s="27"/>
      <c r="I4" s="1"/>
    </row>
    <row r="5" spans="1:9" x14ac:dyDescent="0.25">
      <c r="A5" s="1"/>
      <c r="B5" s="147" t="s">
        <v>167</v>
      </c>
      <c r="C5" s="148"/>
      <c r="D5" s="148"/>
      <c r="E5" s="148"/>
      <c r="F5" s="148"/>
      <c r="G5" s="148"/>
      <c r="H5" s="150"/>
      <c r="I5" s="1"/>
    </row>
    <row r="6" spans="1:9" x14ac:dyDescent="0.25">
      <c r="A6" s="1"/>
      <c r="B6" s="141" t="s">
        <v>168</v>
      </c>
      <c r="C6" s="142"/>
      <c r="D6" s="142"/>
      <c r="E6" s="142"/>
      <c r="F6" s="143"/>
      <c r="G6" s="66">
        <v>89658264</v>
      </c>
      <c r="H6" s="14" t="s">
        <v>3</v>
      </c>
      <c r="I6" s="1"/>
    </row>
    <row r="7" spans="1:9" x14ac:dyDescent="0.25">
      <c r="A7" s="1"/>
      <c r="B7" s="141" t="s">
        <v>163</v>
      </c>
      <c r="C7" s="142"/>
      <c r="D7" s="142"/>
      <c r="E7" s="142"/>
      <c r="F7" s="143"/>
      <c r="G7" s="66">
        <f>G6*'Fane 15. Nøgletal'!C20</f>
        <v>815890.20240000007</v>
      </c>
      <c r="H7" s="14" t="s">
        <v>3</v>
      </c>
      <c r="I7" s="1"/>
    </row>
    <row r="8" spans="1:9" x14ac:dyDescent="0.25">
      <c r="A8" s="1"/>
      <c r="B8" s="32"/>
      <c r="C8" s="33"/>
      <c r="D8" s="33"/>
      <c r="E8" s="33"/>
      <c r="F8" s="33"/>
      <c r="G8" s="63"/>
      <c r="H8" s="20"/>
      <c r="I8" s="1"/>
    </row>
    <row r="9" spans="1:9" x14ac:dyDescent="0.25">
      <c r="A9" s="1"/>
      <c r="B9" s="1"/>
      <c r="C9" s="1"/>
      <c r="D9" s="1"/>
      <c r="E9" s="1"/>
      <c r="F9" s="1"/>
      <c r="G9" s="72"/>
      <c r="H9" s="1"/>
      <c r="I9" s="1"/>
    </row>
    <row r="10" spans="1:9" x14ac:dyDescent="0.25">
      <c r="A10" s="1"/>
      <c r="B10" s="147" t="s">
        <v>55</v>
      </c>
      <c r="C10" s="148"/>
      <c r="D10" s="148"/>
      <c r="E10" s="148"/>
      <c r="F10" s="148"/>
      <c r="G10" s="149"/>
      <c r="H10" s="150"/>
      <c r="I10" s="1"/>
    </row>
    <row r="11" spans="1:9" x14ac:dyDescent="0.25">
      <c r="A11" s="1"/>
      <c r="B11" s="141" t="s">
        <v>169</v>
      </c>
      <c r="C11" s="142"/>
      <c r="D11" s="142"/>
      <c r="E11" s="142"/>
      <c r="F11" s="143"/>
      <c r="G11" s="66">
        <f>(G6-G7)*(1+'Fane 15. Nøgletal'!C10)</f>
        <v>90397115.339058012</v>
      </c>
      <c r="H11" s="14" t="s">
        <v>3</v>
      </c>
      <c r="I11" s="1"/>
    </row>
    <row r="12" spans="1:9" x14ac:dyDescent="0.25">
      <c r="A12" s="1"/>
      <c r="B12" s="141" t="s">
        <v>111</v>
      </c>
      <c r="C12" s="142"/>
      <c r="D12" s="142"/>
      <c r="E12" s="142"/>
      <c r="F12" s="143"/>
      <c r="G12" s="66">
        <v>-166763.23263240879</v>
      </c>
      <c r="H12" s="14" t="s">
        <v>3</v>
      </c>
      <c r="I12" s="1"/>
    </row>
    <row r="13" spans="1:9" x14ac:dyDescent="0.25">
      <c r="A13" s="1"/>
      <c r="B13" s="153" t="s">
        <v>170</v>
      </c>
      <c r="C13" s="151"/>
      <c r="D13" s="151"/>
      <c r="E13" s="151"/>
      <c r="F13" s="152"/>
      <c r="G13" s="66">
        <v>0</v>
      </c>
      <c r="H13" s="14" t="s">
        <v>3</v>
      </c>
      <c r="I13" s="1"/>
    </row>
    <row r="14" spans="1:9" x14ac:dyDescent="0.25">
      <c r="A14" s="1"/>
      <c r="B14" s="141" t="s">
        <v>56</v>
      </c>
      <c r="C14" s="142"/>
      <c r="D14" s="142"/>
      <c r="E14" s="142"/>
      <c r="F14" s="143"/>
      <c r="G14" s="66">
        <f>SUM(G11:G13)*'Fane 15. Nøgletal'!C21</f>
        <v>1597077.2322837331</v>
      </c>
      <c r="H14" s="14" t="s">
        <v>3</v>
      </c>
      <c r="I14" s="1"/>
    </row>
    <row r="15" spans="1:9" x14ac:dyDescent="0.25">
      <c r="A15" s="1"/>
      <c r="B15" s="32"/>
      <c r="C15" s="33"/>
      <c r="D15" s="33"/>
      <c r="E15" s="33"/>
      <c r="F15" s="33"/>
      <c r="G15" s="63"/>
      <c r="H15" s="20"/>
      <c r="I15" s="1"/>
    </row>
    <row r="16" spans="1:9" x14ac:dyDescent="0.25">
      <c r="A16" s="1"/>
      <c r="B16" s="1"/>
      <c r="C16" s="1"/>
      <c r="D16" s="1"/>
      <c r="E16" s="1"/>
      <c r="F16" s="1"/>
      <c r="G16" s="72"/>
      <c r="H16" s="1"/>
      <c r="I16" s="1"/>
    </row>
    <row r="17" spans="1:9" x14ac:dyDescent="0.25">
      <c r="A17" s="1"/>
      <c r="B17" s="147" t="s">
        <v>57</v>
      </c>
      <c r="C17" s="148"/>
      <c r="D17" s="148"/>
      <c r="E17" s="148"/>
      <c r="F17" s="148"/>
      <c r="G17" s="149"/>
      <c r="H17" s="150"/>
      <c r="I17" s="1"/>
    </row>
    <row r="18" spans="1:9" x14ac:dyDescent="0.25">
      <c r="A18" s="1"/>
      <c r="B18" s="141" t="s">
        <v>58</v>
      </c>
      <c r="C18" s="142"/>
      <c r="D18" s="142"/>
      <c r="E18" s="142"/>
      <c r="F18" s="143"/>
      <c r="G18" s="66">
        <f>(G11+G12+G13-G14)*(1+'Fane 15. Nøgletal'!C10)</f>
        <v>90184357.184439361</v>
      </c>
      <c r="H18" s="14" t="s">
        <v>3</v>
      </c>
      <c r="I18" s="1"/>
    </row>
    <row r="19" spans="1:9" x14ac:dyDescent="0.25">
      <c r="A19" s="1"/>
      <c r="B19" s="153" t="s">
        <v>59</v>
      </c>
      <c r="C19" s="151"/>
      <c r="D19" s="151"/>
      <c r="E19" s="151"/>
      <c r="F19" s="152"/>
      <c r="G19" s="66">
        <v>1197261.2170011697</v>
      </c>
      <c r="H19" s="14" t="s">
        <v>3</v>
      </c>
      <c r="I19" s="1"/>
    </row>
    <row r="20" spans="1:9" x14ac:dyDescent="0.25">
      <c r="A20" s="1"/>
      <c r="B20" s="141" t="s">
        <v>60</v>
      </c>
      <c r="C20" s="142"/>
      <c r="D20" s="142"/>
      <c r="E20" s="142"/>
      <c r="F20" s="143"/>
      <c r="G20" s="66">
        <f>G18*'Fane 15. Nøgletal'!C21+G19*'Fane 15. Nøgletal'!C22</f>
        <v>1606679.294752487</v>
      </c>
      <c r="H20" s="14" t="s">
        <v>3</v>
      </c>
      <c r="I20" s="1"/>
    </row>
    <row r="21" spans="1:9" x14ac:dyDescent="0.25">
      <c r="A21" s="1"/>
      <c r="B21" s="32"/>
      <c r="C21" s="33"/>
      <c r="D21" s="33"/>
      <c r="E21" s="33"/>
      <c r="F21" s="33"/>
      <c r="G21" s="63"/>
      <c r="H21" s="20"/>
      <c r="I21" s="1"/>
    </row>
    <row r="22" spans="1:9" x14ac:dyDescent="0.25">
      <c r="A22" s="1"/>
      <c r="B22" s="1"/>
      <c r="C22" s="1"/>
      <c r="D22" s="1"/>
      <c r="E22" s="1"/>
      <c r="F22" s="1"/>
      <c r="G22" s="72"/>
      <c r="H22" s="1"/>
      <c r="I22" s="1"/>
    </row>
    <row r="23" spans="1:9" x14ac:dyDescent="0.25">
      <c r="A23" s="1"/>
      <c r="B23" s="147" t="s">
        <v>150</v>
      </c>
      <c r="C23" s="148"/>
      <c r="D23" s="148"/>
      <c r="E23" s="148"/>
      <c r="F23" s="148"/>
      <c r="G23" s="149"/>
      <c r="H23" s="150"/>
      <c r="I23" s="1"/>
    </row>
    <row r="24" spans="1:9" x14ac:dyDescent="0.25">
      <c r="A24" s="1"/>
      <c r="B24" s="141" t="s">
        <v>61</v>
      </c>
      <c r="C24" s="142"/>
      <c r="D24" s="142"/>
      <c r="E24" s="142"/>
      <c r="F24" s="143"/>
      <c r="G24" s="66">
        <f>G18*(1-'Fane 15. Nøgletal'!C21)*(1+'Fane 15. Nøgletal'!C10)+G19*(1-'Fane 15. Nøgletal'!C22)*(1+'Fane 15. Nøgletal'!C11)</f>
        <v>91345288.434028447</v>
      </c>
      <c r="H24" s="14" t="s">
        <v>3</v>
      </c>
      <c r="I24" s="1"/>
    </row>
    <row r="25" spans="1:9" x14ac:dyDescent="0.25">
      <c r="A25" s="1"/>
      <c r="B25" s="144" t="s">
        <v>171</v>
      </c>
      <c r="C25" s="151"/>
      <c r="D25" s="151"/>
      <c r="E25" s="151"/>
      <c r="F25" s="152"/>
      <c r="G25" s="66">
        <f>G19*(1-'Fane 15. Nøgletal'!C22)*(1+'Fane 15. Nøgletal'!C11)</f>
        <v>1206902.7256638436</v>
      </c>
      <c r="H25" s="14" t="s">
        <v>3</v>
      </c>
      <c r="I25" s="1"/>
    </row>
    <row r="26" spans="1:9" x14ac:dyDescent="0.25">
      <c r="A26" s="1"/>
      <c r="B26" s="153" t="s">
        <v>62</v>
      </c>
      <c r="C26" s="151"/>
      <c r="D26" s="151"/>
      <c r="E26" s="151"/>
      <c r="F26" s="152"/>
      <c r="G26" s="66">
        <v>331905.895407537</v>
      </c>
      <c r="H26" s="14" t="s">
        <v>3</v>
      </c>
      <c r="I26" s="1"/>
    </row>
    <row r="27" spans="1:9" x14ac:dyDescent="0.25">
      <c r="A27" s="1"/>
      <c r="B27" s="141" t="s">
        <v>63</v>
      </c>
      <c r="C27" s="142"/>
      <c r="D27" s="142"/>
      <c r="E27" s="142"/>
      <c r="F27" s="143"/>
      <c r="G27" s="66">
        <f>(G24-G25)*'Fane 15. Nøgletal'!C22+G25*'Fane 15. Nøgletal'!C23+G26*'Fane 15. Nøgletal'!C24</f>
        <v>827607.40519533248</v>
      </c>
      <c r="H27" s="14" t="s">
        <v>3</v>
      </c>
      <c r="I27" s="1"/>
    </row>
    <row r="28" spans="1:9" x14ac:dyDescent="0.25">
      <c r="A28" s="1"/>
      <c r="B28" s="32"/>
      <c r="C28" s="33"/>
      <c r="D28" s="33"/>
      <c r="E28" s="33"/>
      <c r="F28" s="33"/>
      <c r="G28" s="63"/>
      <c r="H28" s="20"/>
      <c r="I28" s="1"/>
    </row>
    <row r="29" spans="1:9" x14ac:dyDescent="0.25">
      <c r="A29" s="1"/>
      <c r="B29" s="1"/>
      <c r="C29" s="1"/>
      <c r="D29" s="1"/>
      <c r="E29" s="1"/>
      <c r="F29" s="1"/>
      <c r="G29" s="72"/>
      <c r="H29" s="1"/>
      <c r="I29" s="1"/>
    </row>
    <row r="30" spans="1:9" x14ac:dyDescent="0.25">
      <c r="A30" s="1"/>
      <c r="B30" s="147" t="s">
        <v>64</v>
      </c>
      <c r="C30" s="148"/>
      <c r="D30" s="148"/>
      <c r="E30" s="148"/>
      <c r="F30" s="148"/>
      <c r="G30" s="149"/>
      <c r="H30" s="150"/>
      <c r="I30" s="1"/>
    </row>
    <row r="31" spans="1:9" x14ac:dyDescent="0.25">
      <c r="A31" s="1"/>
      <c r="B31" s="141" t="s">
        <v>65</v>
      </c>
      <c r="C31" s="142"/>
      <c r="D31" s="142"/>
      <c r="E31" s="142"/>
      <c r="F31" s="143"/>
      <c r="G31" s="66">
        <f>(G24-G25)*(1-'Fane 15. Nøgletal'!C21)*(1+'Fane 15. Nøgletal'!C10)+G25*(1-'Fane 15. Nøgletal'!C22)*(1+'Fane 15. Nøgletal'!C11)+G26*(1-'Fane 15. Nøgletal'!C23)*(1+'Fane 15. Nøgletal'!C12)</f>
        <v>91637892.162763432</v>
      </c>
      <c r="H31" s="14" t="s">
        <v>3</v>
      </c>
      <c r="I31" s="1"/>
    </row>
    <row r="32" spans="1:9" x14ac:dyDescent="0.25">
      <c r="A32" s="1"/>
      <c r="B32" s="144" t="s">
        <v>172</v>
      </c>
      <c r="C32" s="151"/>
      <c r="D32" s="151"/>
      <c r="E32" s="151"/>
      <c r="F32" s="152"/>
      <c r="G32" s="66">
        <f>G25*(1-'Fane 15. Nøgletal'!C22)*(1+'Fane 15. Nøgletal'!C11)</f>
        <v>1216621.8771065325</v>
      </c>
      <c r="H32" s="14" t="s">
        <v>3</v>
      </c>
      <c r="I32" s="1"/>
    </row>
    <row r="33" spans="1:9" x14ac:dyDescent="0.25">
      <c r="A33" s="1"/>
      <c r="B33" s="144" t="s">
        <v>106</v>
      </c>
      <c r="C33" s="151"/>
      <c r="D33" s="151"/>
      <c r="E33" s="151"/>
      <c r="F33" s="152"/>
      <c r="G33" s="66">
        <f>G26*(1-'Fane 15. Nøgletal'!C23)*(1+'Fane 15. Nøgletal'!C12)</f>
        <v>328832.61940712883</v>
      </c>
      <c r="H33" s="14" t="s">
        <v>3</v>
      </c>
      <c r="I33" s="1"/>
    </row>
    <row r="34" spans="1:9" x14ac:dyDescent="0.25">
      <c r="A34" s="1"/>
      <c r="B34" s="141" t="s">
        <v>127</v>
      </c>
      <c r="C34" s="142"/>
      <c r="D34" s="142"/>
      <c r="E34" s="142"/>
      <c r="F34" s="143"/>
      <c r="G34" s="66">
        <v>1058655.04633476</v>
      </c>
      <c r="H34" s="14" t="s">
        <v>3</v>
      </c>
      <c r="I34" s="1"/>
    </row>
    <row r="35" spans="1:9" x14ac:dyDescent="0.25">
      <c r="A35" s="1"/>
      <c r="B35" s="141" t="s">
        <v>66</v>
      </c>
      <c r="C35" s="142"/>
      <c r="D35" s="142"/>
      <c r="E35" s="142"/>
      <c r="F35" s="143"/>
      <c r="G35" s="66">
        <f>(G31-SUM(G32:G33))*'Fane 15. Nøgletal'!C21+G32*'Fane 15. Nøgletal'!C22+G33*'Fane 15. Nøgletal'!C23+G34*'Fane 15. Nøgletal'!C24</f>
        <v>1643672.617188816</v>
      </c>
      <c r="H35" s="14" t="s">
        <v>3</v>
      </c>
      <c r="I35" s="1"/>
    </row>
    <row r="36" spans="1:9" x14ac:dyDescent="0.25">
      <c r="A36" s="1"/>
      <c r="B36" s="32"/>
      <c r="C36" s="33"/>
      <c r="D36" s="33"/>
      <c r="E36" s="33"/>
      <c r="F36" s="33"/>
      <c r="G36" s="63"/>
      <c r="H36" s="20"/>
      <c r="I36" s="1"/>
    </row>
    <row r="37" spans="1:9" x14ac:dyDescent="0.25">
      <c r="A37" s="1"/>
      <c r="B37" s="1"/>
      <c r="C37" s="1"/>
      <c r="D37" s="1"/>
      <c r="E37" s="1"/>
      <c r="F37" s="1"/>
      <c r="G37" s="72"/>
      <c r="H37" s="1"/>
      <c r="I37" s="1"/>
    </row>
    <row r="38" spans="1:9" x14ac:dyDescent="0.25">
      <c r="A38" s="1"/>
      <c r="B38" s="147" t="s">
        <v>140</v>
      </c>
      <c r="C38" s="148"/>
      <c r="D38" s="148"/>
      <c r="E38" s="148"/>
      <c r="F38" s="148"/>
      <c r="G38" s="149"/>
      <c r="H38" s="150"/>
      <c r="I38" s="1"/>
    </row>
    <row r="39" spans="1:9" x14ac:dyDescent="0.25">
      <c r="A39" s="1"/>
      <c r="B39" s="141" t="s">
        <v>173</v>
      </c>
      <c r="C39" s="142"/>
      <c r="D39" s="142"/>
      <c r="E39" s="142"/>
      <c r="F39" s="143"/>
      <c r="G39" s="66">
        <f>(SUM(G31,G34)-G35)*(1+'Fane 15. Nøgletal'!C14)</f>
        <v>91353349.078062683</v>
      </c>
      <c r="H39" s="14" t="s">
        <v>3</v>
      </c>
      <c r="I39" s="1"/>
    </row>
    <row r="40" spans="1:9" x14ac:dyDescent="0.25">
      <c r="A40" s="1"/>
      <c r="B40" s="141" t="s">
        <v>141</v>
      </c>
      <c r="C40" s="142"/>
      <c r="D40" s="142"/>
      <c r="E40" s="142"/>
      <c r="F40" s="143"/>
      <c r="G40" s="66">
        <v>4567278.4788118703</v>
      </c>
      <c r="H40" s="14" t="s">
        <v>3</v>
      </c>
      <c r="I40" s="1"/>
    </row>
    <row r="41" spans="1:9" x14ac:dyDescent="0.25">
      <c r="A41" s="1"/>
      <c r="B41" s="141" t="s">
        <v>142</v>
      </c>
      <c r="C41" s="142"/>
      <c r="D41" s="142"/>
      <c r="E41" s="142"/>
      <c r="F41" s="143"/>
      <c r="G41" s="66">
        <f>(G39+G40)*'Fane 15. Nøgletal'!C25</f>
        <v>1419625.2878417436</v>
      </c>
      <c r="H41" s="14" t="s">
        <v>3</v>
      </c>
      <c r="I41" s="1"/>
    </row>
    <row r="42" spans="1:9" x14ac:dyDescent="0.25">
      <c r="A42" s="1"/>
      <c r="B42" s="32"/>
      <c r="C42" s="33"/>
      <c r="D42" s="33"/>
      <c r="E42" s="33"/>
      <c r="F42" s="33"/>
      <c r="G42" s="63"/>
      <c r="H42" s="20"/>
      <c r="I42" s="1"/>
    </row>
    <row r="43" spans="1:9" x14ac:dyDescent="0.25">
      <c r="A43" s="1"/>
      <c r="B43" s="1"/>
      <c r="C43" s="1"/>
      <c r="D43" s="1"/>
      <c r="E43" s="1"/>
      <c r="F43" s="1"/>
      <c r="G43" s="72"/>
      <c r="H43" s="1"/>
      <c r="I43" s="1"/>
    </row>
    <row r="44" spans="1:9" x14ac:dyDescent="0.25">
      <c r="A44" s="1"/>
      <c r="B44" s="147" t="s">
        <v>238</v>
      </c>
      <c r="C44" s="148"/>
      <c r="D44" s="148"/>
      <c r="E44" s="148"/>
      <c r="F44" s="148"/>
      <c r="G44" s="149"/>
      <c r="H44" s="150"/>
      <c r="I44" s="1"/>
    </row>
    <row r="45" spans="1:9" x14ac:dyDescent="0.25">
      <c r="A45" s="1"/>
      <c r="B45" s="141" t="s">
        <v>67</v>
      </c>
      <c r="C45" s="142"/>
      <c r="D45" s="142"/>
      <c r="E45" s="142"/>
      <c r="F45" s="143"/>
      <c r="G45" s="66">
        <f>(G39+G40-G41)*(1+'Fane 15. Nøgletal'!C14)</f>
        <v>94812855.576520637</v>
      </c>
      <c r="H45" s="14" t="s">
        <v>3</v>
      </c>
      <c r="I45" s="1"/>
    </row>
    <row r="46" spans="1:9" x14ac:dyDescent="0.25">
      <c r="A46" s="1"/>
      <c r="B46" s="144" t="s">
        <v>242</v>
      </c>
      <c r="C46" s="145"/>
      <c r="D46" s="145"/>
      <c r="E46" s="145"/>
      <c r="F46" s="146"/>
      <c r="G46" s="69">
        <f>(SUM('Fane 2.1. Økonomisk ramme 2023'!C13,'Fane 2.1. Økonomisk ramme 2023'!C15,'Fane 2.1. Økonomisk ramme 2023'!C17))*(1+'Fane 15. Nøgletal'!C15)</f>
        <v>3486508.8073732802</v>
      </c>
      <c r="H46" s="14" t="s">
        <v>3</v>
      </c>
      <c r="I46" s="1"/>
    </row>
    <row r="47" spans="1:9" x14ac:dyDescent="0.25">
      <c r="A47" s="1"/>
      <c r="B47" s="141" t="s">
        <v>177</v>
      </c>
      <c r="C47" s="142"/>
      <c r="D47" s="142"/>
      <c r="E47" s="142"/>
      <c r="F47" s="143"/>
      <c r="G47" s="66">
        <f>G45*'Fane 15. Nøgletal'!C25+G46*'Fane 15. Nøgletal'!C26</f>
        <v>1403230.2625325054</v>
      </c>
      <c r="H47" s="14" t="s">
        <v>3</v>
      </c>
      <c r="I47" s="1"/>
    </row>
    <row r="48" spans="1:9" x14ac:dyDescent="0.25">
      <c r="A48" s="1"/>
      <c r="B48" s="32"/>
      <c r="C48" s="33"/>
      <c r="D48" s="33"/>
      <c r="E48" s="33"/>
      <c r="F48" s="33"/>
      <c r="G48" s="63"/>
      <c r="H48" s="20"/>
      <c r="I48" s="1"/>
    </row>
    <row r="49" spans="1:9" x14ac:dyDescent="0.25">
      <c r="A49" s="1"/>
      <c r="B49" s="1"/>
      <c r="C49" s="1"/>
      <c r="D49" s="1"/>
      <c r="E49" s="1"/>
      <c r="F49" s="1"/>
      <c r="G49" s="72"/>
      <c r="H49" s="1"/>
      <c r="I49" s="1"/>
    </row>
    <row r="50" spans="1:9" x14ac:dyDescent="0.25">
      <c r="A50" s="1"/>
      <c r="B50" s="147" t="s">
        <v>128</v>
      </c>
      <c r="C50" s="148"/>
      <c r="D50" s="148"/>
      <c r="E50" s="148"/>
      <c r="F50" s="148"/>
      <c r="G50" s="149"/>
      <c r="H50" s="150"/>
      <c r="I50" s="1"/>
    </row>
    <row r="51" spans="1:9" x14ac:dyDescent="0.25">
      <c r="A51" s="1"/>
      <c r="B51" s="141" t="s">
        <v>129</v>
      </c>
      <c r="C51" s="142"/>
      <c r="D51" s="142"/>
      <c r="E51" s="142"/>
      <c r="F51" s="143"/>
      <c r="G51" s="66">
        <f>(G45+G46-G47)*(1+'Fane 15. Nøgletal'!C15)</f>
        <v>100345636.49608189</v>
      </c>
      <c r="H51" s="14" t="s">
        <v>3</v>
      </c>
      <c r="I51" s="1"/>
    </row>
    <row r="52" spans="1:9" x14ac:dyDescent="0.25">
      <c r="A52" s="1"/>
      <c r="B52" s="141" t="s">
        <v>130</v>
      </c>
      <c r="C52" s="142"/>
      <c r="D52" s="142"/>
      <c r="E52" s="142"/>
      <c r="F52" s="143"/>
      <c r="G52" s="66">
        <f>(G51)*'Fane 15. Nøgletal'!C26</f>
        <v>0</v>
      </c>
      <c r="H52" s="14" t="s">
        <v>3</v>
      </c>
      <c r="I52" s="1"/>
    </row>
    <row r="53" spans="1:9" x14ac:dyDescent="0.25">
      <c r="A53" s="1"/>
      <c r="B53" s="32"/>
      <c r="C53" s="33"/>
      <c r="D53" s="33"/>
      <c r="E53" s="33"/>
      <c r="F53" s="33"/>
      <c r="G53" s="63"/>
      <c r="H53" s="20"/>
      <c r="I53" s="1"/>
    </row>
    <row r="54" spans="1:9" x14ac:dyDescent="0.25">
      <c r="A54" s="1"/>
      <c r="B54" s="1"/>
      <c r="C54" s="1"/>
      <c r="D54" s="1"/>
      <c r="E54" s="1"/>
      <c r="F54" s="1"/>
      <c r="G54" s="72"/>
      <c r="H54" s="1"/>
      <c r="I54" s="1"/>
    </row>
    <row r="55" spans="1:9" x14ac:dyDescent="0.25">
      <c r="A55" s="1"/>
      <c r="B55" s="147" t="s">
        <v>153</v>
      </c>
      <c r="C55" s="148"/>
      <c r="D55" s="148"/>
      <c r="E55" s="148"/>
      <c r="F55" s="148"/>
      <c r="G55" s="149"/>
      <c r="H55" s="150"/>
      <c r="I55" s="1"/>
    </row>
    <row r="56" spans="1:9" x14ac:dyDescent="0.25">
      <c r="A56" s="1"/>
      <c r="B56" s="141" t="s">
        <v>129</v>
      </c>
      <c r="C56" s="142"/>
      <c r="D56" s="142"/>
      <c r="E56" s="142"/>
      <c r="F56" s="143"/>
      <c r="G56" s="66">
        <f>(G51-G52)*(1+'Fane 15. Nøgletal'!C15)</f>
        <v>103917941.15534241</v>
      </c>
      <c r="H56" s="14" t="s">
        <v>3</v>
      </c>
      <c r="I56" s="1"/>
    </row>
    <row r="57" spans="1:9" x14ac:dyDescent="0.25">
      <c r="A57" s="1"/>
      <c r="B57" s="141" t="s">
        <v>174</v>
      </c>
      <c r="C57" s="142"/>
      <c r="D57" s="142"/>
      <c r="E57" s="142"/>
      <c r="F57" s="143"/>
      <c r="G57" s="66">
        <f>(G56)*'Fane 15. Nøgletal'!C26</f>
        <v>0</v>
      </c>
      <c r="H57" s="14" t="s">
        <v>3</v>
      </c>
      <c r="I57" s="1"/>
    </row>
    <row r="58" spans="1:9" x14ac:dyDescent="0.25">
      <c r="A58" s="1"/>
      <c r="B58" s="32"/>
      <c r="C58" s="33"/>
      <c r="D58" s="33"/>
      <c r="E58" s="33"/>
      <c r="F58" s="33"/>
      <c r="G58" s="63"/>
      <c r="H58" s="20"/>
      <c r="I58" s="1"/>
    </row>
    <row r="59" spans="1:9" x14ac:dyDescent="0.25">
      <c r="A59" s="1"/>
      <c r="B59" s="1"/>
      <c r="C59" s="1"/>
      <c r="D59" s="1"/>
      <c r="E59" s="1"/>
      <c r="F59" s="1"/>
      <c r="G59" s="72"/>
      <c r="H59" s="1"/>
      <c r="I59" s="1"/>
    </row>
    <row r="60" spans="1:9" x14ac:dyDescent="0.25">
      <c r="A60" s="1"/>
      <c r="B60" s="147" t="s">
        <v>206</v>
      </c>
      <c r="C60" s="148"/>
      <c r="D60" s="148"/>
      <c r="E60" s="148"/>
      <c r="F60" s="148"/>
      <c r="G60" s="149"/>
      <c r="H60" s="150"/>
      <c r="I60" s="1"/>
    </row>
    <row r="61" spans="1:9" x14ac:dyDescent="0.25">
      <c r="A61" s="1"/>
      <c r="B61" s="141" t="s">
        <v>207</v>
      </c>
      <c r="C61" s="142"/>
      <c r="D61" s="142"/>
      <c r="E61" s="142"/>
      <c r="F61" s="143"/>
      <c r="G61" s="66">
        <f>(G56-G57)*(1+'Fane 15. Nøgletal'!C15)</f>
        <v>107617419.86047262</v>
      </c>
      <c r="H61" s="14" t="s">
        <v>3</v>
      </c>
      <c r="I61" s="1"/>
    </row>
    <row r="62" spans="1:9" x14ac:dyDescent="0.25">
      <c r="A62" s="1"/>
      <c r="B62" s="141" t="s">
        <v>208</v>
      </c>
      <c r="C62" s="142"/>
      <c r="D62" s="142"/>
      <c r="E62" s="142"/>
      <c r="F62" s="143"/>
      <c r="G62" s="66">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A/AQwfwyX133ThxFa9R2q9+Ir/5wWDy9sBGIDFKtNRra7EDS9/sVkUmtlSCU/mPR2ON+WJi8VuNYquDe7NMdig==" saltValue="M/ObE/jU853TpIqOIQG2zw=="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4" t="s">
        <v>76</v>
      </c>
      <c r="C3" s="114"/>
      <c r="D3" s="114"/>
      <c r="E3" s="114"/>
      <c r="F3" s="114"/>
      <c r="G3" s="114"/>
      <c r="H3" s="1"/>
    </row>
    <row r="4" spans="1:8" ht="15" customHeight="1" x14ac:dyDescent="0.25">
      <c r="A4" s="1"/>
      <c r="B4" s="114"/>
      <c r="C4" s="114"/>
      <c r="D4" s="114"/>
      <c r="E4" s="114"/>
      <c r="F4" s="114"/>
      <c r="G4" s="11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7" t="s">
        <v>10</v>
      </c>
      <c r="C8" s="148"/>
      <c r="D8" s="148"/>
      <c r="E8" s="148"/>
      <c r="F8" s="148"/>
      <c r="G8" s="150"/>
      <c r="H8" s="1"/>
    </row>
    <row r="9" spans="1:8" x14ac:dyDescent="0.25">
      <c r="A9" s="1"/>
      <c r="B9" s="141" t="s">
        <v>143</v>
      </c>
      <c r="C9" s="142"/>
      <c r="D9" s="142"/>
      <c r="E9" s="142"/>
      <c r="F9" s="143"/>
      <c r="G9" s="94">
        <v>6.6635772733908286E-3</v>
      </c>
      <c r="H9" s="1"/>
    </row>
    <row r="10" spans="1:8" x14ac:dyDescent="0.25">
      <c r="A10" s="1"/>
      <c r="B10" s="32"/>
      <c r="C10" s="33"/>
      <c r="D10" s="33"/>
      <c r="E10" s="33"/>
      <c r="F10" s="33"/>
      <c r="G10" s="20"/>
      <c r="H10" s="1"/>
    </row>
    <row r="11" spans="1:8" ht="25.5" customHeight="1" x14ac:dyDescent="0.25">
      <c r="A11" s="1"/>
      <c r="B11" s="155" t="s">
        <v>240</v>
      </c>
      <c r="C11" s="156"/>
      <c r="D11" s="156"/>
      <c r="E11" s="156"/>
      <c r="F11" s="156"/>
      <c r="G11" s="157"/>
      <c r="H11" s="1"/>
    </row>
    <row r="12" spans="1:8" ht="5.25" customHeight="1" x14ac:dyDescent="0.25">
      <c r="A12" s="18"/>
      <c r="B12" s="158"/>
      <c r="C12" s="159"/>
      <c r="D12" s="159"/>
      <c r="E12" s="159"/>
      <c r="F12" s="159"/>
      <c r="G12" s="160"/>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i3/yuTRejYhU1H1/Oe3EWrno/rrt+CVhyD28z5ieU7Gtslg9J+pXTJi9i+QriBERTR3f+kwHp1b7t+wr6N2S4A==" saltValue="VRJvQ3de7pbTb79urYX6NA=="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2022-12-06T14:18:43Z</dcterms:modified>
</cp:coreProperties>
</file>