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E:\VAND\Sagsbehandling\Drikkevand\Hjørring Vandselskab AS (V085)\ØR2023\"/>
    </mc:Choice>
  </mc:AlternateContent>
  <bookViews>
    <workbookView xWindow="3105" yWindow="1005" windowWidth="12750" windowHeight="4620" tabRatio="872"/>
  </bookViews>
  <sheets>
    <sheet name="1. Forside" sheetId="1" r:id="rId1"/>
    <sheet name="Fane 2.1. Økonomisk ramme 2023" sheetId="2" r:id="rId2"/>
    <sheet name="Fane 2.2. Økonomisk ramme 2024" sheetId="15" r:id="rId3"/>
    <sheet name="Fane 2.3. Økonomisk ramme 2025" sheetId="22" r:id="rId4"/>
    <sheet name="Fane 2.4. Økonomisk ramme 2026" sheetId="23" r:id="rId5"/>
    <sheet name="Fane 3. Omkostninger i ØR2022" sheetId="27" r:id="rId6"/>
    <sheet name="Fane 4.1. Gen. krav - drift" sheetId="30" r:id="rId7"/>
    <sheet name="Fane 4.2. Gen. krav - anlæg" sheetId="36" r:id="rId8"/>
    <sheet name="Fane 5. Individuelt eff. krav" sheetId="31" r:id="rId9"/>
    <sheet name="Fane 6. Ikke-påvirkelige omk." sheetId="19" r:id="rId10"/>
    <sheet name="Fane 7. Kontrol af ØR2021" sheetId="32"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s>
  <definedNames>
    <definedName name="Pris19">[1]Nøgletal!$C$5</definedName>
    <definedName name="Pris20">[2]Nøgletal!$C$6</definedName>
    <definedName name="Pris21">[2]Nøgletal!$C$7</definedName>
    <definedName name="Pris21UnderSpild">[2]Nøgletal!$E$7</definedName>
    <definedName name="PrisDecimal19">[3]Nøgletal!$B$5</definedName>
    <definedName name="PrisDecimal20">[3]Nøgletal!$B$6</definedName>
    <definedName name="PrisDecimal21">[3]Nøgletal!$B$7</definedName>
    <definedName name="PrisDecimal21UnderSpild">[3]Nøgletal!$D$7</definedName>
    <definedName name="PrisDecimal22">[3]Nøgletal!$B$8</definedName>
  </definedNames>
  <calcPr calcId="162913" calcMode="manual"/>
</workbook>
</file>

<file path=xl/calcChain.xml><?xml version="1.0" encoding="utf-8"?>
<calcChain xmlns="http://schemas.openxmlformats.org/spreadsheetml/2006/main">
  <c r="E32" i="27" l="1"/>
  <c r="C19" i="23"/>
  <c r="C19" i="22"/>
  <c r="C19" i="15"/>
  <c r="C31" i="2"/>
  <c r="G18" i="40" l="1"/>
  <c r="E25" i="32" l="1"/>
  <c r="E29" i="32" s="1"/>
  <c r="E31" i="32" s="1"/>
  <c r="C17" i="15" l="1"/>
  <c r="C29" i="2"/>
  <c r="F10" i="11"/>
  <c r="E12" i="39" l="1"/>
  <c r="C12" i="39"/>
  <c r="E11" i="29"/>
  <c r="E12" i="29" s="1"/>
  <c r="C14" i="2" s="1"/>
  <c r="C11" i="29"/>
  <c r="J11" i="11"/>
  <c r="H11" i="11"/>
  <c r="C13" i="19"/>
  <c r="C14" i="19" l="1"/>
  <c r="F11" i="11" l="1"/>
  <c r="E10" i="37" s="1"/>
  <c r="C10" i="37"/>
  <c r="C13" i="37" s="1"/>
  <c r="C14" i="37" s="1"/>
  <c r="C15" i="23" l="1"/>
  <c r="C15" i="22" l="1"/>
  <c r="C15" i="15"/>
  <c r="C12" i="29"/>
  <c r="G36" i="36" l="1"/>
  <c r="G36" i="30"/>
  <c r="G6" i="30" l="1"/>
  <c r="E13" i="39" l="1"/>
  <c r="C13" i="39"/>
  <c r="C23" i="2" s="1"/>
  <c r="C25" i="2" s="1"/>
  <c r="G10" i="30" l="1"/>
  <c r="G12" i="30" s="1"/>
  <c r="E13" i="37" l="1"/>
  <c r="E14" i="37" s="1"/>
  <c r="E13" i="21" l="1"/>
  <c r="E14" i="21" s="1"/>
  <c r="C13" i="21"/>
  <c r="C14" i="21" s="1"/>
  <c r="C11" i="2" l="1"/>
  <c r="C12" i="2"/>
  <c r="C24" i="2" l="1"/>
  <c r="C26" i="2" l="1"/>
  <c r="C27" i="2" s="1"/>
  <c r="G6" i="36"/>
  <c r="G10" i="36" s="1"/>
  <c r="G12" i="36" l="1"/>
  <c r="G16" i="36" s="1"/>
  <c r="G16" i="30"/>
  <c r="G19" i="30" s="1"/>
  <c r="G19" i="36" l="1"/>
  <c r="G23" i="30"/>
  <c r="G25" i="30" s="1"/>
  <c r="G23" i="36" l="1"/>
  <c r="G25" i="36" s="1"/>
  <c r="G29" i="36" s="1"/>
  <c r="G29" i="30"/>
  <c r="G31" i="30" s="1"/>
  <c r="G31" i="36" l="1"/>
  <c r="G35" i="36" s="1"/>
  <c r="G35" i="30" l="1"/>
  <c r="G37" i="30" l="1"/>
  <c r="C9" i="2"/>
  <c r="C13" i="2"/>
  <c r="G42" i="30" l="1"/>
  <c r="G41" i="30"/>
  <c r="C21" i="2"/>
  <c r="G43" i="30" l="1"/>
  <c r="C17" i="2" l="1"/>
  <c r="G47" i="30"/>
  <c r="G48" i="30" s="1"/>
  <c r="C10" i="2"/>
  <c r="G42" i="36" s="1"/>
  <c r="G37" i="36"/>
  <c r="G41" i="36" s="1"/>
  <c r="G52" i="30" l="1"/>
  <c r="C11" i="15" l="1"/>
  <c r="G53" i="30"/>
  <c r="G57" i="30" s="1"/>
  <c r="G58" i="30" s="1"/>
  <c r="E20" i="27"/>
  <c r="G43" i="36"/>
  <c r="C18" i="2" s="1"/>
  <c r="C8" i="2" l="1"/>
  <c r="C15" i="2" s="1"/>
  <c r="C16" i="2" s="1"/>
  <c r="C19" i="2" s="1"/>
  <c r="C8" i="15" s="1"/>
  <c r="E33" i="27"/>
  <c r="C11" i="22"/>
  <c r="G47" i="36"/>
  <c r="G48" i="36" l="1"/>
  <c r="G52" i="36" s="1"/>
  <c r="G53" i="36" s="1"/>
  <c r="C9" i="15"/>
  <c r="C10" i="15" s="1"/>
  <c r="C32" i="2"/>
  <c r="C11" i="23"/>
  <c r="C12" i="15" l="1"/>
  <c r="C13" i="15" s="1"/>
  <c r="C20" i="15" s="1"/>
  <c r="G57" i="36"/>
  <c r="G58" i="36" s="1"/>
  <c r="C12" i="22" l="1"/>
  <c r="C8" i="22"/>
  <c r="C9" i="22" s="1"/>
  <c r="C10" i="22" s="1"/>
  <c r="C13" i="22" s="1"/>
  <c r="C20" i="22" s="1"/>
  <c r="C12" i="23"/>
  <c r="C8" i="23" l="1"/>
  <c r="C9" i="23" l="1"/>
  <c r="C10" i="23" s="1"/>
  <c r="C13" i="23" s="1"/>
  <c r="C20" i="23" s="1"/>
</calcChain>
</file>

<file path=xl/sharedStrings.xml><?xml version="1.0" encoding="utf-8"?>
<sst xmlns="http://schemas.openxmlformats.org/spreadsheetml/2006/main" count="511" uniqueCount="254">
  <si>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</si>
  <si>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</si>
  <si>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</si>
  <si>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</si>
  <si>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</si>
  <si>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</si>
  <si>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</si>
  <si>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</si>
  <si>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</si>
  <si>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</si>
  <si>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</si>
  <si>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</si>
  <si>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</si>
  <si>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</si>
  <si>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</si>
  <si>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</si>
  <si>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</si>
  <si>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</si>
  <si>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</si>
  <si>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</si>
  <si>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</si>
  <si>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ØR2018</t>
  </si>
  <si>
    <t>Videreførte omkostninger fra den økonomiske ramme for 2021</t>
  </si>
  <si>
    <t>Generelt effektiviseringskrav - Drift</t>
  </si>
  <si>
    <t>Generelt effektiviseringskrav - Anlæg</t>
  </si>
  <si>
    <t>Bortfald eller nedsættelse af omkostninger - Anlæg</t>
  </si>
  <si>
    <t>Bortfald eller nedsættelse af omkostninger - Drift</t>
  </si>
  <si>
    <t>Økonomisk ramme for 2022</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</si>
  <si>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</si>
  <si>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</si>
  <si>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</si>
  <si>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</si>
  <si>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</si>
  <si>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</si>
  <si>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</si>
  <si>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</si>
  <si>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</si>
  <si>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Prisudvikling til brug for nye omkostninger i ØR2020</t>
  </si>
  <si>
    <t>Driftsomkostninger i grundlaget til de økonomiske rammer for 2017</t>
  </si>
  <si>
    <t>Generelt effektiviseringskrav til driftsomkostningerne i ØR17</t>
  </si>
  <si>
    <t>Base for driftsomkostninger til de økonomiske rammer for 2018</t>
  </si>
  <si>
    <t>Nye driftsomkostninger til de økonomiske rammer for 2018</t>
  </si>
  <si>
    <t>Generelt effektiviseringskrav til driftsomkostningerne i ØR18</t>
  </si>
  <si>
    <t>Base for driftsomkostninger til de økonomiske rammer for 2019</t>
  </si>
  <si>
    <t>Nye driftsomkostninger til de økonomiske rammer for 2019</t>
  </si>
  <si>
    <t>Generelt effektiviseringskrav til driftsomkostningerne i ØR19</t>
  </si>
  <si>
    <t>Base for driftsomkostninger til de økonomiske rammer for 2020</t>
  </si>
  <si>
    <t>Nye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</si>
  <si>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</si>
  <si>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</si>
  <si>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</si>
  <si>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</si>
  <si>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</si>
  <si>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</si>
  <si>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</si>
  <si>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Base for driftsomkostninger til de økonomiske rammer for 2021</t>
  </si>
  <si>
    <t>Anlægssomkostninger i grundlaget til de økonomiske rammer for 2017</t>
  </si>
  <si>
    <t>Generelt effektiviseringskrav til anlægsomkostninger i de økonomiske rammer for 2018</t>
  </si>
  <si>
    <t>Base for anlægsomkostninger til de økonomiske rammer for 2018</t>
  </si>
  <si>
    <t>Nye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</si>
  <si>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</si>
  <si>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</si>
  <si>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</si>
  <si>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Nye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</si>
  <si>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</si>
  <si>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</si>
  <si>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</si>
  <si>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Nye anlægsomkostninger til de økonomiske rammer for 2020</t>
  </si>
  <si>
    <t>Generelt effektiviseringskrav til anlægsomkostningerne i ØR20</t>
  </si>
  <si>
    <t>Base for anlægsomkostninger til de økonomiske rammer for 2021</t>
  </si>
  <si>
    <t>Vejledende generelt effektiviseringskrav til anlægsomkostningerne i ØR23</t>
  </si>
  <si>
    <t>Base for anlægsomkostninger til de vejledende økonomiske rammer for 2023</t>
  </si>
  <si>
    <t>Base for anlægsomkostninger til de vejledende økonomiske rammer for 2022</t>
  </si>
  <si>
    <t>Base for driftsomkostninger til de vejledende økonomiske rammer for 2023</t>
  </si>
  <si>
    <t>Base for driftsomkostninger til de vejledende økonomiske rammer for 2022</t>
  </si>
  <si>
    <t>Nye varige tillæg</t>
  </si>
  <si>
    <t>Engangstillæg - Drift</t>
  </si>
  <si>
    <t>Engangstillæg - Anlæg</t>
  </si>
  <si>
    <t>Fane 7</t>
  </si>
  <si>
    <t>Varige tillæg</t>
  </si>
  <si>
    <t>Engangstillæg</t>
  </si>
  <si>
    <t>Engangstillæg i alt</t>
  </si>
  <si>
    <t>Fane 5: Individuelt effektiviseringskrav</t>
  </si>
  <si>
    <t>Bortfald eller nedsættelse i alt i 2022-prisniveau</t>
  </si>
  <si>
    <t>Økonomisk ramme for 2023</t>
  </si>
  <si>
    <t>Bortfald eller nedsættelse fra og med de økonomiske rammer for 2023</t>
  </si>
  <si>
    <t>Generelt effektiviseringskrav på drift</t>
  </si>
  <si>
    <t>Generelt effektiviseringskrav på anlæg</t>
  </si>
  <si>
    <t>Engangstillæg til de økonomiske rammer for 2023</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</si>
  <si>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</si>
  <si>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</si>
  <si>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</si>
  <si>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</si>
  <si>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</si>
  <si>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</si>
  <si>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</si>
  <si>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</si>
  <si>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</si>
  <si>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</si>
  <si>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</si>
  <si>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</si>
  <si>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Prisudvikling til brug for ØR2017-2018</t>
  </si>
  <si>
    <t>Prisudvikling til brug for ØR2019-2020</t>
  </si>
  <si>
    <t>Generelt effektiviseringskrav til brug for anlægsomkostninger i ØR2017-2018</t>
  </si>
  <si>
    <t>Generelt effektiviseringskrav til brug for nye anlægsomkostninger i ØR2018</t>
  </si>
  <si>
    <t>Generelt effektiviseringskrav til brug for anlægsomkostninger i ØR2019-2020</t>
  </si>
  <si>
    <t>Generelt effektiviseringskrav til brug for nye anlægsomkostninger i ØR2020</t>
  </si>
  <si>
    <t>Generelt effektiviseringskrav til brug for driftsomkostninger</t>
  </si>
  <si>
    <t>Korrektion af driftsomkostninger i grundlaget</t>
  </si>
  <si>
    <t>Korrektion af anlægsomkostninger i grundlaget</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</si>
  <si>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</si>
  <si>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</si>
  <si>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</si>
  <si>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</si>
  <si>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</si>
  <si>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</si>
  <si>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2022</t>
  </si>
  <si>
    <t>Videreførte omkostninger fra den økonomiske ramme for 2023</t>
  </si>
  <si>
    <t>Prisudvikling til brug for nye omkostninger i ØR2021</t>
  </si>
  <si>
    <t>Engangstillæg i alt i 2023-prisniveau</t>
  </si>
  <si>
    <t>Generelt effektiviseringskrav til brug for nye anlægsomkostninger i ØR2021</t>
  </si>
  <si>
    <t>Nye driftsomkostninger til de økonomiske rammer for 2021</t>
  </si>
  <si>
    <t>Base for driftsomkostninger til de vejledende økonomiske rammer for 2024</t>
  </si>
  <si>
    <t>Nye anlægsomkostninger til de økonomiske rammer for 2021</t>
  </si>
  <si>
    <t>Base for anlægsomkostninger til de vejledende økonomiske rammer for 2024</t>
  </si>
  <si>
    <t>Vejledende generelt effektiviseringskrav til anlægsomkostningerne i ØR24</t>
  </si>
  <si>
    <t>Generelt effektiviseringskrav til driftsomkostningerne i ØR21</t>
  </si>
  <si>
    <t>Kontrol med de økonomiske rammer til indregning</t>
  </si>
  <si>
    <t>Kontrol med overholdelse af økonomiske rammer</t>
  </si>
  <si>
    <t>Kontrol med overholdelse af den økonomiske ramme</t>
  </si>
  <si>
    <t>Generelt effektiviseringskrav til anlægsomkostninger i de økonomiske rammer for 2021</t>
  </si>
  <si>
    <t>Generelt effektiviseringskrav til anlægsomkostningerne i ØR21</t>
  </si>
  <si>
    <t>Generelt effektiviseringskrav til driftsomkostninger i de økonomiske rammer for 2021</t>
  </si>
  <si>
    <t>Generelt effektiviseringskrav til driftsomkostninger i de økonomiske rammer for 2022</t>
  </si>
  <si>
    <t>Generelt effektiviseringskrav til driftsomkostningerne i ØR22</t>
  </si>
  <si>
    <t>Generelt effektiviseringskrav til anlægsomkostninger i de økonomiske rammer for 2022</t>
  </si>
  <si>
    <t>Generelt effektiviseringskrav til anlægsomkostningerne i ØR22</t>
  </si>
  <si>
    <t>Vejledende økonomisk ramme for 2025</t>
  </si>
  <si>
    <t>Økonomisk ramme for 2024</t>
  </si>
  <si>
    <t>Videreførte omkostninger fra den økonomiske ramme for 2024</t>
  </si>
  <si>
    <t>Økonomisk ramme for 2025</t>
  </si>
  <si>
    <t>Nye anlægsomkostninger i de økonomiske rammer for 2022</t>
  </si>
  <si>
    <t>Generelt effektiviseringskrav til anlægsomkostninger i de vejledende økonomiske rammer for 2025</t>
  </si>
  <si>
    <t>Base for anlægsomkostninger til de vejledende økonomiske rammer for 2025</t>
  </si>
  <si>
    <t>Vejledende generelt effektiviseringskrav til anlægsomkostningerne i ØR25</t>
  </si>
  <si>
    <t>Generelt effektiviseringskrav til driftsomkostninger i de vejledende økonomiske rammer for 2025</t>
  </si>
  <si>
    <t>Base for driftsomkostninger til de vejledende økonomiske rammer for 2025</t>
  </si>
  <si>
    <t>Vejledende generelt effektiviseringskrav til driftsomkostningerne i ØR25</t>
  </si>
  <si>
    <t>Nye tillæg i alt i 2021-prisniveau</t>
  </si>
  <si>
    <t>Tilknyttet virksomhed under hovedvirksomheden i alt (2021-prisniveau)</t>
  </si>
  <si>
    <t>Prisudvikling til brug for nye omkostninger i ØR2022</t>
  </si>
  <si>
    <t>Generelt effektiviseringskrav til brug for nye anlægsomkostninger i ØR2022</t>
  </si>
  <si>
    <t>Nye driftsomkostninger til de økonomiske rammer for 2022</t>
  </si>
  <si>
    <t xml:space="preserve">Indtægter fra tilbagebetalt skat eller sambeskatningsbidrag som følge af skattesagen </t>
  </si>
  <si>
    <t xml:space="preserve">Nedsættelse af økonomisk ramme som følge af skattesagen </t>
  </si>
  <si>
    <t>Tidligere opgjorte kontrol med overholdelse af økonomiske rammer</t>
  </si>
  <si>
    <t>Over/underdækning i 2019</t>
  </si>
  <si>
    <t>Allerede indregnet fradrag i jeres økonomiske rammer</t>
  </si>
  <si>
    <t xml:space="preserve">Note: Opgørelsen af indregnede fradrag er taget fra jeres tidligere fremsendte økonomiske rammer og statusmeddelelser. I kan derfor ikke komme med høringssvar til denne opgørelse. </t>
  </si>
  <si>
    <t>Korrektion af tidligere rammer</t>
  </si>
  <si>
    <t>Engangskorrektion vedrørende erstatninger</t>
  </si>
  <si>
    <t>Samlet økonomisk ramme for 2023</t>
  </si>
  <si>
    <t>Vejledende økonomisk ramme for 2026</t>
  </si>
  <si>
    <t>Omkostninger i ØR2022</t>
  </si>
  <si>
    <t>Kontrol af den økonomiske ramme for 2021</t>
  </si>
  <si>
    <t>Fane 2.1: Samlet økonomisk ramme for 2023</t>
  </si>
  <si>
    <t>Fane 2.2: Samlet økonomisk ramme for 2024</t>
  </si>
  <si>
    <t>Fane 2.3: Samlet økonomisk ramme for 2025</t>
  </si>
  <si>
    <t>Fane 2.4: Samlet økonomisk ramme for 2026</t>
  </si>
  <si>
    <t>Videreførte omkostninger fra den økonomiske ramme for 2025</t>
  </si>
  <si>
    <t>Økonomisk ramme for 2026</t>
  </si>
  <si>
    <t>Fane 3: Videreførte omkostninger fra den økonomiske ramme for 2022</t>
  </si>
  <si>
    <t>Oversigt over den økonomiske ramme for 2022</t>
  </si>
  <si>
    <t xml:space="preserve">Note: Denne opgørelse er taget fra jeres afgørelse for den økonomiske ramme for 2022. I kan derfor ikke komme med høringssvar til denne opgørelse. </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</si>
  <si>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</si>
  <si>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</si>
  <si>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</si>
  <si>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</si>
  <si>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2026</t>
  </si>
  <si>
    <t>Vejledende generelt effektiviseringskrav til anlægsomkostningerne i ØR26</t>
  </si>
  <si>
    <t>Individuelt effektiviseringskrav til de økonomiske rammer for 2023-2024</t>
  </si>
  <si>
    <t>Faktiske ikke-påvirkelige omkostninger i 2021</t>
  </si>
  <si>
    <t>Ikke-påvirkelige omkostninger i 2021-prisniveau</t>
  </si>
  <si>
    <t>Ikke-påvirkelige omkostninger i 2023-prisniveau</t>
  </si>
  <si>
    <t>Fane 7: Kontrol med overholdelse af den økonomiske ramme for 2021</t>
  </si>
  <si>
    <t>Over/underdækning i 2020</t>
  </si>
  <si>
    <t>Kontrol med overholdelse af den økonomiske ramme for 2021</t>
  </si>
  <si>
    <t>Faktiske indtægter i 2021</t>
  </si>
  <si>
    <t>Nye tillæg i alt i 2022-prisniveau</t>
  </si>
  <si>
    <t>Tilknyttet virksomhed under hovedvirksomheden i alt (2022-prisniveau)</t>
  </si>
  <si>
    <t xml:space="preserve">Prisudvikling til brug for nye omkostninger i ØR2023 </t>
  </si>
  <si>
    <t>Generelt effektiviseringskrav til brug for nye anlægsomkostninger i ØR2023</t>
  </si>
  <si>
    <t>Anlægsprojekter igangsat senest den 1. marts 2016</t>
  </si>
  <si>
    <t>Anlægsprojekter igangsat senest den 1. marts 2016 i alt</t>
  </si>
  <si>
    <t>Til økonomiske rammer for 2023-2024</t>
  </si>
  <si>
    <t>Engangstillæg i alt i 2021-prisniveau</t>
  </si>
  <si>
    <t>Bortfald eller nedsættelse i alt i 2021-prisniveau</t>
  </si>
  <si>
    <t>Nye varige driftsomkostninger til de økonomiske rammer for 2023</t>
  </si>
  <si>
    <t>Generelt effektiviseringskrav til driftsomkostninger i de økonomiske rammer for 2023</t>
  </si>
  <si>
    <t>Generelt effektiviseringskrav til driftsomkostninger i de økonomiske rammer for 2024</t>
  </si>
  <si>
    <t>Generelt effektiviseringskrav til anlægsomkostninger i de økonomiske rammer for 2023</t>
  </si>
  <si>
    <t>Generelt effektiviseringskrav til anlægsomkostninger i de økonomiske rammer for 2024</t>
  </si>
  <si>
    <t>Beregningen af jeres individuelle effektiviseringskrav fremgår af metodepapir samt bilag til benchmarkingmodellen 2023</t>
  </si>
  <si>
    <t>Anlægsprojekter igangsat inden 1. marts 2016</t>
  </si>
  <si>
    <t>Samlet økonomisk ramme for 2024</t>
  </si>
  <si>
    <t xml:space="preserve">Anlægsprojekter (§ 19) </t>
  </si>
  <si>
    <t>Effektiviseringskrav (generelt og individuelt) – Drift</t>
  </si>
  <si>
    <t>Effektiviseringskrav (generelt og individuelt) – Anlæg</t>
  </si>
  <si>
    <t>Generelt effektiviseringskrav til driftsomkostningerne i ØR23</t>
  </si>
  <si>
    <t>Generelt effektiviseringskrav til driftsomkostningerne i ØR24</t>
  </si>
  <si>
    <t xml:space="preserve"> </t>
  </si>
  <si>
    <t>Nye anlægsomkostninger til de økonomiske rammer for 2023</t>
  </si>
  <si>
    <t>Omkostninger i 2021</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</si>
  <si>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</si>
  <si>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</si>
  <si>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</si>
  <si>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</si>
  <si>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</si>
  <si>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</si>
  <si>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</si>
  <si>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</si>
  <si>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</si>
  <si>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</si>
  <si>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</si>
  <si>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</si>
  <si>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</si>
  <si>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</si>
  <si>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</si>
  <si>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</si>
  <si>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</si>
  <si>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</si>
  <si>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</si>
  <si>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</si>
  <si>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</si>
  <si>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</si>
  <si>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</si>
  <si>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</si>
  <si>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</si>
  <si>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Ingen anlægsprojekter</t>
  </si>
  <si>
    <t>Afgift for ledningsført vand</t>
  </si>
  <si>
    <t>Afgift til Forsyningssekretariatet</t>
  </si>
  <si>
    <t>Ejendomsskat</t>
  </si>
  <si>
    <t>Korrigeret over/underdækning i 2019</t>
  </si>
  <si>
    <t>Indregnet fradrag i den økonomiske ramme for 2023</t>
  </si>
  <si>
    <t>Indregnet fradrag i den økonomiske ramme for 2024</t>
  </si>
  <si>
    <t>Den økonomiske ramme for 2021</t>
  </si>
  <si>
    <t>Til indregning i de økonomiske rammer for 2023-2024</t>
  </si>
  <si>
    <t>Ingen tilknyttet virksomhed under hovedvirksomheden</t>
  </si>
  <si>
    <t>Ingen bortfald eller nedsættelse</t>
  </si>
  <si>
    <t>Udvidet kontrol mm.</t>
  </si>
  <si>
    <t>Udvidelser</t>
  </si>
  <si>
    <t>Note: Opgørelsen af overholdelse af de økonomiske rammer og korrektioner heraf er taget fra jeres tidligere fremsendte økonomiske rammer og statusmeddelelser. I kan derfor ikke komme med høringssvar til denne opgørelse. Positive værdier er udtryk for at rammerne er overholdt (underdækning) og negative værdier er udtryk for at rammerne ikke er overholdt (overdækning). Korrigeret over/underdækning i 2020 tager højde for evt. modregninger af over/underdækninger fra tidligere år.</t>
  </si>
  <si>
    <t>Resultat af kontrol med overholdelse af den økonomiske ramme for 2021</t>
  </si>
  <si>
    <t>Ingen engangstillæg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</si>
</sst>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_ * #,##0_ ;_ * \-#,##0_ ;_ * &quot;-&quot;??_ ;_ @_ "/>
    <numFmt numFmtId="166" formatCode="##,##0"/>
  </numFmts>
  <fonts count="16"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b/>
      <sz val="10"/>
      <color theme="1"/>
      <name val="Times New Roman"/>
      <family val="1"/>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54">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8" fillId="8" borderId="1" xfId="0" applyFont="1" applyFill="1" applyBorder="1" applyAlignment="1" applyProtection="1"/>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3" fontId="8" fillId="8" borderId="1" xfId="0" quotePrefix="1" applyNumberFormat="1" applyFont="1" applyFill="1" applyBorder="1" applyProtection="1"/>
    <xf numFmtId="10" fontId="8" fillId="8" borderId="1" xfId="0" applyNumberFormat="1" applyFont="1" applyFill="1" applyBorder="1" applyProtection="1"/>
    <xf numFmtId="1" fontId="8" fillId="0" borderId="1" xfId="0" applyNumberFormat="1" applyFont="1" applyFill="1" applyBorder="1" applyProtection="1"/>
    <xf numFmtId="3" fontId="0" fillId="2" borderId="0" xfId="0" applyNumberFormat="1" applyFill="1" applyProtection="1"/>
    <xf numFmtId="3" fontId="14" fillId="4" borderId="1" xfId="0" applyNumberFormat="1" applyFont="1" applyFill="1" applyBorder="1" applyProtection="1"/>
    <xf numFmtId="3" fontId="15" fillId="3" borderId="1" xfId="0" applyNumberFormat="1" applyFont="1" applyFill="1" applyBorder="1" applyProtection="1"/>
    <xf numFmtId="0" fontId="8" fillId="4" borderId="2" xfId="0" applyFont="1" applyFill="1" applyBorder="1" applyAlignment="1" applyProtection="1"/>
    <xf numFmtId="0" fontId="14" fillId="4" borderId="1" xfId="0" applyFont="1" applyFill="1" applyBorder="1" applyAlignment="1" applyProtection="1">
      <alignment wrapText="1"/>
    </xf>
    <xf numFmtId="0" fontId="15" fillId="3" borderId="2" xfId="0" applyFont="1" applyFill="1" applyBorder="1" applyAlignment="1" applyProtection="1"/>
    <xf numFmtId="3" fontId="7" fillId="3" borderId="6" xfId="0" applyNumberFormat="1" applyFont="1" applyFill="1" applyBorder="1" applyAlignment="1" applyProtection="1"/>
    <xf numFmtId="0" fontId="15" fillId="3" borderId="1" xfId="0" applyFont="1" applyFill="1" applyBorder="1" applyProtection="1"/>
    <xf numFmtId="0" fontId="15" fillId="3" borderId="6" xfId="0" applyFont="1" applyFill="1" applyBorder="1" applyAlignment="1" applyProtection="1"/>
    <xf numFmtId="1" fontId="8" fillId="8" borderId="1" xfId="1" applyNumberFormat="1" applyFont="1" applyFill="1" applyBorder="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3"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3" fontId="8" fillId="4" borderId="2" xfId="0" applyNumberFormat="1" applyFont="1" applyFill="1" applyBorder="1" applyAlignment="1" applyProtection="1">
      <alignment horizontal="right"/>
    </xf>
    <xf numFmtId="166" fontId="8" fillId="8" borderId="1" xfId="1" applyNumberFormat="1" applyFont="1" applyFill="1" applyBorder="1" applyProtection="1"/>
    <xf numFmtId="166" fontId="7" fillId="3" borderId="6" xfId="1" applyNumberFormat="1" applyFont="1" applyFill="1" applyBorder="1" applyAlignment="1" applyProtection="1"/>
    <xf numFmtId="166" fontId="0" fillId="2" borderId="0" xfId="1" applyNumberFormat="1" applyFont="1" applyFill="1" applyProtection="1"/>
    <xf numFmtId="166" fontId="7" fillId="3" borderId="6" xfId="0" applyNumberFormat="1" applyFont="1" applyFill="1" applyBorder="1" applyAlignment="1" applyProtection="1"/>
    <xf numFmtId="166" fontId="0" fillId="2" borderId="0" xfId="0" applyNumberFormat="1" applyFill="1" applyProtection="1"/>
    <xf numFmtId="166" fontId="8" fillId="8" borderId="1" xfId="0" applyNumberFormat="1" applyFont="1" applyFill="1" applyBorder="1" applyProtection="1"/>
    <xf numFmtId="3" fontId="8" fillId="8" borderId="1" xfId="0" applyNumberFormat="1" applyFont="1" applyFill="1" applyBorder="1" applyAlignment="1" applyProtection="1">
      <alignment horizontal="right"/>
    </xf>
    <xf numFmtId="0" fontId="0" fillId="0" borderId="0" xfId="0" applyFill="1" applyAlignment="1" applyProtection="1">
      <alignment horizontal="right"/>
    </xf>
    <xf numFmtId="0" fontId="8" fillId="8" borderId="2" xfId="0" quotePrefix="1" applyFont="1" applyFill="1" applyBorder="1" applyAlignment="1" applyProtection="1">
      <alignmen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8" borderId="2" xfId="0" quotePrefix="1" applyFont="1" applyFill="1" applyBorder="1" applyAlignment="1" applyProtection="1">
      <alignment wrapText="1"/>
    </xf>
    <xf numFmtId="0" fontId="8" fillId="8" borderId="6" xfId="0" quotePrefix="1" applyFont="1" applyFill="1" applyBorder="1" applyAlignment="1" applyProtection="1">
      <alignment wrapText="1"/>
    </xf>
    <xf numFmtId="0" fontId="8" fillId="8" borderId="3" xfId="0" quotePrefix="1" applyFont="1" applyFill="1" applyBorder="1" applyAlignment="1" applyProtection="1">
      <alignment wrapText="1"/>
    </xf>
    <xf numFmtId="0" fontId="8" fillId="4" borderId="2" xfId="0" applyFont="1" applyFill="1" applyBorder="1" applyAlignment="1" applyProtection="1">
      <alignment wrapText="1"/>
    </xf>
    <xf numFmtId="0" fontId="8" fillId="4" borderId="6" xfId="0" applyFont="1" applyFill="1" applyBorder="1" applyAlignment="1" applyProtection="1">
      <alignment wrapText="1"/>
    </xf>
    <xf numFmtId="0" fontId="8" fillId="4" borderId="3" xfId="0" applyFont="1" applyFill="1" applyBorder="1" applyAlignment="1" applyProtection="1">
      <alignment wrapText="1"/>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wrapText="1"/>
    </xf>
    <xf numFmtId="0" fontId="8" fillId="8" borderId="6" xfId="0" applyFont="1" applyFill="1" applyBorder="1" applyAlignment="1" applyProtection="1">
      <alignment wrapText="1"/>
    </xf>
    <xf numFmtId="0" fontId="8" fillId="8" borderId="3" xfId="0" applyFont="1" applyFill="1" applyBorder="1" applyAlignment="1" applyProtection="1">
      <alignment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14" fillId="4" borderId="2" xfId="0" applyFont="1" applyFill="1" applyBorder="1" applyAlignment="1" applyProtection="1"/>
    <xf numFmtId="0" fontId="14" fillId="4" borderId="6" xfId="0" applyFont="1" applyFill="1" applyBorder="1" applyAlignment="1" applyProtection="1"/>
    <xf numFmtId="0" fontId="14" fillId="4" borderId="3" xfId="0" applyFont="1" applyFill="1" applyBorder="1" applyAlignment="1" applyProtection="1"/>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7" fillId="3" borderId="2" xfId="0" applyFont="1" applyFill="1" applyBorder="1" applyAlignment="1" applyProtection="1"/>
    <xf numFmtId="0" fontId="7" fillId="3" borderId="6" xfId="0" applyFont="1" applyFill="1" applyBorder="1" applyAlignment="1" applyProtection="1"/>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166" fontId="7" fillId="3" borderId="6" xfId="0" applyNumberFormat="1"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2" fillId="2" borderId="0" xfId="0" applyFont="1" applyFill="1" applyAlignment="1" applyProtection="1">
      <alignment horizontal="center" wrapText="1"/>
    </xf>
    <xf numFmtId="0" fontId="0" fillId="0" borderId="0" xfId="0" applyAlignment="1" applyProtection="1">
      <alignment horizontal="center" wrapText="1"/>
    </xf>
    <xf numFmtId="0" fontId="0" fillId="0" borderId="7" xfId="0" applyBorder="1" applyAlignment="1" applyProtection="1">
      <alignment horizontal="center" wrapText="1"/>
    </xf>
    <xf numFmtId="0" fontId="0" fillId="2" borderId="0" xfId="0" applyFill="1" applyAlignment="1" applyProtection="1">
      <alignment horizontal="center" vertical="center" wrapText="1"/>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0" borderId="2" xfId="0" applyFont="1" applyFill="1" applyBorder="1" applyAlignment="1" applyProtection="1">
      <alignment horizontal="left"/>
    </xf>
    <xf numFmtId="0" fontId="8" fillId="0" borderId="6" xfId="0" applyFont="1" applyFill="1" applyBorder="1" applyAlignment="1" applyProtection="1">
      <alignment horizontal="left"/>
    </xf>
    <xf numFmtId="0" fontId="8" fillId="0" borderId="3"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cellXfs>
  <cellStyles count="5">
    <cellStyle name="Komma" xfId="1" builtinId="3"/>
    <cellStyle name="Link" xfId="2" builtinId="8"/>
    <cellStyle name="Normal" xfId="0" builtinId="0"/>
    <cellStyle name="Normal 12" xfId="3"/>
    <cellStyle name="Procent" xfId="4" builtinId="5"/>
  </cellStyles>
  <dxfs count="0"/>
  <tableStyles count="0" defaultTableStyle="TableStyleMedium2" defaultPivotStyle="PivotStyleLight16"/>
  <colors>
    <mruColors>
      <color rgb="FFB6DDF3"/>
      <color rgb="FF212121"/>
      <color rgb="FFF2DCDB"/>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sheetName val="ØR22-25"/>
      <sheetName val="ØR21-24"/>
      <sheetName val="ØR20-23"/>
      <sheetName val="ØR19-22"/>
      <sheetName val="ØR18"/>
      <sheetName val="ØR17-20"/>
      <sheetName val="Nøgletal"/>
      <sheetName val="Farvekode forklaring"/>
      <sheetName val="Ark3"/>
    </sheetNames>
    <sheetDataSet>
      <sheetData sheetId="0"/>
      <sheetData sheetId="1">
        <row r="1">
          <cell r="A1" t="str">
            <v>ØR 2023-2026 samt statusmeddelelser</v>
          </cell>
        </row>
      </sheetData>
      <sheetData sheetId="2"/>
      <sheetData sheetId="3"/>
      <sheetData sheetId="4"/>
      <sheetData sheetId="5"/>
      <sheetData sheetId="6"/>
      <sheetData sheetId="7"/>
      <sheetData sheetId="8">
        <row r="5">
          <cell r="C5">
            <v>1.0168999999999999</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A1:I51"/>
  <sheetViews>
    <sheetView showGridLines="0" tabSelected="1" view="pageLayout" zoomScaleNormal="100" workbookViewId="0"/>
  </sheetViews>
  <sheetFormatPr defaultColWidth="9.140625" defaultRowHeight="15" x14ac:dyDescent="0.25"/>
  <cols>
    <col min="1" max="1" width="9.42578125" style="2" customWidth="1"/>
    <col min="2" max="2" width="5.85546875" style="2" customWidth="1"/>
    <col min="3" max="4" width="9.140625" style="2"/>
    <col min="5" max="5" width="11.42578125" style="2" customWidth="1"/>
    <col min="6" max="6" width="11.7109375" style="2" customWidth="1"/>
    <col min="7" max="8" width="9.140625" style="2"/>
    <col min="9" max="9" width="12"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96" t="s">
        <v>4</v>
      </c>
      <c r="E6" s="96"/>
      <c r="F6" s="96"/>
      <c r="G6" s="96"/>
      <c r="H6" s="3"/>
      <c r="I6" s="1"/>
    </row>
    <row r="7" spans="1:9" ht="15" customHeight="1" x14ac:dyDescent="0.25">
      <c r="A7" s="1"/>
      <c r="B7" s="1"/>
      <c r="C7" s="3"/>
      <c r="D7" s="96"/>
      <c r="E7" s="96"/>
      <c r="F7" s="96"/>
      <c r="G7" s="96"/>
      <c r="H7" s="3"/>
      <c r="I7" s="1"/>
    </row>
    <row r="8" spans="1:9" ht="15.75" x14ac:dyDescent="0.25">
      <c r="A8" s="1"/>
      <c r="B8" s="1"/>
      <c r="C8" s="4"/>
      <c r="D8" s="98" t="s">
        <v>194</v>
      </c>
      <c r="E8" s="98"/>
      <c r="F8" s="98"/>
      <c r="G8" s="98"/>
      <c r="H8" s="4"/>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97" t="s">
        <v>5</v>
      </c>
      <c r="E11" s="97"/>
      <c r="F11" s="97"/>
      <c r="G11" s="97"/>
      <c r="H11" s="5"/>
      <c r="I11" s="1"/>
    </row>
    <row r="12" spans="1:9" x14ac:dyDescent="0.25">
      <c r="A12" s="1"/>
      <c r="B12" s="1"/>
      <c r="C12" s="1"/>
      <c r="D12" s="1"/>
      <c r="E12" s="1"/>
      <c r="F12" s="1"/>
      <c r="G12" s="1"/>
      <c r="H12" s="1"/>
      <c r="I12" s="1"/>
    </row>
    <row r="13" spans="1:9" x14ac:dyDescent="0.25">
      <c r="A13" s="1"/>
      <c r="B13" s="1"/>
      <c r="C13" s="6" t="s">
        <v>6</v>
      </c>
      <c r="D13" s="93" t="s">
        <v>161</v>
      </c>
      <c r="E13" s="94"/>
      <c r="F13" s="94"/>
      <c r="G13" s="95"/>
      <c r="H13" s="1"/>
      <c r="I13" s="1"/>
    </row>
    <row r="14" spans="1:9" x14ac:dyDescent="0.25">
      <c r="A14" s="1"/>
      <c r="B14" s="1"/>
      <c r="C14" s="6" t="s">
        <v>14</v>
      </c>
      <c r="D14" s="93" t="s">
        <v>204</v>
      </c>
      <c r="E14" s="94"/>
      <c r="F14" s="94"/>
      <c r="G14" s="95"/>
      <c r="H14" s="1"/>
      <c r="I14" s="1"/>
    </row>
    <row r="15" spans="1:9" x14ac:dyDescent="0.25">
      <c r="A15" s="1"/>
      <c r="B15" s="1"/>
      <c r="C15" s="6" t="s">
        <v>32</v>
      </c>
      <c r="D15" s="93" t="s">
        <v>137</v>
      </c>
      <c r="E15" s="94"/>
      <c r="F15" s="94"/>
      <c r="G15" s="95"/>
      <c r="H15" s="1"/>
      <c r="I15" s="1"/>
    </row>
    <row r="16" spans="1:9" x14ac:dyDescent="0.25">
      <c r="A16" s="1"/>
      <c r="B16" s="1"/>
      <c r="C16" s="6" t="s">
        <v>33</v>
      </c>
      <c r="D16" s="93" t="s">
        <v>162</v>
      </c>
      <c r="E16" s="94"/>
      <c r="F16" s="94"/>
      <c r="G16" s="95"/>
      <c r="H16" s="1"/>
      <c r="I16" s="1"/>
    </row>
    <row r="17" spans="1:9" x14ac:dyDescent="0.25">
      <c r="A17" s="1"/>
      <c r="B17" s="1"/>
      <c r="C17" s="6" t="s">
        <v>110</v>
      </c>
      <c r="D17" s="93" t="s">
        <v>163</v>
      </c>
      <c r="E17" s="94"/>
      <c r="F17" s="94"/>
      <c r="G17" s="95"/>
      <c r="H17" s="1"/>
      <c r="I17" s="1"/>
    </row>
    <row r="18" spans="1:9" x14ac:dyDescent="0.25">
      <c r="A18" s="1"/>
      <c r="B18" s="1"/>
      <c r="C18" s="6" t="s">
        <v>94</v>
      </c>
      <c r="D18" s="99" t="s">
        <v>86</v>
      </c>
      <c r="E18" s="100"/>
      <c r="F18" s="100"/>
      <c r="G18" s="101"/>
      <c r="H18" s="1"/>
      <c r="I18" s="1"/>
    </row>
    <row r="19" spans="1:9" x14ac:dyDescent="0.25">
      <c r="A19" s="1"/>
      <c r="B19" s="1"/>
      <c r="C19" s="6" t="s">
        <v>95</v>
      </c>
      <c r="D19" s="99" t="s">
        <v>87</v>
      </c>
      <c r="E19" s="100"/>
      <c r="F19" s="100"/>
      <c r="G19" s="101"/>
      <c r="H19" s="1"/>
      <c r="I19" s="1"/>
    </row>
    <row r="20" spans="1:9" x14ac:dyDescent="0.25">
      <c r="A20" s="1"/>
      <c r="B20" s="1"/>
      <c r="C20" s="6" t="s">
        <v>7</v>
      </c>
      <c r="D20" s="99" t="s">
        <v>9</v>
      </c>
      <c r="E20" s="100"/>
      <c r="F20" s="100"/>
      <c r="G20" s="101"/>
      <c r="H20" s="1"/>
      <c r="I20" s="1"/>
    </row>
    <row r="21" spans="1:9" x14ac:dyDescent="0.25">
      <c r="A21" s="1"/>
      <c r="B21" s="1"/>
      <c r="C21" s="6" t="s">
        <v>96</v>
      </c>
      <c r="D21" s="90" t="s">
        <v>11</v>
      </c>
      <c r="E21" s="91"/>
      <c r="F21" s="91"/>
      <c r="G21" s="92"/>
      <c r="H21" s="1"/>
      <c r="I21" s="1"/>
    </row>
    <row r="22" spans="1:9" x14ac:dyDescent="0.25">
      <c r="A22" s="1"/>
      <c r="B22" s="1"/>
      <c r="C22" s="6" t="s">
        <v>78</v>
      </c>
      <c r="D22" s="84" t="s">
        <v>164</v>
      </c>
      <c r="E22" s="85"/>
      <c r="F22" s="85"/>
      <c r="G22" s="86"/>
      <c r="H22" s="1"/>
      <c r="I22" s="1"/>
    </row>
    <row r="23" spans="1:9" x14ac:dyDescent="0.25">
      <c r="A23" s="1"/>
      <c r="B23" s="1"/>
      <c r="C23" s="6" t="s">
        <v>8</v>
      </c>
      <c r="D23" s="84" t="s">
        <v>219</v>
      </c>
      <c r="E23" s="85"/>
      <c r="F23" s="85"/>
      <c r="G23" s="86"/>
      <c r="H23" s="1"/>
      <c r="I23" s="1"/>
    </row>
    <row r="24" spans="1:9" x14ac:dyDescent="0.25">
      <c r="A24" s="1"/>
      <c r="B24" s="1"/>
      <c r="C24" s="6" t="s">
        <v>215</v>
      </c>
      <c r="D24" s="84" t="s">
        <v>205</v>
      </c>
      <c r="E24" s="85"/>
      <c r="F24" s="85"/>
      <c r="G24" s="86"/>
      <c r="H24" s="1"/>
      <c r="I24" s="1"/>
    </row>
    <row r="25" spans="1:9" x14ac:dyDescent="0.25">
      <c r="A25" s="1"/>
      <c r="B25" s="1"/>
      <c r="C25" s="6" t="s">
        <v>216</v>
      </c>
      <c r="D25" s="84" t="s">
        <v>79</v>
      </c>
      <c r="E25" s="85"/>
      <c r="F25" s="85"/>
      <c r="G25" s="86"/>
      <c r="H25" s="1"/>
      <c r="I25" s="1"/>
    </row>
    <row r="26" spans="1:9" x14ac:dyDescent="0.25">
      <c r="A26" s="1"/>
      <c r="B26" s="1"/>
      <c r="C26" s="6" t="s">
        <v>217</v>
      </c>
      <c r="D26" s="84" t="s">
        <v>80</v>
      </c>
      <c r="E26" s="85"/>
      <c r="F26" s="85"/>
      <c r="G26" s="86"/>
      <c r="H26" s="1"/>
      <c r="I26" s="1"/>
    </row>
    <row r="27" spans="1:9" x14ac:dyDescent="0.25">
      <c r="A27" s="1"/>
      <c r="B27" s="1"/>
      <c r="C27" s="6" t="s">
        <v>97</v>
      </c>
      <c r="D27" s="84" t="s">
        <v>111</v>
      </c>
      <c r="E27" s="85"/>
      <c r="F27" s="85"/>
      <c r="G27" s="86"/>
      <c r="H27" s="1"/>
      <c r="I27" s="1"/>
    </row>
    <row r="28" spans="1:9" x14ac:dyDescent="0.25">
      <c r="A28" s="1"/>
      <c r="B28" s="1"/>
      <c r="C28" s="6" t="s">
        <v>91</v>
      </c>
      <c r="D28" s="84" t="s">
        <v>34</v>
      </c>
      <c r="E28" s="85"/>
      <c r="F28" s="85"/>
      <c r="G28" s="86"/>
      <c r="H28" s="1"/>
      <c r="I28" s="1"/>
    </row>
    <row r="29" spans="1:9" x14ac:dyDescent="0.25">
      <c r="A29" s="1"/>
      <c r="B29" s="1"/>
      <c r="C29" s="6" t="s">
        <v>218</v>
      </c>
      <c r="D29" s="87" t="s">
        <v>92</v>
      </c>
      <c r="E29" s="88"/>
      <c r="F29" s="88"/>
      <c r="G29" s="89"/>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55"/>
      <c r="B51" s="55"/>
      <c r="C51" s="55"/>
      <c r="D51" s="55"/>
      <c r="E51" s="55"/>
      <c r="F51" s="55"/>
      <c r="G51" s="55"/>
      <c r="H51" s="55"/>
      <c r="I51" s="55"/>
    </row>
  </sheetData>
  <sheetProtection algorithmName="SHA-512" hashValue="YgOqE/iULroEMBT6GA8by6sWcphgRbJwa6TGThxmkMHCR3AcN8XaF0yLKPVdl0UBuChx6AZ5lud9M+jkzQxgkg==" saltValue="UNqd+q+kY8WxfJVuVK1KTQ==" spinCount="100000" sheet="1" objects="1" scenarios="1"/>
  <mergeCells count="20">
    <mergeCell ref="D14:G14"/>
    <mergeCell ref="D6:G7"/>
    <mergeCell ref="D22:G22"/>
    <mergeCell ref="D11:G11"/>
    <mergeCell ref="D8:G8"/>
    <mergeCell ref="D15:G15"/>
    <mergeCell ref="D16:G16"/>
    <mergeCell ref="D13:G13"/>
    <mergeCell ref="D17:G17"/>
    <mergeCell ref="D18:G18"/>
    <mergeCell ref="D19:G19"/>
    <mergeCell ref="D20:G20"/>
    <mergeCell ref="D28:G28"/>
    <mergeCell ref="D29:G29"/>
    <mergeCell ref="D21:G21"/>
    <mergeCell ref="D24:G24"/>
    <mergeCell ref="D25:G25"/>
    <mergeCell ref="D27:G27"/>
    <mergeCell ref="D26:G26"/>
    <mergeCell ref="D23:G23"/>
  </mergeCells>
  <hyperlinks>
    <hyperlink ref="D14:G14" location="'Fane 2.2. Økonomisk ramme 2024'!A1" display="Vejledende økonomisk ramme for 2024"/>
    <hyperlink ref="D25:G25" location="'Fane 10.1. Varige tillæg'!A1" display="Varige tillæg"/>
    <hyperlink ref="D27:G27" location="'Fane 11. Tilknyttet virksomhed'!A1" display="Tilknyttet virksomhed"/>
    <hyperlink ref="D28:G28" location="'Fane 12. Bortfald'!A1" display="Bortfald"/>
    <hyperlink ref="D13:G13" location="'Fane 2.1. Økonomisk ramme 2023'!A1" display="Samlet økonomisk ramme for 2023"/>
    <hyperlink ref="D16:G16" location="'Fane 2.4. Økonomisk ramme 2026'!A1" display="Vejledende økonomisk ramme for 2026"/>
    <hyperlink ref="D15:G15" location="'Fane 2.3. Økonomisk ramme 2025'!A1" display="Vejledende økonomisk ramme for 2025"/>
    <hyperlink ref="D21:G21" location="'Fane 6. Ikke-påvirkelige omk.'!A1" display="Ikke-påvirkelige omkostninger"/>
    <hyperlink ref="D22:G22" location="'Fane 7. Kontrol af ØR2021'!A1" display="Kontrol af den økonomiske ramme for 2021"/>
    <hyperlink ref="D24:G24" location="'Fane 9. Anlægsprojekter (§ 19) '!A1" display="Anlægsprojekter (§ 19) "/>
    <hyperlink ref="D29:G29" location="'Fane 13. Nøgletal'!A1" display="Nøgletal"/>
    <hyperlink ref="D17:G17" location="'Fane 3. Omkostninger i ØR2022'!A1" display="Omkostninger i ØR2022"/>
    <hyperlink ref="D26:G26" location="'Fane 10.2. Engangstillæg'!A1" display="Engangstillæg"/>
    <hyperlink ref="D19:G19" location="'Fane 4.2. Gen. krav - anlæg'!A1" display="Generelt effektiviseringskrav på anlæg"/>
    <hyperlink ref="D18:G18" location="'Fane 4.1. Gen. krav - drift'!A1" display="Generelt effektiviseringskrav på drift"/>
    <hyperlink ref="D20:G20" location="'Fane 5. Individuelt eff. krav'!A1" display="Individuelt effektiviseringskrav"/>
    <hyperlink ref="D23:G23" location="'Fane 8. Skattesagen'!A1" display="Skattesagen"/>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F50"/>
  <sheetViews>
    <sheetView showGridLines="0" view="pageLayout" zoomScaleNormal="100" workbookViewId="0"/>
  </sheetViews>
  <sheetFormatPr defaultColWidth="9.140625" defaultRowHeight="15" x14ac:dyDescent="0.25"/>
  <cols>
    <col min="1" max="1" width="8.140625" style="2" customWidth="1"/>
    <col min="2" max="2" width="37.85546875" style="2" customWidth="1"/>
    <col min="3" max="3" width="24.85546875" style="2" customWidth="1"/>
    <col min="4" max="4" width="3.140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102" t="s">
        <v>100</v>
      </c>
      <c r="C3" s="102"/>
      <c r="D3" s="102"/>
      <c r="E3" s="1"/>
      <c r="F3" s="1"/>
    </row>
    <row r="4" spans="1:6" ht="15" customHeight="1" x14ac:dyDescent="0.25">
      <c r="A4" s="1"/>
      <c r="B4" s="102"/>
      <c r="C4" s="102"/>
      <c r="D4" s="102"/>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25" t="s">
        <v>181</v>
      </c>
      <c r="C8" s="126"/>
      <c r="D8" s="127"/>
      <c r="E8" s="1"/>
      <c r="F8" s="1"/>
    </row>
    <row r="9" spans="1:6" ht="15" customHeight="1" x14ac:dyDescent="0.25">
      <c r="A9" s="1"/>
      <c r="B9" s="33" t="s">
        <v>30</v>
      </c>
      <c r="C9" s="11" t="s">
        <v>212</v>
      </c>
      <c r="D9" s="11"/>
      <c r="E9" s="1"/>
      <c r="F9" s="1"/>
    </row>
    <row r="10" spans="1:6" x14ac:dyDescent="0.25">
      <c r="A10" s="1"/>
      <c r="B10" s="81" t="s">
        <v>239</v>
      </c>
      <c r="C10" s="9">
        <v>19741459</v>
      </c>
      <c r="D10" s="14" t="s">
        <v>3</v>
      </c>
      <c r="E10" s="1"/>
      <c r="F10" s="1"/>
    </row>
    <row r="11" spans="1:6" x14ac:dyDescent="0.25">
      <c r="A11" s="1"/>
      <c r="B11" s="81" t="s">
        <v>240</v>
      </c>
      <c r="C11" s="9">
        <v>114421</v>
      </c>
      <c r="D11" s="14" t="s">
        <v>3</v>
      </c>
      <c r="E11" s="1"/>
      <c r="F11" s="1"/>
    </row>
    <row r="12" spans="1:6" x14ac:dyDescent="0.25">
      <c r="A12" s="1"/>
      <c r="B12" s="81" t="s">
        <v>241</v>
      </c>
      <c r="C12" s="9">
        <v>128471</v>
      </c>
      <c r="D12" s="14" t="s">
        <v>3</v>
      </c>
      <c r="E12" s="1"/>
      <c r="F12" s="1"/>
    </row>
    <row r="13" spans="1:6" x14ac:dyDescent="0.25">
      <c r="A13" s="1"/>
      <c r="B13" s="69" t="s">
        <v>182</v>
      </c>
      <c r="C13" s="12">
        <f>SUM(C10:C12)</f>
        <v>19984351</v>
      </c>
      <c r="D13" s="13" t="s">
        <v>3</v>
      </c>
      <c r="E13" s="1"/>
      <c r="F13" s="1"/>
    </row>
    <row r="14" spans="1:6" x14ac:dyDescent="0.25">
      <c r="A14" s="1"/>
      <c r="B14" s="69" t="s">
        <v>183</v>
      </c>
      <c r="C14" s="12">
        <f>C13*(1+'Fane 13. Nøgletal'!C15)^2</f>
        <v>21432564.15828336</v>
      </c>
      <c r="D14" s="13" t="s">
        <v>3</v>
      </c>
      <c r="E14" s="1"/>
      <c r="F14" s="1"/>
    </row>
    <row r="15" spans="1:6" x14ac:dyDescent="0.25">
      <c r="A15" s="1"/>
      <c r="B15" s="16"/>
      <c r="C15" s="15"/>
      <c r="D15" s="15"/>
      <c r="E15" s="1"/>
      <c r="F15" s="1"/>
    </row>
    <row r="16" spans="1:6" x14ac:dyDescent="0.25">
      <c r="A16" s="1"/>
      <c r="B16" s="16"/>
      <c r="C16" s="15"/>
      <c r="D16" s="15"/>
      <c r="E16" s="1"/>
      <c r="F16" s="1"/>
    </row>
    <row r="17" spans="1:6" x14ac:dyDescent="0.25">
      <c r="A17" s="1"/>
      <c r="B17" s="1"/>
      <c r="C17" s="1"/>
      <c r="D17" s="1"/>
      <c r="E17" s="1"/>
      <c r="F17" s="1"/>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sheetData>
  <sheetProtection algorithmName="SHA-512" hashValue="pBDhuTSk0jyFujC6GlIu+cjVf+MIPv7ZRIqhLfvGcEaT2K260AUFzJ+HnXK4hBeMyWZZuGma6rY8QBDZ0ejPEg==" saltValue="bsKrl7YPA9b4cOpV+E+TMg=="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dimension ref="A1:G42"/>
  <sheetViews>
    <sheetView showGridLines="0" view="pageLayout" zoomScaleNormal="100" workbookViewId="0"/>
  </sheetViews>
  <sheetFormatPr defaultColWidth="9.140625" defaultRowHeight="15" x14ac:dyDescent="0.25"/>
  <cols>
    <col min="1" max="1" width="3.7109375" style="2" customWidth="1"/>
    <col min="2" max="3" width="9.140625" style="2"/>
    <col min="4" max="4" width="47.85546875" style="2" customWidth="1"/>
    <col min="5" max="5" width="10.85546875" style="2" customWidth="1"/>
    <col min="6" max="6" width="3.140625" style="2" customWidth="1"/>
    <col min="7" max="7" width="2.28515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10" t="s">
        <v>184</v>
      </c>
      <c r="C3" s="110"/>
      <c r="D3" s="110"/>
      <c r="E3" s="110"/>
      <c r="F3" s="110"/>
      <c r="G3" s="1"/>
    </row>
    <row r="4" spans="1:7" ht="15" customHeight="1" x14ac:dyDescent="0.25">
      <c r="A4" s="1"/>
      <c r="B4" s="110"/>
      <c r="C4" s="110"/>
      <c r="D4" s="110"/>
      <c r="E4" s="110"/>
      <c r="F4" s="110"/>
      <c r="G4" s="1"/>
    </row>
    <row r="5" spans="1:7" ht="15" customHeight="1" x14ac:dyDescent="0.25">
      <c r="A5" s="1"/>
      <c r="B5" s="76"/>
      <c r="C5" s="76"/>
      <c r="D5" s="76"/>
      <c r="E5" s="76"/>
      <c r="F5" s="76"/>
      <c r="G5" s="1"/>
    </row>
    <row r="6" spans="1:7" ht="15" customHeight="1" x14ac:dyDescent="0.25">
      <c r="A6" s="1"/>
      <c r="B6" s="76"/>
      <c r="C6" s="76"/>
      <c r="D6" s="76"/>
      <c r="E6" s="76"/>
      <c r="F6" s="76"/>
      <c r="G6" s="1"/>
    </row>
    <row r="7" spans="1:7" x14ac:dyDescent="0.25">
      <c r="A7" s="1"/>
      <c r="B7" s="1"/>
      <c r="C7" s="1"/>
      <c r="D7" s="1"/>
      <c r="E7" s="1"/>
      <c r="F7" s="1"/>
      <c r="G7" s="1"/>
    </row>
    <row r="8" spans="1:7" x14ac:dyDescent="0.25">
      <c r="A8" s="1"/>
      <c r="B8" s="125" t="s">
        <v>155</v>
      </c>
      <c r="C8" s="126"/>
      <c r="D8" s="126"/>
      <c r="E8" s="126"/>
      <c r="F8" s="127"/>
      <c r="G8" s="1"/>
    </row>
    <row r="9" spans="1:7" x14ac:dyDescent="0.25">
      <c r="A9" s="1"/>
      <c r="B9" s="128" t="s">
        <v>156</v>
      </c>
      <c r="C9" s="129"/>
      <c r="D9" s="130"/>
      <c r="E9" s="9">
        <v>221802</v>
      </c>
      <c r="F9" s="14" t="s">
        <v>3</v>
      </c>
      <c r="G9" s="1"/>
    </row>
    <row r="10" spans="1:7" x14ac:dyDescent="0.25">
      <c r="A10" s="1"/>
      <c r="B10" s="143" t="s">
        <v>242</v>
      </c>
      <c r="C10" s="144"/>
      <c r="D10" s="145"/>
      <c r="E10" s="9">
        <v>221802</v>
      </c>
      <c r="F10" s="54" t="s">
        <v>3</v>
      </c>
      <c r="G10" s="1"/>
    </row>
    <row r="11" spans="1:7" x14ac:dyDescent="0.25">
      <c r="A11" s="1"/>
      <c r="B11" s="128" t="s">
        <v>185</v>
      </c>
      <c r="C11" s="129"/>
      <c r="D11" s="130"/>
      <c r="E11" s="9">
        <v>-312016.55594991893</v>
      </c>
      <c r="F11" s="14" t="s">
        <v>3</v>
      </c>
      <c r="G11" s="1"/>
    </row>
    <row r="12" spans="1:7" x14ac:dyDescent="0.25">
      <c r="A12" s="1"/>
      <c r="B12" s="69"/>
      <c r="C12" s="70"/>
      <c r="D12" s="70"/>
      <c r="E12" s="70"/>
      <c r="F12" s="19"/>
      <c r="G12" s="1"/>
    </row>
    <row r="13" spans="1:7" ht="65.099999999999994" customHeight="1" x14ac:dyDescent="0.25">
      <c r="A13" s="1"/>
      <c r="B13" s="114" t="s">
        <v>251</v>
      </c>
      <c r="C13" s="115"/>
      <c r="D13" s="115"/>
      <c r="E13" s="115"/>
      <c r="F13" s="116"/>
      <c r="G13" s="1"/>
    </row>
    <row r="14" spans="1:7" ht="27" customHeight="1" x14ac:dyDescent="0.25">
      <c r="A14" s="1"/>
      <c r="B14" s="1"/>
      <c r="C14" s="1"/>
      <c r="D14" s="1"/>
      <c r="E14" s="1"/>
      <c r="F14" s="1"/>
      <c r="G14" s="1"/>
    </row>
    <row r="15" spans="1:7" ht="28.5" customHeight="1" x14ac:dyDescent="0.25">
      <c r="A15" s="1"/>
      <c r="B15" s="125" t="s">
        <v>157</v>
      </c>
      <c r="C15" s="126"/>
      <c r="D15" s="126"/>
      <c r="E15" s="126"/>
      <c r="F15" s="127"/>
      <c r="G15" s="1"/>
    </row>
    <row r="16" spans="1:7" x14ac:dyDescent="0.25">
      <c r="A16" s="1"/>
      <c r="B16" s="128" t="s">
        <v>243</v>
      </c>
      <c r="C16" s="129"/>
      <c r="D16" s="130"/>
      <c r="E16" s="9">
        <v>0</v>
      </c>
      <c r="F16" s="14" t="s">
        <v>3</v>
      </c>
      <c r="G16" s="1"/>
    </row>
    <row r="17" spans="1:7" x14ac:dyDescent="0.25">
      <c r="A17" s="1"/>
      <c r="B17" s="128" t="s">
        <v>244</v>
      </c>
      <c r="C17" s="129"/>
      <c r="D17" s="130"/>
      <c r="E17" s="9">
        <v>0</v>
      </c>
      <c r="F17" s="14" t="s">
        <v>3</v>
      </c>
      <c r="G17" s="1"/>
    </row>
    <row r="18" spans="1:7" x14ac:dyDescent="0.25">
      <c r="A18" s="1"/>
      <c r="B18" s="69"/>
      <c r="C18" s="70"/>
      <c r="D18" s="70"/>
      <c r="E18" s="70"/>
      <c r="F18" s="19"/>
      <c r="G18" s="1"/>
    </row>
    <row r="19" spans="1:7" ht="31.5" customHeight="1" x14ac:dyDescent="0.25">
      <c r="A19" s="1"/>
      <c r="B19" s="114" t="s">
        <v>158</v>
      </c>
      <c r="C19" s="115"/>
      <c r="D19" s="115"/>
      <c r="E19" s="115"/>
      <c r="F19" s="116"/>
      <c r="G19" s="1"/>
    </row>
    <row r="20" spans="1:7" ht="28.5" customHeight="1" x14ac:dyDescent="0.25">
      <c r="A20" s="1"/>
      <c r="B20" s="1"/>
      <c r="C20" s="1"/>
      <c r="D20" s="1"/>
      <c r="E20" s="1"/>
      <c r="F20" s="1"/>
      <c r="G20" s="1"/>
    </row>
    <row r="21" spans="1:7" ht="28.5" customHeight="1" x14ac:dyDescent="0.25">
      <c r="A21" s="1"/>
      <c r="B21" s="73" t="s">
        <v>186</v>
      </c>
      <c r="C21" s="74"/>
      <c r="D21" s="74"/>
      <c r="E21" s="74"/>
      <c r="F21" s="75"/>
      <c r="G21" s="1"/>
    </row>
    <row r="22" spans="1:7" x14ac:dyDescent="0.25">
      <c r="A22" s="1"/>
      <c r="B22" s="78" t="s">
        <v>245</v>
      </c>
      <c r="C22" s="79"/>
      <c r="D22" s="80"/>
      <c r="E22" s="9">
        <v>57363384.065072536</v>
      </c>
      <c r="F22" s="14" t="s">
        <v>3</v>
      </c>
      <c r="G22" s="1"/>
    </row>
    <row r="23" spans="1:7" x14ac:dyDescent="0.25">
      <c r="A23" s="1"/>
      <c r="B23" s="78" t="s">
        <v>187</v>
      </c>
      <c r="C23" s="79"/>
      <c r="D23" s="80"/>
      <c r="E23" s="64">
        <v>58027234</v>
      </c>
      <c r="F23" s="14" t="s">
        <v>3</v>
      </c>
      <c r="G23" s="1"/>
    </row>
    <row r="24" spans="1:7" x14ac:dyDescent="0.25">
      <c r="A24" s="1"/>
      <c r="B24" s="78" t="s">
        <v>31</v>
      </c>
      <c r="C24" s="79"/>
      <c r="D24" s="80"/>
      <c r="E24" s="9">
        <v>170000</v>
      </c>
      <c r="F24" s="14" t="s">
        <v>3</v>
      </c>
      <c r="G24" s="1"/>
    </row>
    <row r="25" spans="1:7" x14ac:dyDescent="0.25">
      <c r="A25" s="1"/>
      <c r="B25" s="51" t="s">
        <v>252</v>
      </c>
      <c r="C25" s="52"/>
      <c r="D25" s="53"/>
      <c r="E25" s="57">
        <f>E22-(E23-E24)</f>
        <v>-493849.93492746353</v>
      </c>
      <c r="F25" s="17" t="s">
        <v>3</v>
      </c>
      <c r="G25" s="1"/>
    </row>
    <row r="26" spans="1:7" x14ac:dyDescent="0.25">
      <c r="A26" s="1"/>
      <c r="B26" s="69"/>
      <c r="C26" s="70"/>
      <c r="D26" s="70"/>
      <c r="E26" s="70"/>
      <c r="F26" s="19"/>
      <c r="G26" s="1"/>
    </row>
    <row r="27" spans="1:7" x14ac:dyDescent="0.25">
      <c r="A27" s="1"/>
      <c r="B27" s="1"/>
      <c r="C27" s="1"/>
      <c r="D27" s="1"/>
      <c r="E27" s="1"/>
      <c r="F27" s="1"/>
      <c r="G27" s="1"/>
    </row>
    <row r="28" spans="1:7" ht="28.5" customHeight="1" x14ac:dyDescent="0.25">
      <c r="A28" s="1"/>
      <c r="B28" s="125" t="s">
        <v>246</v>
      </c>
      <c r="C28" s="126"/>
      <c r="D28" s="126"/>
      <c r="E28" s="126"/>
      <c r="F28" s="127"/>
      <c r="G28" s="1"/>
    </row>
    <row r="29" spans="1:7" x14ac:dyDescent="0.25">
      <c r="A29" s="1"/>
      <c r="B29" s="146" t="s">
        <v>128</v>
      </c>
      <c r="C29" s="147"/>
      <c r="D29" s="148"/>
      <c r="E29" s="9">
        <f>IF(AND(E11&gt;0,E25&gt;0),0,IF(AND(E11&lt;0,E25&lt;0),E16+E17+E25,IF(AND(E11&lt;0,E25&gt;0),E16+E17,IF(AND(E9&gt;0,E11&gt;0,E25&lt;0,ABS(E11)&gt;ABS(E25)),0,IF(AND(E9&gt;0,E11&gt;0,E25&lt;0,ABS(E11)&lt;ABS(E25)),(ABS(E11)-ABS(E25)),IF(AND(E9&lt;0,E11&gt;0,E25&lt;0,ABS(E10)&gt;ABS(E11)),E25,IF(AND(E9&lt;0,E11&gt;0,E25&lt;0,ABS(E10)&lt;ABS(E11),ABS(SUM(E10,E11))&gt;ABS(E25)),0,IF(AND(E9&lt;0,E11&gt;0,E25&lt;0,ABS(E10)&lt;ABS(E11),ABS(SUM(E10,E11))&lt;ABS(E25)),(ABS(SUM(E10,E11))-ABS(E25)),"fejl"))))))))</f>
        <v>-493849.93492746353</v>
      </c>
      <c r="F29" s="14" t="s">
        <v>3</v>
      </c>
      <c r="G29" s="1"/>
    </row>
    <row r="30" spans="1:7" x14ac:dyDescent="0.25">
      <c r="A30" s="1"/>
      <c r="B30" s="146" t="s">
        <v>93</v>
      </c>
      <c r="C30" s="147"/>
      <c r="D30" s="148"/>
      <c r="E30" s="9">
        <v>2</v>
      </c>
      <c r="F30" s="14" t="s">
        <v>18</v>
      </c>
      <c r="G30" s="1"/>
    </row>
    <row r="31" spans="1:7" x14ac:dyDescent="0.25">
      <c r="A31" s="1"/>
      <c r="B31" s="139" t="s">
        <v>127</v>
      </c>
      <c r="C31" s="139"/>
      <c r="D31" s="139"/>
      <c r="E31" s="10">
        <f>E29/E30</f>
        <v>-246924.96746373177</v>
      </c>
      <c r="F31" s="17" t="s">
        <v>3</v>
      </c>
      <c r="G31" s="1"/>
    </row>
    <row r="32" spans="1:7" x14ac:dyDescent="0.25">
      <c r="A32" s="1"/>
      <c r="B32" s="140"/>
      <c r="C32" s="141"/>
      <c r="D32" s="141"/>
      <c r="E32" s="141"/>
      <c r="F32" s="142"/>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B38" s="55"/>
      <c r="C38" s="55"/>
      <c r="D38" s="55"/>
      <c r="E38" s="55"/>
      <c r="F38" s="55"/>
    </row>
    <row r="39" spans="1:7" x14ac:dyDescent="0.25">
      <c r="A39" s="55"/>
      <c r="B39" s="55"/>
      <c r="C39" s="55"/>
      <c r="D39" s="55"/>
      <c r="E39" s="55"/>
      <c r="F39" s="55"/>
      <c r="G39" s="55"/>
    </row>
    <row r="40" spans="1:7" x14ac:dyDescent="0.25">
      <c r="A40" s="55"/>
      <c r="B40" s="55"/>
      <c r="C40" s="55"/>
      <c r="D40" s="55"/>
      <c r="E40" s="55"/>
      <c r="F40" s="55"/>
      <c r="G40" s="55"/>
    </row>
    <row r="41" spans="1:7" x14ac:dyDescent="0.25">
      <c r="A41" s="55"/>
      <c r="B41" s="55"/>
      <c r="C41" s="55"/>
      <c r="D41" s="55"/>
      <c r="E41" s="55"/>
      <c r="F41" s="55"/>
      <c r="G41" s="55"/>
    </row>
    <row r="42" spans="1:7" x14ac:dyDescent="0.25">
      <c r="A42" s="55"/>
      <c r="B42" s="55"/>
      <c r="C42" s="55"/>
      <c r="D42" s="55"/>
      <c r="E42" s="55"/>
      <c r="F42" s="55"/>
      <c r="G42" s="55"/>
    </row>
  </sheetData>
  <sheetProtection algorithmName="SHA-512" hashValue="GrcODDqfDXhO0bHlZFz7ZjL6FwHO54BfOcXSpbS+jaCkB3HODDDyIvB4zi4imsfKDYLGCs7IiQniudkPFQqm6w==" saltValue="D8roGzx0cXGFBtfBtZvOwQ==" spinCount="100000" sheet="1" objects="1" scenarios="1"/>
  <mergeCells count="15">
    <mergeCell ref="B31:D31"/>
    <mergeCell ref="B32:F32"/>
    <mergeCell ref="B8:F8"/>
    <mergeCell ref="B10:D10"/>
    <mergeCell ref="B11:D11"/>
    <mergeCell ref="B30:D30"/>
    <mergeCell ref="B19:F19"/>
    <mergeCell ref="B28:F28"/>
    <mergeCell ref="B29:D29"/>
    <mergeCell ref="B3:F4"/>
    <mergeCell ref="B17:D17"/>
    <mergeCell ref="B9:D9"/>
    <mergeCell ref="B13:F13"/>
    <mergeCell ref="B15:F15"/>
    <mergeCell ref="B16:D16"/>
  </mergeCells>
  <pageMargins left="0.70866141732283461" right="0.70866141732283461"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dimension ref="A1:I42"/>
  <sheetViews>
    <sheetView view="pageLayout" zoomScaleNormal="100" workbookViewId="0"/>
  </sheetViews>
  <sheetFormatPr defaultColWidth="9.140625" defaultRowHeight="15" x14ac:dyDescent="0.25"/>
  <cols>
    <col min="1" max="1" width="4.85546875" style="40" customWidth="1"/>
    <col min="2" max="2" width="22.7109375" style="40" customWidth="1"/>
    <col min="3" max="3" width="8.140625" style="40" customWidth="1"/>
    <col min="4" max="6" width="10.85546875" style="40" customWidth="1"/>
    <col min="7" max="7" width="11.140625" style="40" customWidth="1"/>
    <col min="8" max="8" width="3.140625" style="40" customWidth="1"/>
    <col min="9" max="9" width="4.85546875" style="40" customWidth="1"/>
    <col min="10" max="16384" width="9.140625" style="40"/>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02" t="s">
        <v>226</v>
      </c>
      <c r="C3" s="102"/>
      <c r="D3" s="102"/>
      <c r="E3" s="102"/>
      <c r="F3" s="102"/>
      <c r="G3" s="102"/>
      <c r="H3" s="102"/>
      <c r="I3" s="1"/>
    </row>
    <row r="4" spans="1:9" ht="15" customHeight="1" x14ac:dyDescent="0.25">
      <c r="A4" s="1"/>
      <c r="B4" s="102"/>
      <c r="C4" s="102"/>
      <c r="D4" s="102"/>
      <c r="E4" s="102"/>
      <c r="F4" s="102"/>
      <c r="G4" s="102"/>
      <c r="H4" s="102"/>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25" t="s">
        <v>227</v>
      </c>
      <c r="C8" s="126"/>
      <c r="D8" s="126"/>
      <c r="E8" s="126"/>
      <c r="F8" s="126"/>
      <c r="G8" s="126"/>
      <c r="H8" s="127"/>
      <c r="I8" s="1"/>
    </row>
    <row r="9" spans="1:9" ht="15" customHeight="1" x14ac:dyDescent="0.25">
      <c r="A9" s="1"/>
      <c r="B9" s="120" t="s">
        <v>228</v>
      </c>
      <c r="C9" s="121"/>
      <c r="D9" s="121"/>
      <c r="E9" s="121"/>
      <c r="F9" s="121"/>
      <c r="G9" s="121"/>
      <c r="H9" s="122"/>
      <c r="I9" s="1"/>
    </row>
    <row r="10" spans="1:9" x14ac:dyDescent="0.25">
      <c r="A10" s="1"/>
      <c r="B10" s="149" t="s">
        <v>229</v>
      </c>
      <c r="C10" s="150"/>
      <c r="D10" s="150"/>
      <c r="E10" s="150"/>
      <c r="F10" s="151"/>
      <c r="G10" s="56">
        <v>-870282</v>
      </c>
      <c r="H10" s="9" t="s">
        <v>3</v>
      </c>
      <c r="I10" s="1"/>
    </row>
    <row r="11" spans="1:9" x14ac:dyDescent="0.25">
      <c r="A11" s="1"/>
      <c r="B11" s="149" t="s">
        <v>230</v>
      </c>
      <c r="C11" s="150"/>
      <c r="D11" s="150"/>
      <c r="E11" s="150"/>
      <c r="F11" s="151"/>
      <c r="G11" s="56">
        <v>-870282</v>
      </c>
      <c r="H11" s="9" t="s">
        <v>3</v>
      </c>
      <c r="I11" s="1"/>
    </row>
    <row r="12" spans="1:9" x14ac:dyDescent="0.25">
      <c r="A12" s="1"/>
      <c r="B12" s="149" t="s">
        <v>231</v>
      </c>
      <c r="C12" s="150"/>
      <c r="D12" s="150"/>
      <c r="E12" s="150"/>
      <c r="F12" s="151"/>
      <c r="G12" s="56">
        <v>-870282</v>
      </c>
      <c r="H12" s="9" t="s">
        <v>3</v>
      </c>
      <c r="I12" s="1"/>
    </row>
    <row r="13" spans="1:9" x14ac:dyDescent="0.25">
      <c r="A13" s="1"/>
      <c r="B13" s="149" t="s">
        <v>232</v>
      </c>
      <c r="C13" s="150"/>
      <c r="D13" s="150"/>
      <c r="E13" s="150"/>
      <c r="F13" s="151"/>
      <c r="G13" s="56">
        <v>-870282</v>
      </c>
      <c r="H13" s="9" t="s">
        <v>3</v>
      </c>
      <c r="I13" s="1"/>
    </row>
    <row r="14" spans="1:9" x14ac:dyDescent="0.25">
      <c r="A14" s="1"/>
      <c r="B14" s="149" t="s">
        <v>233</v>
      </c>
      <c r="C14" s="150"/>
      <c r="D14" s="150"/>
      <c r="E14" s="150"/>
      <c r="F14" s="151"/>
      <c r="G14" s="56">
        <v>-870282</v>
      </c>
      <c r="H14" s="9" t="s">
        <v>3</v>
      </c>
      <c r="I14" s="1"/>
    </row>
    <row r="15" spans="1:9" x14ac:dyDescent="0.25">
      <c r="A15" s="1"/>
      <c r="B15" s="149" t="s">
        <v>234</v>
      </c>
      <c r="C15" s="150"/>
      <c r="D15" s="150"/>
      <c r="E15" s="150"/>
      <c r="F15" s="151"/>
      <c r="G15" s="56">
        <v>-870282</v>
      </c>
      <c r="H15" s="9" t="s">
        <v>3</v>
      </c>
      <c r="I15" s="1"/>
    </row>
    <row r="16" spans="1:9" x14ac:dyDescent="0.25">
      <c r="A16" s="1"/>
      <c r="B16" s="149" t="s">
        <v>235</v>
      </c>
      <c r="C16" s="150"/>
      <c r="D16" s="150"/>
      <c r="E16" s="150"/>
      <c r="F16" s="151"/>
      <c r="G16" s="9">
        <v>0</v>
      </c>
      <c r="H16" s="9" t="s">
        <v>3</v>
      </c>
      <c r="I16" s="1"/>
    </row>
    <row r="17" spans="1:9" x14ac:dyDescent="0.25">
      <c r="A17" s="1"/>
      <c r="B17" s="149" t="s">
        <v>236</v>
      </c>
      <c r="C17" s="150"/>
      <c r="D17" s="150"/>
      <c r="E17" s="150"/>
      <c r="F17" s="151"/>
      <c r="G17" s="9">
        <v>0</v>
      </c>
      <c r="H17" s="9" t="s">
        <v>3</v>
      </c>
      <c r="I17" s="1"/>
    </row>
    <row r="18" spans="1:9" x14ac:dyDescent="0.25">
      <c r="A18" s="1"/>
      <c r="B18" s="125" t="s">
        <v>237</v>
      </c>
      <c r="C18" s="126"/>
      <c r="D18" s="126"/>
      <c r="E18" s="126"/>
      <c r="F18" s="127"/>
      <c r="G18" s="12">
        <f>SUM(G10:G17)</f>
        <v>-5221692</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sheetData>
  <sheetProtection algorithmName="SHA-512" hashValue="MJCWwVnR8mnxP59qmVjJXJvjOa7ALHYkEs2CJoVQUZiNdJnPH+iGlgc4KeG+X7Ap7VVqyh8t3uN/kPPQNw3JWQ==" saltValue="Mo4DfcsHDDRhCvi/4h7DFA=="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dimension ref="A1:L52"/>
  <sheetViews>
    <sheetView showGridLines="0" view="pageLayout" zoomScaleNormal="100" workbookViewId="0"/>
  </sheetViews>
  <sheetFormatPr defaultColWidth="9.140625" defaultRowHeight="15" x14ac:dyDescent="0.25"/>
  <cols>
    <col min="1" max="1" width="3.85546875" style="2" customWidth="1"/>
    <col min="2" max="2" width="21.140625" style="2" customWidth="1"/>
    <col min="3" max="3" width="7.140625" style="2" customWidth="1"/>
    <col min="4" max="4" width="9.28515625" style="2" customWidth="1"/>
    <col min="5" max="5" width="2.85546875" style="2" customWidth="1"/>
    <col min="6" max="6" width="10" style="2" customWidth="1"/>
    <col min="7" max="7" width="2.85546875" style="2" customWidth="1"/>
    <col min="8" max="8" width="10" style="2" customWidth="1"/>
    <col min="9" max="9" width="2.85546875" style="2" customWidth="1"/>
    <col min="10" max="10" width="10" style="2" customWidth="1"/>
    <col min="11" max="11" width="3" style="2" customWidth="1"/>
    <col min="12" max="12" width="3.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2" t="s">
        <v>220</v>
      </c>
      <c r="C3" s="102"/>
      <c r="D3" s="102"/>
      <c r="E3" s="102"/>
      <c r="F3" s="102"/>
      <c r="G3" s="102"/>
      <c r="H3" s="102"/>
      <c r="I3" s="102"/>
      <c r="J3" s="102"/>
      <c r="K3" s="102"/>
      <c r="L3" s="1"/>
    </row>
    <row r="4" spans="1:12" ht="15" customHeight="1" x14ac:dyDescent="0.25">
      <c r="A4" s="1"/>
      <c r="B4" s="102"/>
      <c r="C4" s="102"/>
      <c r="D4" s="102"/>
      <c r="E4" s="102"/>
      <c r="F4" s="102"/>
      <c r="G4" s="102"/>
      <c r="H4" s="102"/>
      <c r="I4" s="102"/>
      <c r="J4" s="102"/>
      <c r="K4" s="102"/>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25" t="s">
        <v>192</v>
      </c>
      <c r="C8" s="126"/>
      <c r="D8" s="126"/>
      <c r="E8" s="126"/>
      <c r="F8" s="126"/>
      <c r="G8" s="126"/>
      <c r="H8" s="126"/>
      <c r="I8" s="126"/>
      <c r="J8" s="126"/>
      <c r="K8" s="127"/>
      <c r="L8" s="1"/>
    </row>
    <row r="9" spans="1:12" ht="39.75" customHeight="1" x14ac:dyDescent="0.25">
      <c r="A9" s="1"/>
      <c r="B9" s="18" t="s">
        <v>0</v>
      </c>
      <c r="C9" s="18" t="s">
        <v>1</v>
      </c>
      <c r="D9" s="152" t="s">
        <v>213</v>
      </c>
      <c r="E9" s="153"/>
      <c r="F9" s="152" t="s">
        <v>2</v>
      </c>
      <c r="G9" s="153"/>
      <c r="H9" s="152" t="s">
        <v>214</v>
      </c>
      <c r="I9" s="153"/>
      <c r="J9" s="152" t="s">
        <v>28</v>
      </c>
      <c r="K9" s="153"/>
      <c r="L9" s="1"/>
    </row>
    <row r="10" spans="1:12" x14ac:dyDescent="0.25">
      <c r="A10" s="1"/>
      <c r="B10" s="83" t="s">
        <v>238</v>
      </c>
      <c r="C10" s="29">
        <v>0</v>
      </c>
      <c r="D10" s="9">
        <v>0</v>
      </c>
      <c r="E10" s="14" t="s">
        <v>3</v>
      </c>
      <c r="F10" s="39">
        <f>IFERROR(D10/C10,0)</f>
        <v>0</v>
      </c>
      <c r="G10" s="14" t="s">
        <v>3</v>
      </c>
      <c r="H10" s="9">
        <v>0</v>
      </c>
      <c r="I10" s="14" t="s">
        <v>3</v>
      </c>
      <c r="J10" s="9">
        <v>0</v>
      </c>
      <c r="K10" s="14" t="s">
        <v>3</v>
      </c>
      <c r="L10" s="1"/>
    </row>
    <row r="11" spans="1:12" x14ac:dyDescent="0.25">
      <c r="A11" s="1"/>
      <c r="B11" s="69" t="s">
        <v>193</v>
      </c>
      <c r="C11" s="70"/>
      <c r="D11" s="19"/>
      <c r="E11" s="75"/>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x14ac:dyDescent="0.25">
      <c r="A47" s="1"/>
      <c r="L47" s="1"/>
    </row>
    <row r="48" spans="1:12" x14ac:dyDescent="0.25">
      <c r="A48" s="1"/>
      <c r="L48" s="1"/>
    </row>
    <row r="49" spans="1:12" x14ac:dyDescent="0.25">
      <c r="A49" s="1"/>
      <c r="L49" s="1"/>
    </row>
    <row r="50" spans="1:12" x14ac:dyDescent="0.25">
      <c r="A50" s="1"/>
      <c r="L50" s="1"/>
    </row>
    <row r="51" spans="1:12" x14ac:dyDescent="0.25">
      <c r="A51" s="1"/>
      <c r="L51" s="1"/>
    </row>
    <row r="52" spans="1:12" x14ac:dyDescent="0.25">
      <c r="A52" s="1"/>
      <c r="L52" s="1"/>
    </row>
  </sheetData>
  <sheetProtection algorithmName="SHA-512" hashValue="h11+UmB7+GrgXtC2ZlHTIdK5F6q42MAlRCgdCkoJOTpJe27iqWvWOZ6Xfmz34COPzdXB8IrFUjkt0qsZq411ig==" saltValue="ianaBINvAJGJMgvMF+8e6A=="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G50"/>
  <sheetViews>
    <sheetView showGridLines="0" view="pageLayout" zoomScaleNormal="100" workbookViewId="0"/>
  </sheetViews>
  <sheetFormatPr defaultColWidth="9.140625" defaultRowHeight="15" x14ac:dyDescent="0.25"/>
  <cols>
    <col min="1" max="1" width="5.140625" style="2" customWidth="1"/>
    <col min="2" max="2" width="34.28515625" style="2" customWidth="1"/>
    <col min="3" max="3" width="17.140625" style="2" customWidth="1"/>
    <col min="4" max="4" width="3.140625" style="2" customWidth="1"/>
    <col min="5" max="5" width="17.140625" style="2" customWidth="1"/>
    <col min="6" max="6" width="3.140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2" t="s">
        <v>221</v>
      </c>
      <c r="C3" s="102"/>
      <c r="D3" s="102"/>
      <c r="E3" s="102"/>
      <c r="F3" s="102"/>
      <c r="G3" s="1"/>
    </row>
    <row r="4" spans="1:7" ht="15" customHeight="1" x14ac:dyDescent="0.25">
      <c r="A4" s="1"/>
      <c r="B4" s="102"/>
      <c r="C4" s="102"/>
      <c r="D4" s="102"/>
      <c r="E4" s="102"/>
      <c r="F4" s="10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69" t="s">
        <v>75</v>
      </c>
      <c r="C8" s="70"/>
      <c r="D8" s="70"/>
      <c r="E8" s="70"/>
      <c r="F8" s="19"/>
      <c r="G8" s="1"/>
    </row>
    <row r="9" spans="1:7" ht="17.25" customHeight="1" x14ac:dyDescent="0.25">
      <c r="A9" s="1"/>
      <c r="B9" s="67" t="s">
        <v>15</v>
      </c>
      <c r="C9" s="67" t="s">
        <v>10</v>
      </c>
      <c r="D9" s="68"/>
      <c r="E9" s="67" t="s">
        <v>29</v>
      </c>
      <c r="F9" s="72"/>
      <c r="G9" s="1"/>
    </row>
    <row r="10" spans="1:7" x14ac:dyDescent="0.25">
      <c r="A10" s="1"/>
      <c r="B10" s="22" t="s">
        <v>203</v>
      </c>
      <c r="C10" s="21">
        <f>'Fane 9. Anlægsprojekter (§ 19) '!H11</f>
        <v>0</v>
      </c>
      <c r="D10" s="14" t="s">
        <v>3</v>
      </c>
      <c r="E10" s="9">
        <f>'Fane 9. Anlægsprojekter (§ 19) '!F11+'Fane 9. Anlægsprojekter (§ 19) '!J11</f>
        <v>0</v>
      </c>
      <c r="F10" s="14" t="s">
        <v>3</v>
      </c>
      <c r="G10" s="1"/>
    </row>
    <row r="11" spans="1:7" x14ac:dyDescent="0.25">
      <c r="A11" s="1"/>
      <c r="B11" s="26" t="s">
        <v>249</v>
      </c>
      <c r="C11" s="21">
        <v>649687</v>
      </c>
      <c r="D11" s="14" t="s">
        <v>3</v>
      </c>
      <c r="E11" s="9">
        <v>0</v>
      </c>
      <c r="F11" s="14" t="s">
        <v>3</v>
      </c>
      <c r="G11" s="1"/>
    </row>
    <row r="12" spans="1:7" x14ac:dyDescent="0.25">
      <c r="A12" s="1"/>
      <c r="B12" s="26" t="s">
        <v>250</v>
      </c>
      <c r="C12" s="21">
        <v>196266</v>
      </c>
      <c r="D12" s="14" t="s">
        <v>3</v>
      </c>
      <c r="E12" s="9">
        <v>57685</v>
      </c>
      <c r="F12" s="14" t="s">
        <v>3</v>
      </c>
      <c r="G12" s="1"/>
    </row>
    <row r="13" spans="1:7" x14ac:dyDescent="0.25">
      <c r="A13" s="1"/>
      <c r="B13" s="69" t="s">
        <v>148</v>
      </c>
      <c r="C13" s="12">
        <f>SUM(C10:C12)</f>
        <v>845953</v>
      </c>
      <c r="D13" s="13" t="s">
        <v>3</v>
      </c>
      <c r="E13" s="12">
        <f>SUM(E10:E12)</f>
        <v>57685</v>
      </c>
      <c r="F13" s="13" t="s">
        <v>3</v>
      </c>
      <c r="G13" s="1"/>
    </row>
    <row r="14" spans="1:7" x14ac:dyDescent="0.25">
      <c r="A14" s="1"/>
      <c r="B14" s="69" t="s">
        <v>188</v>
      </c>
      <c r="C14" s="12">
        <f>C13*(1+'Fane 13. Nøgletal'!C15)</f>
        <v>876068.92680000002</v>
      </c>
      <c r="D14" s="13" t="s">
        <v>3</v>
      </c>
      <c r="E14" s="12">
        <f>E13*(1+'Fane 13. Nøgletal'!C15)</f>
        <v>59738.586000000003</v>
      </c>
      <c r="F14" s="13" t="s">
        <v>3</v>
      </c>
      <c r="G14" s="1"/>
    </row>
    <row r="15" spans="1:7" x14ac:dyDescent="0.25">
      <c r="A15" s="1"/>
      <c r="B15" s="1"/>
      <c r="C15" s="1" t="s">
        <v>210</v>
      </c>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L5uXRhyviXziVnPbhvFxuVL/AZHwHw+d4JKeYjV1mxPXS+4E0fogj/cwj/upY9OLdQhRFzwFrlwdfgowXwxB3w==" saltValue="+jbb9Kr7Xf8d6Fr7idzH4g=="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7"/>
  <dimension ref="A1:G37"/>
  <sheetViews>
    <sheetView showGridLines="0" view="pageLayout" zoomScaleNormal="100" workbookViewId="0"/>
  </sheetViews>
  <sheetFormatPr defaultColWidth="9.140625" defaultRowHeight="15" x14ac:dyDescent="0.25"/>
  <cols>
    <col min="1" max="1" width="5.140625" style="2" customWidth="1"/>
    <col min="2" max="2" width="34.28515625" style="2" customWidth="1"/>
    <col min="3" max="3" width="17.140625" style="2" customWidth="1"/>
    <col min="4" max="4" width="3.140625" style="2" customWidth="1"/>
    <col min="5" max="5" width="17.140625" style="2" customWidth="1"/>
    <col min="6" max="6" width="3.140625" style="2" customWidth="1"/>
    <col min="7" max="7" width="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2" t="s">
        <v>222</v>
      </c>
      <c r="C3" s="102"/>
      <c r="D3" s="102"/>
      <c r="E3" s="102"/>
      <c r="F3" s="102"/>
      <c r="G3" s="1"/>
    </row>
    <row r="4" spans="1:7" ht="15" customHeight="1" x14ac:dyDescent="0.25">
      <c r="A4" s="1"/>
      <c r="B4" s="102"/>
      <c r="C4" s="102"/>
      <c r="D4" s="102"/>
      <c r="E4" s="102"/>
      <c r="F4" s="10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x14ac:dyDescent="0.25">
      <c r="A9" s="1"/>
      <c r="B9" s="125" t="s">
        <v>88</v>
      </c>
      <c r="C9" s="126"/>
      <c r="D9" s="126"/>
      <c r="E9" s="126"/>
      <c r="F9" s="127"/>
      <c r="G9" s="1"/>
    </row>
    <row r="10" spans="1:7" ht="26.25" x14ac:dyDescent="0.25">
      <c r="A10" s="1"/>
      <c r="B10" s="67" t="s">
        <v>15</v>
      </c>
      <c r="C10" s="67" t="s">
        <v>10</v>
      </c>
      <c r="D10" s="68"/>
      <c r="E10" s="67" t="s">
        <v>29</v>
      </c>
      <c r="F10" s="72"/>
      <c r="G10" s="1"/>
    </row>
    <row r="11" spans="1:7" x14ac:dyDescent="0.25">
      <c r="A11" s="1"/>
      <c r="B11" s="22" t="s">
        <v>253</v>
      </c>
      <c r="C11" s="21">
        <v>0</v>
      </c>
      <c r="D11" s="14" t="s">
        <v>3</v>
      </c>
      <c r="E11" s="9">
        <v>0</v>
      </c>
      <c r="F11" s="14" t="s">
        <v>3</v>
      </c>
      <c r="G11" s="1"/>
    </row>
    <row r="12" spans="1:7" x14ac:dyDescent="0.25">
      <c r="A12" s="1"/>
      <c r="B12" s="69" t="s">
        <v>195</v>
      </c>
      <c r="C12" s="12">
        <f>SUM(C11:C11)</f>
        <v>0</v>
      </c>
      <c r="D12" s="13" t="s">
        <v>3</v>
      </c>
      <c r="E12" s="12">
        <f>SUM(E11:E11)</f>
        <v>0</v>
      </c>
      <c r="F12" s="13" t="s">
        <v>3</v>
      </c>
      <c r="G12" s="1"/>
    </row>
    <row r="13" spans="1:7" x14ac:dyDescent="0.25">
      <c r="A13" s="1"/>
      <c r="B13" s="69" t="s">
        <v>119</v>
      </c>
      <c r="C13" s="12">
        <f>C12*(1+'Fane 13. Nøgletal'!$C$15)^2</f>
        <v>0</v>
      </c>
      <c r="D13" s="13" t="s">
        <v>3</v>
      </c>
      <c r="E13" s="12">
        <f>E12*(1+'Fane 13. Nøgletal'!$C$15)^2</f>
        <v>0</v>
      </c>
      <c r="F13" s="13" t="s">
        <v>3</v>
      </c>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ht="18" customHeight="1"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sheetData>
  <sheetProtection algorithmName="SHA-512" hashValue="zqU3Yo6rYGf6yjYIkbCkubnfaofnk3HfDu1aLSfKCdYtUFeBAs8cUBrkUln3KK5j9ELZCawliZsva+OobqhW0w==" saltValue="4dKzmDCK7KurtIIQko+02g==" spinCount="100000" sheet="1" objects="1" scenarios="1"/>
  <mergeCells count="2">
    <mergeCell ref="B3:F4"/>
    <mergeCell ref="B9:F9"/>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8"/>
  <dimension ref="A1:G45"/>
  <sheetViews>
    <sheetView showGridLines="0" view="pageLayout" zoomScaleNormal="100" workbookViewId="0"/>
  </sheetViews>
  <sheetFormatPr defaultColWidth="9.140625" defaultRowHeight="15" x14ac:dyDescent="0.25"/>
  <cols>
    <col min="1" max="1" width="5.28515625" style="2" customWidth="1"/>
    <col min="2" max="2" width="41.140625" style="2" bestFit="1" customWidth="1"/>
    <col min="3" max="3" width="13.85546875" style="2" customWidth="1"/>
    <col min="4" max="4" width="3.140625" style="2" customWidth="1"/>
    <col min="5" max="5" width="13.85546875" style="2" customWidth="1"/>
    <col min="6" max="6" width="3.140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0" t="s">
        <v>223</v>
      </c>
      <c r="C3" s="110"/>
      <c r="D3" s="110"/>
      <c r="E3" s="110"/>
      <c r="F3" s="110"/>
      <c r="G3" s="1"/>
    </row>
    <row r="4" spans="1:7" ht="25.5" customHeight="1" x14ac:dyDescent="0.25">
      <c r="A4" s="1"/>
      <c r="B4" s="110"/>
      <c r="C4" s="110"/>
      <c r="D4" s="110"/>
      <c r="E4" s="110"/>
      <c r="F4" s="11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25" t="s">
        <v>112</v>
      </c>
      <c r="C8" s="126"/>
      <c r="D8" s="126"/>
      <c r="E8" s="126"/>
      <c r="F8" s="127"/>
      <c r="G8" s="1"/>
    </row>
    <row r="9" spans="1:7" ht="15" customHeight="1" x14ac:dyDescent="0.25">
      <c r="A9" s="1"/>
      <c r="B9" s="71" t="s">
        <v>113</v>
      </c>
      <c r="C9" s="120" t="s">
        <v>10</v>
      </c>
      <c r="D9" s="122"/>
      <c r="E9" s="120" t="s">
        <v>29</v>
      </c>
      <c r="F9" s="122"/>
      <c r="G9" s="1"/>
    </row>
    <row r="10" spans="1:7" x14ac:dyDescent="0.25">
      <c r="A10" s="1"/>
      <c r="B10" s="22" t="s">
        <v>247</v>
      </c>
      <c r="C10" s="9">
        <v>0</v>
      </c>
      <c r="D10" s="14" t="s">
        <v>3</v>
      </c>
      <c r="E10" s="9">
        <v>0</v>
      </c>
      <c r="F10" s="14" t="s">
        <v>3</v>
      </c>
      <c r="G10" s="1"/>
    </row>
    <row r="11" spans="1:7" ht="28.5" customHeight="1" x14ac:dyDescent="0.25">
      <c r="A11" s="1"/>
      <c r="B11" s="20" t="s">
        <v>149</v>
      </c>
      <c r="C11" s="12">
        <f>SUM(C10:C10)</f>
        <v>0</v>
      </c>
      <c r="D11" s="13" t="s">
        <v>3</v>
      </c>
      <c r="E11" s="12">
        <f>SUM(E10:E10)</f>
        <v>0</v>
      </c>
      <c r="F11" s="13" t="s">
        <v>3</v>
      </c>
      <c r="G11" s="1"/>
    </row>
    <row r="12" spans="1:7" ht="27" customHeight="1" x14ac:dyDescent="0.25">
      <c r="A12" s="1"/>
      <c r="B12" s="20" t="s">
        <v>189</v>
      </c>
      <c r="C12" s="12">
        <f>C11*(1+'Fane 13. Nøgletal'!C15)</f>
        <v>0</v>
      </c>
      <c r="D12" s="13" t="s">
        <v>3</v>
      </c>
      <c r="E12" s="12">
        <f>E11*(1+'Fane 13. Nøgletal'!C15)</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sheetData>
  <sheetProtection algorithmName="SHA-512" hashValue="09C9mmH1+LQw52i8g6tmk7KF9TH6ryd7a/dblQpp6upmBKnS5D6tezWfylROm8wnsFwL6vwIUZoJPz2fGZELLg==" saltValue="U8NmD4MC0SS3HY+MXOxvrA==" spinCount="100000" sheet="1" objects="1" scenarios="1"/>
  <mergeCells count="4">
    <mergeCell ref="B3:F4"/>
    <mergeCell ref="B8:F8"/>
    <mergeCell ref="C9:D9"/>
    <mergeCell ref="E9:F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dimension ref="A1:G41"/>
  <sheetViews>
    <sheetView showGridLines="0" view="pageLayout" zoomScaleNormal="100" workbookViewId="0"/>
  </sheetViews>
  <sheetFormatPr defaultColWidth="9.140625" defaultRowHeight="15" x14ac:dyDescent="0.25"/>
  <cols>
    <col min="1" max="1" width="5.140625" style="2" customWidth="1"/>
    <col min="2" max="2" width="36.140625" style="2" customWidth="1"/>
    <col min="3" max="3" width="17.140625" style="2" customWidth="1"/>
    <col min="4" max="4" width="3.140625" style="2" customWidth="1"/>
    <col min="5" max="5" width="17.140625" style="2" customWidth="1"/>
    <col min="6" max="6" width="3.140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0" t="s">
        <v>224</v>
      </c>
      <c r="C3" s="110"/>
      <c r="D3" s="110"/>
      <c r="E3" s="110"/>
      <c r="F3" s="110"/>
      <c r="G3" s="1"/>
    </row>
    <row r="4" spans="1:7" ht="25.5" customHeight="1" x14ac:dyDescent="0.25">
      <c r="A4" s="1"/>
      <c r="B4" s="110"/>
      <c r="C4" s="110"/>
      <c r="D4" s="110"/>
      <c r="E4" s="110"/>
      <c r="F4" s="11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
      <c r="C9" s="1"/>
      <c r="D9" s="1"/>
      <c r="E9" s="1"/>
      <c r="F9" s="1"/>
      <c r="G9" s="1"/>
    </row>
    <row r="10" spans="1:7" x14ac:dyDescent="0.25">
      <c r="A10" s="1"/>
      <c r="B10" s="125" t="s">
        <v>85</v>
      </c>
      <c r="C10" s="126"/>
      <c r="D10" s="126"/>
      <c r="E10" s="126"/>
      <c r="F10" s="127"/>
      <c r="G10" s="1"/>
    </row>
    <row r="11" spans="1:7" ht="26.25" x14ac:dyDescent="0.25">
      <c r="A11" s="1"/>
      <c r="B11" s="71" t="s">
        <v>16</v>
      </c>
      <c r="C11" s="71" t="s">
        <v>10</v>
      </c>
      <c r="D11" s="72"/>
      <c r="E11" s="71" t="s">
        <v>29</v>
      </c>
      <c r="F11" s="72"/>
      <c r="G11" s="1"/>
    </row>
    <row r="12" spans="1:7" x14ac:dyDescent="0.25">
      <c r="A12" s="1"/>
      <c r="B12" s="22" t="s">
        <v>248</v>
      </c>
      <c r="C12" s="9">
        <v>0</v>
      </c>
      <c r="D12" s="14" t="s">
        <v>3</v>
      </c>
      <c r="E12" s="9">
        <v>0</v>
      </c>
      <c r="F12" s="14" t="s">
        <v>3</v>
      </c>
      <c r="G12" s="1"/>
    </row>
    <row r="13" spans="1:7" x14ac:dyDescent="0.25">
      <c r="A13" s="1"/>
      <c r="B13" s="69" t="s">
        <v>196</v>
      </c>
      <c r="C13" s="12">
        <f>SUM(C12:C12)</f>
        <v>0</v>
      </c>
      <c r="D13" s="13" t="s">
        <v>3</v>
      </c>
      <c r="E13" s="12">
        <f>SUM(E12:E12)</f>
        <v>0</v>
      </c>
      <c r="F13" s="13" t="s">
        <v>3</v>
      </c>
      <c r="G13" s="1"/>
    </row>
    <row r="14" spans="1:7" x14ac:dyDescent="0.25">
      <c r="A14" s="1"/>
      <c r="B14" s="69" t="s">
        <v>83</v>
      </c>
      <c r="C14" s="12">
        <f>C13*(1+'Fane 13. Nøgletal'!C15)</f>
        <v>0</v>
      </c>
      <c r="D14" s="13" t="s">
        <v>3</v>
      </c>
      <c r="E14" s="12">
        <f>E13*(1+'Fane 13. Nøgletal'!C15)</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sheetData>
  <sheetProtection algorithmName="SHA-512" hashValue="THUJjpLGe5bQoOYtCLoYJRkoQvdQj0KJ7rOdxeA3yZmFurF95F2MvY5CZ1W/MkoOplZJgEtX0u+0Vr7Vys8GfQ==" saltValue="zvKpP8XIIV8b9e9C0NSH2Q==" spinCount="100000" sheet="1" objects="1" scenarios="1"/>
  <mergeCells count="2">
    <mergeCell ref="B3:F4"/>
    <mergeCell ref="B10:F1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1:D53"/>
  <sheetViews>
    <sheetView showGridLines="0" view="pageLayout" zoomScaleNormal="100" workbookViewId="0"/>
  </sheetViews>
  <sheetFormatPr defaultColWidth="9.140625" defaultRowHeight="15" x14ac:dyDescent="0.25"/>
  <cols>
    <col min="1" max="1" width="9" style="2" customWidth="1"/>
    <col min="2" max="2" width="56.140625" style="2" customWidth="1"/>
    <col min="3" max="3" width="6.85546875" style="49" customWidth="1"/>
    <col min="4" max="4" width="9" style="2" customWidth="1"/>
    <col min="5" max="16384" width="9.140625" style="2"/>
  </cols>
  <sheetData>
    <row r="1" spans="1:4" x14ac:dyDescent="0.25">
      <c r="A1" s="1"/>
      <c r="B1" s="1"/>
      <c r="C1" s="44"/>
      <c r="D1" s="1"/>
    </row>
    <row r="2" spans="1:4" x14ac:dyDescent="0.25">
      <c r="A2" s="1"/>
      <c r="B2" s="1"/>
      <c r="C2" s="44"/>
      <c r="D2" s="1"/>
    </row>
    <row r="3" spans="1:4" ht="15" customHeight="1" x14ac:dyDescent="0.25">
      <c r="A3" s="1"/>
      <c r="B3" s="110" t="s">
        <v>225</v>
      </c>
      <c r="C3" s="110"/>
      <c r="D3" s="1"/>
    </row>
    <row r="4" spans="1:4" ht="25.5" customHeight="1" x14ac:dyDescent="0.25">
      <c r="A4" s="1"/>
      <c r="B4" s="110"/>
      <c r="C4" s="110"/>
      <c r="D4" s="1"/>
    </row>
    <row r="5" spans="1:4" x14ac:dyDescent="0.25">
      <c r="A5" s="1"/>
      <c r="B5" s="1"/>
      <c r="C5" s="44"/>
      <c r="D5" s="1"/>
    </row>
    <row r="6" spans="1:4" x14ac:dyDescent="0.25">
      <c r="A6" s="1"/>
      <c r="B6" s="1"/>
      <c r="C6" s="44"/>
      <c r="D6" s="1"/>
    </row>
    <row r="7" spans="1:4" x14ac:dyDescent="0.25">
      <c r="A7" s="1"/>
      <c r="B7" s="1"/>
      <c r="C7" s="44"/>
      <c r="D7" s="1"/>
    </row>
    <row r="8" spans="1:4" x14ac:dyDescent="0.25">
      <c r="A8" s="1"/>
      <c r="B8" s="69" t="s">
        <v>13</v>
      </c>
      <c r="C8" s="45"/>
      <c r="D8" s="1"/>
    </row>
    <row r="9" spans="1:4" x14ac:dyDescent="0.25">
      <c r="A9" s="1"/>
      <c r="B9" s="81" t="s">
        <v>101</v>
      </c>
      <c r="C9" s="46">
        <v>1.2699999999999999E-2</v>
      </c>
      <c r="D9" s="1"/>
    </row>
    <row r="10" spans="1:4" x14ac:dyDescent="0.25">
      <c r="A10" s="1"/>
      <c r="B10" s="81" t="s">
        <v>21</v>
      </c>
      <c r="C10" s="46">
        <v>1.7500000000000002E-2</v>
      </c>
      <c r="D10" s="1"/>
    </row>
    <row r="11" spans="1:4" x14ac:dyDescent="0.25">
      <c r="A11" s="1"/>
      <c r="B11" s="81" t="s">
        <v>102</v>
      </c>
      <c r="C11" s="46">
        <v>1.6899999999999998E-2</v>
      </c>
      <c r="D11" s="1"/>
    </row>
    <row r="12" spans="1:4" x14ac:dyDescent="0.25">
      <c r="A12" s="1"/>
      <c r="B12" s="24" t="s">
        <v>37</v>
      </c>
      <c r="C12" s="47">
        <v>1.9699999999999999E-2</v>
      </c>
      <c r="D12" s="1"/>
    </row>
    <row r="13" spans="1:4" x14ac:dyDescent="0.25">
      <c r="A13" s="1"/>
      <c r="B13" s="24" t="s">
        <v>118</v>
      </c>
      <c r="C13" s="47">
        <v>1.2200000000000001E-2</v>
      </c>
      <c r="D13" s="1"/>
    </row>
    <row r="14" spans="1:4" x14ac:dyDescent="0.25">
      <c r="A14" s="1"/>
      <c r="B14" s="24" t="s">
        <v>150</v>
      </c>
      <c r="C14" s="48">
        <v>3.3E-3</v>
      </c>
      <c r="D14" s="1"/>
    </row>
    <row r="15" spans="1:4" x14ac:dyDescent="0.25">
      <c r="A15" s="1"/>
      <c r="B15" s="24" t="s">
        <v>190</v>
      </c>
      <c r="C15" s="48">
        <v>3.56E-2</v>
      </c>
      <c r="D15" s="1"/>
    </row>
    <row r="16" spans="1:4" x14ac:dyDescent="0.25">
      <c r="A16" s="1"/>
      <c r="B16" s="125"/>
      <c r="C16" s="127"/>
      <c r="D16" s="1"/>
    </row>
    <row r="17" spans="1:4" x14ac:dyDescent="0.25">
      <c r="A17" s="1"/>
      <c r="B17" s="1"/>
      <c r="C17" s="44"/>
      <c r="D17" s="1"/>
    </row>
    <row r="18" spans="1:4" x14ac:dyDescent="0.25">
      <c r="A18" s="1"/>
      <c r="B18" s="1"/>
      <c r="C18" s="44"/>
      <c r="D18" s="1"/>
    </row>
    <row r="19" spans="1:4" x14ac:dyDescent="0.25">
      <c r="A19" s="1"/>
      <c r="B19" s="69" t="s">
        <v>89</v>
      </c>
      <c r="C19" s="45"/>
      <c r="D19" s="1"/>
    </row>
    <row r="20" spans="1:4" x14ac:dyDescent="0.25">
      <c r="A20" s="1"/>
      <c r="B20" s="81" t="s">
        <v>103</v>
      </c>
      <c r="C20" s="48">
        <v>9.1000000000000004E-3</v>
      </c>
      <c r="D20" s="1"/>
    </row>
    <row r="21" spans="1:4" x14ac:dyDescent="0.25">
      <c r="A21" s="1"/>
      <c r="B21" s="81" t="s">
        <v>104</v>
      </c>
      <c r="C21" s="48">
        <v>1.77E-2</v>
      </c>
      <c r="D21" s="1"/>
    </row>
    <row r="22" spans="1:4" x14ac:dyDescent="0.25">
      <c r="A22" s="1"/>
      <c r="B22" s="81" t="s">
        <v>105</v>
      </c>
      <c r="C22" s="48">
        <v>8.6999999999999994E-3</v>
      </c>
      <c r="D22" s="1"/>
    </row>
    <row r="23" spans="1:4" x14ac:dyDescent="0.25">
      <c r="A23" s="1"/>
      <c r="B23" s="81" t="s">
        <v>106</v>
      </c>
      <c r="C23" s="48">
        <v>2.8399999999999998E-2</v>
      </c>
      <c r="D23" s="1"/>
    </row>
    <row r="24" spans="1:4" x14ac:dyDescent="0.25">
      <c r="A24" s="1"/>
      <c r="B24" s="81" t="s">
        <v>120</v>
      </c>
      <c r="C24" s="48">
        <v>2.75E-2</v>
      </c>
      <c r="D24" s="1"/>
    </row>
    <row r="25" spans="1:4" x14ac:dyDescent="0.25">
      <c r="A25" s="1"/>
      <c r="B25" s="81" t="s">
        <v>151</v>
      </c>
      <c r="C25" s="48">
        <v>1.4800000000000001E-2</v>
      </c>
      <c r="D25" s="1"/>
    </row>
    <row r="26" spans="1:4" x14ac:dyDescent="0.25">
      <c r="A26" s="1"/>
      <c r="B26" s="24" t="s">
        <v>191</v>
      </c>
      <c r="C26" s="48">
        <v>0</v>
      </c>
      <c r="D26" s="1"/>
    </row>
    <row r="27" spans="1:4" x14ac:dyDescent="0.25">
      <c r="A27" s="1"/>
      <c r="B27" s="69"/>
      <c r="C27" s="45"/>
      <c r="D27" s="1"/>
    </row>
    <row r="28" spans="1:4" x14ac:dyDescent="0.25">
      <c r="A28" s="1"/>
      <c r="B28" s="1"/>
      <c r="C28" s="44"/>
      <c r="D28" s="1"/>
    </row>
    <row r="29" spans="1:4" x14ac:dyDescent="0.25">
      <c r="A29" s="1"/>
      <c r="B29" s="1"/>
      <c r="C29" s="44"/>
      <c r="D29" s="1"/>
    </row>
    <row r="30" spans="1:4" x14ac:dyDescent="0.25">
      <c r="A30" s="1"/>
      <c r="B30" s="69" t="s">
        <v>90</v>
      </c>
      <c r="C30" s="45"/>
      <c r="D30" s="1"/>
    </row>
    <row r="31" spans="1:4" x14ac:dyDescent="0.25">
      <c r="A31" s="1"/>
      <c r="B31" s="81" t="s">
        <v>107</v>
      </c>
      <c r="C31" s="46">
        <v>0.02</v>
      </c>
      <c r="D31" s="1"/>
    </row>
    <row r="32" spans="1:4" x14ac:dyDescent="0.25">
      <c r="A32" s="1"/>
      <c r="B32" s="69"/>
      <c r="C32" s="45"/>
      <c r="D32" s="1"/>
    </row>
    <row r="33" spans="1:4" x14ac:dyDescent="0.25">
      <c r="A33" s="1"/>
      <c r="B33" s="1"/>
      <c r="C33" s="44"/>
      <c r="D33" s="1"/>
    </row>
    <row r="34" spans="1:4" x14ac:dyDescent="0.25">
      <c r="A34" s="1"/>
      <c r="B34" s="1"/>
      <c r="C34" s="44"/>
      <c r="D34" s="1"/>
    </row>
    <row r="35" spans="1:4" x14ac:dyDescent="0.25">
      <c r="A35" s="1"/>
      <c r="B35" s="1"/>
      <c r="C35" s="44"/>
      <c r="D35" s="1"/>
    </row>
    <row r="36" spans="1:4" x14ac:dyDescent="0.25">
      <c r="A36" s="1"/>
      <c r="B36" s="1"/>
      <c r="C36" s="44"/>
      <c r="D36" s="1"/>
    </row>
    <row r="37" spans="1:4" x14ac:dyDescent="0.25">
      <c r="A37" s="1"/>
      <c r="B37" s="1"/>
      <c r="C37" s="44"/>
      <c r="D37" s="1"/>
    </row>
    <row r="38" spans="1:4" x14ac:dyDescent="0.25">
      <c r="A38" s="1"/>
      <c r="B38" s="1"/>
      <c r="C38" s="44"/>
      <c r="D38" s="1"/>
    </row>
    <row r="39" spans="1:4" x14ac:dyDescent="0.25">
      <c r="A39" s="1"/>
      <c r="B39" s="1"/>
      <c r="C39" s="44"/>
      <c r="D39" s="1"/>
    </row>
    <row r="40" spans="1:4" x14ac:dyDescent="0.25">
      <c r="A40" s="1"/>
      <c r="B40" s="1"/>
      <c r="C40" s="44"/>
      <c r="D40" s="1"/>
    </row>
    <row r="41" spans="1:4" x14ac:dyDescent="0.25">
      <c r="A41" s="1"/>
      <c r="B41" s="1"/>
      <c r="C41" s="44"/>
      <c r="D41" s="1"/>
    </row>
    <row r="42" spans="1:4" x14ac:dyDescent="0.25">
      <c r="A42" s="1"/>
      <c r="B42" s="1"/>
      <c r="C42" s="44"/>
      <c r="D42" s="1"/>
    </row>
    <row r="43" spans="1:4" x14ac:dyDescent="0.25">
      <c r="A43" s="1"/>
      <c r="B43" s="1"/>
      <c r="C43" s="44"/>
      <c r="D43" s="1"/>
    </row>
    <row r="44" spans="1:4" x14ac:dyDescent="0.25">
      <c r="A44" s="1"/>
      <c r="B44" s="1"/>
      <c r="C44" s="44"/>
      <c r="D44" s="1"/>
    </row>
    <row r="45" spans="1:4" x14ac:dyDescent="0.25">
      <c r="A45" s="1"/>
      <c r="B45" s="1"/>
      <c r="C45" s="44"/>
      <c r="D45" s="1"/>
    </row>
    <row r="46" spans="1:4" x14ac:dyDescent="0.25">
      <c r="A46" s="1"/>
      <c r="B46" s="1"/>
      <c r="C46" s="44"/>
      <c r="D46" s="1"/>
    </row>
    <row r="47" spans="1:4" x14ac:dyDescent="0.25">
      <c r="A47" s="1"/>
      <c r="B47" s="1"/>
      <c r="C47" s="44"/>
      <c r="D47" s="1"/>
    </row>
    <row r="48" spans="1:4" x14ac:dyDescent="0.25">
      <c r="A48" s="1"/>
      <c r="B48" s="1"/>
      <c r="C48" s="44"/>
      <c r="D48" s="1"/>
    </row>
    <row r="49" spans="1:4" x14ac:dyDescent="0.25">
      <c r="A49" s="1"/>
      <c r="B49" s="1"/>
      <c r="C49" s="44"/>
      <c r="D49" s="1"/>
    </row>
    <row r="50" spans="1:4" x14ac:dyDescent="0.25">
      <c r="A50" s="55"/>
      <c r="B50" s="55"/>
      <c r="C50" s="65"/>
      <c r="D50" s="55"/>
    </row>
    <row r="51" spans="1:4" x14ac:dyDescent="0.25">
      <c r="A51" s="55"/>
      <c r="B51" s="55"/>
      <c r="C51" s="65"/>
      <c r="D51" s="55"/>
    </row>
    <row r="52" spans="1:4" x14ac:dyDescent="0.25">
      <c r="A52" s="55"/>
      <c r="B52" s="55"/>
      <c r="C52" s="65"/>
      <c r="D52" s="55"/>
    </row>
    <row r="53" spans="1:4" x14ac:dyDescent="0.25">
      <c r="A53" s="55"/>
      <c r="B53" s="55"/>
      <c r="C53" s="65"/>
      <c r="D53" s="55"/>
    </row>
  </sheetData>
  <sheetProtection algorithmName="SHA-512" hashValue="FYy1tCAxIzPunRZq5Shxe76LSW2dhYj6Gav7ZlPc6Q6h9WCBzbFuPB0VQIojzyHkkkwDAjUX2lWiBNIKkj2bRA==" saltValue="ujuySAmCZhV4NcIgdWGzPg==" spinCount="100000" sheet="1" objects="1" scenarios="1"/>
  <mergeCells count="2">
    <mergeCell ref="B3:C4"/>
    <mergeCell ref="B16:C16"/>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E45"/>
  <sheetViews>
    <sheetView showGridLines="0" view="pageLayout" zoomScaleNormal="100" workbookViewId="0"/>
  </sheetViews>
  <sheetFormatPr defaultColWidth="9.140625" defaultRowHeight="15" x14ac:dyDescent="0.25"/>
  <cols>
    <col min="1" max="1" width="6.7109375" style="2" customWidth="1"/>
    <col min="2" max="2" width="56.85546875" style="2" customWidth="1"/>
    <col min="3" max="3" width="12.85546875" style="2" bestFit="1" customWidth="1"/>
    <col min="4" max="4" width="3" style="2" customWidth="1"/>
    <col min="5" max="5" width="6.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02" t="s">
        <v>165</v>
      </c>
      <c r="C3" s="102"/>
      <c r="D3" s="102"/>
      <c r="E3" s="1"/>
    </row>
    <row r="4" spans="1:5" ht="15" customHeight="1" x14ac:dyDescent="0.25">
      <c r="A4" s="1"/>
      <c r="B4" s="102"/>
      <c r="C4" s="102"/>
      <c r="D4" s="102"/>
      <c r="E4" s="1"/>
    </row>
    <row r="5" spans="1:5" x14ac:dyDescent="0.25">
      <c r="A5" s="1"/>
      <c r="B5" s="1"/>
      <c r="C5" s="1"/>
      <c r="D5" s="1"/>
      <c r="E5" s="1"/>
    </row>
    <row r="6" spans="1:5" x14ac:dyDescent="0.25">
      <c r="A6" s="1"/>
      <c r="B6" s="1"/>
      <c r="C6" s="1"/>
      <c r="D6" s="1"/>
      <c r="E6" s="1"/>
    </row>
    <row r="7" spans="1:5" x14ac:dyDescent="0.25">
      <c r="A7" s="1"/>
      <c r="B7" s="69" t="s">
        <v>12</v>
      </c>
      <c r="C7" s="70"/>
      <c r="D7" s="19"/>
      <c r="E7" s="1"/>
    </row>
    <row r="8" spans="1:5" x14ac:dyDescent="0.25">
      <c r="A8" s="1"/>
      <c r="B8" s="77" t="s">
        <v>116</v>
      </c>
      <c r="C8" s="7">
        <f>'Fane 3. Omkostninger i ØR2022'!E20</f>
        <v>35993720.972686395</v>
      </c>
      <c r="D8" s="8" t="s">
        <v>3</v>
      </c>
      <c r="E8" s="1"/>
    </row>
    <row r="9" spans="1:5" ht="17.100000000000001" customHeight="1" x14ac:dyDescent="0.25">
      <c r="A9" s="1"/>
      <c r="B9" s="23" t="s">
        <v>35</v>
      </c>
      <c r="C9" s="7">
        <f>'Fane 10.1. Varige tillæg'!C14</f>
        <v>876068.92680000002</v>
      </c>
      <c r="D9" s="8" t="s">
        <v>3</v>
      </c>
      <c r="E9" s="1"/>
    </row>
    <row r="10" spans="1:5" ht="17.100000000000001" customHeight="1" x14ac:dyDescent="0.25">
      <c r="A10" s="1"/>
      <c r="B10" s="23" t="s">
        <v>36</v>
      </c>
      <c r="C10" s="9">
        <f>'Fane 10.1. Varige tillæg'!E14</f>
        <v>59738.586000000003</v>
      </c>
      <c r="D10" s="8" t="s">
        <v>3</v>
      </c>
      <c r="E10" s="1"/>
    </row>
    <row r="11" spans="1:5" ht="17.100000000000001" customHeight="1" x14ac:dyDescent="0.25">
      <c r="A11" s="1"/>
      <c r="B11" s="23" t="s">
        <v>26</v>
      </c>
      <c r="C11" s="9">
        <f>-'Fane 12. Bortfald'!C14</f>
        <v>0</v>
      </c>
      <c r="D11" s="8" t="s">
        <v>3</v>
      </c>
      <c r="E11" s="1"/>
    </row>
    <row r="12" spans="1:5" ht="17.100000000000001" customHeight="1" x14ac:dyDescent="0.25">
      <c r="A12" s="1"/>
      <c r="B12" s="23" t="s">
        <v>25</v>
      </c>
      <c r="C12" s="9">
        <f>-'Fane 12. Bortfald'!E14</f>
        <v>0</v>
      </c>
      <c r="D12" s="8" t="s">
        <v>3</v>
      </c>
      <c r="E12" s="1"/>
    </row>
    <row r="13" spans="1:5" ht="17.100000000000001" customHeight="1" x14ac:dyDescent="0.25">
      <c r="A13" s="1"/>
      <c r="B13" s="23" t="s">
        <v>114</v>
      </c>
      <c r="C13" s="9">
        <f>'Fane 11. Tilknyttet virksomhed'!C12</f>
        <v>0</v>
      </c>
      <c r="D13" s="8" t="s">
        <v>3</v>
      </c>
      <c r="E13" s="1"/>
    </row>
    <row r="14" spans="1:5" ht="17.100000000000001" customHeight="1" x14ac:dyDescent="0.25">
      <c r="A14" s="1"/>
      <c r="B14" s="23" t="s">
        <v>115</v>
      </c>
      <c r="C14" s="9">
        <f>'Fane 11. Tilknyttet virksomhed'!E12</f>
        <v>0</v>
      </c>
      <c r="D14" s="8" t="s">
        <v>3</v>
      </c>
      <c r="E14" s="1"/>
    </row>
    <row r="15" spans="1:5" ht="17.100000000000001" customHeight="1" x14ac:dyDescent="0.25">
      <c r="A15" s="1"/>
      <c r="B15" s="23" t="s">
        <v>17</v>
      </c>
      <c r="C15" s="9">
        <f>SUM(C8:C14)*'Fane 13. Nøgletal'!C15</f>
        <v>1314691.2140833156</v>
      </c>
      <c r="D15" s="8" t="s">
        <v>3</v>
      </c>
      <c r="E15" s="1"/>
    </row>
    <row r="16" spans="1:5" ht="17.100000000000001" customHeight="1" x14ac:dyDescent="0.25">
      <c r="A16" s="1"/>
      <c r="B16" s="23" t="s">
        <v>9</v>
      </c>
      <c r="C16" s="9">
        <f>-SUM(C8,C9:C15)*'Fane 5. Individuelt eff. krav'!G9</f>
        <v>-603677.65028646821</v>
      </c>
      <c r="D16" s="8" t="s">
        <v>3</v>
      </c>
      <c r="E16" s="1"/>
    </row>
    <row r="17" spans="1:5" ht="17.100000000000001" customHeight="1" x14ac:dyDescent="0.25">
      <c r="A17" s="1"/>
      <c r="B17" s="23" t="s">
        <v>23</v>
      </c>
      <c r="C17" s="9">
        <f>-'Fane 4.1. Gen. krav - drift'!G43</f>
        <v>-322240.23674517334</v>
      </c>
      <c r="D17" s="8" t="s">
        <v>3</v>
      </c>
      <c r="E17" s="1"/>
    </row>
    <row r="18" spans="1:5" ht="17.100000000000001" customHeight="1" x14ac:dyDescent="0.25">
      <c r="A18" s="1"/>
      <c r="B18" s="23" t="s">
        <v>24</v>
      </c>
      <c r="C18" s="9">
        <f>-'Fane 4.2. Gen. krav - anlæg'!G43</f>
        <v>0</v>
      </c>
      <c r="D18" s="8" t="s">
        <v>3</v>
      </c>
      <c r="E18" s="1"/>
    </row>
    <row r="19" spans="1:5" ht="17.100000000000001" customHeight="1" x14ac:dyDescent="0.25">
      <c r="A19" s="1"/>
      <c r="B19" s="51" t="s">
        <v>19</v>
      </c>
      <c r="C19" s="10">
        <f>SUM(C8,C9:C18)</f>
        <v>37318301.812538072</v>
      </c>
      <c r="D19" s="11" t="s">
        <v>3</v>
      </c>
      <c r="E19" s="1"/>
    </row>
    <row r="20" spans="1:5" ht="15" customHeight="1" x14ac:dyDescent="0.25">
      <c r="A20" s="1"/>
      <c r="B20" s="69" t="s">
        <v>11</v>
      </c>
      <c r="C20" s="70"/>
      <c r="D20" s="19"/>
      <c r="E20" s="1"/>
    </row>
    <row r="21" spans="1:5" ht="15" customHeight="1" x14ac:dyDescent="0.25">
      <c r="A21" s="1"/>
      <c r="B21" s="71" t="s">
        <v>11</v>
      </c>
      <c r="C21" s="10">
        <f>'Fane 6. Ikke-påvirkelige omk.'!C14</f>
        <v>21432564.15828336</v>
      </c>
      <c r="D21" s="11" t="s">
        <v>3</v>
      </c>
      <c r="E21" s="1"/>
    </row>
    <row r="22" spans="1:5" ht="15" customHeight="1" x14ac:dyDescent="0.25">
      <c r="A22" s="1"/>
      <c r="B22" s="69" t="s">
        <v>80</v>
      </c>
      <c r="C22" s="70"/>
      <c r="D22" s="19"/>
      <c r="E22" s="1"/>
    </row>
    <row r="23" spans="1:5" ht="15" customHeight="1" x14ac:dyDescent="0.25">
      <c r="A23" s="1"/>
      <c r="B23" s="23" t="s">
        <v>76</v>
      </c>
      <c r="C23" s="9">
        <f>'Fane 10.2. Engangstillæg'!C13</f>
        <v>0</v>
      </c>
      <c r="D23" s="8" t="s">
        <v>3</v>
      </c>
      <c r="E23" s="1"/>
    </row>
    <row r="24" spans="1:5" ht="15" customHeight="1" x14ac:dyDescent="0.25">
      <c r="A24" s="1"/>
      <c r="B24" s="23" t="s">
        <v>77</v>
      </c>
      <c r="C24" s="9">
        <f>'Fane 10.2. Engangstillæg'!E13</f>
        <v>0</v>
      </c>
      <c r="D24" s="8" t="s">
        <v>3</v>
      </c>
      <c r="E24" s="1"/>
    </row>
    <row r="25" spans="1:5" ht="15" customHeight="1" x14ac:dyDescent="0.25">
      <c r="A25" s="1"/>
      <c r="B25" s="23" t="s">
        <v>206</v>
      </c>
      <c r="C25" s="9">
        <f>-C23*('Fane 13. Nøgletal'!C31+'Fane 5. Individuelt eff. krav'!G9)</f>
        <v>0</v>
      </c>
      <c r="D25" s="8" t="s">
        <v>3</v>
      </c>
      <c r="E25" s="1"/>
    </row>
    <row r="26" spans="1:5" ht="15" customHeight="1" x14ac:dyDescent="0.25">
      <c r="A26" s="1"/>
      <c r="B26" s="23" t="s">
        <v>207</v>
      </c>
      <c r="C26" s="9">
        <f>-C24*('Fane 13. Nøgletal'!C26+'Fane 5. Individuelt eff. krav'!G9)</f>
        <v>0</v>
      </c>
      <c r="D26" s="8" t="s">
        <v>3</v>
      </c>
      <c r="E26" s="1"/>
    </row>
    <row r="27" spans="1:5" x14ac:dyDescent="0.25">
      <c r="A27" s="1"/>
      <c r="B27" s="51" t="s">
        <v>81</v>
      </c>
      <c r="C27" s="50">
        <f>SUM(C23:C26)</f>
        <v>0</v>
      </c>
      <c r="D27" s="11" t="s">
        <v>3</v>
      </c>
      <c r="E27" s="1"/>
    </row>
    <row r="28" spans="1:5" ht="15" customHeight="1" x14ac:dyDescent="0.25">
      <c r="A28" s="1"/>
      <c r="B28" s="25" t="s">
        <v>128</v>
      </c>
      <c r="C28" s="70"/>
      <c r="D28" s="19"/>
      <c r="E28" s="1"/>
    </row>
    <row r="29" spans="1:5" x14ac:dyDescent="0.25">
      <c r="A29" s="1"/>
      <c r="B29" s="82" t="s">
        <v>129</v>
      </c>
      <c r="C29" s="10">
        <f>'Fane 7. Kontrol af ØR2021'!E31</f>
        <v>-246924.96746373177</v>
      </c>
      <c r="D29" s="11" t="s">
        <v>3</v>
      </c>
      <c r="E29" s="1"/>
    </row>
    <row r="30" spans="1:5" x14ac:dyDescent="0.25">
      <c r="A30" s="1"/>
      <c r="B30" s="25" t="s">
        <v>153</v>
      </c>
      <c r="C30" s="70"/>
      <c r="D30" s="19"/>
      <c r="E30" s="1"/>
    </row>
    <row r="31" spans="1:5" x14ac:dyDescent="0.25">
      <c r="A31" s="1"/>
      <c r="B31" s="82" t="s">
        <v>154</v>
      </c>
      <c r="C31" s="10">
        <f>'Fane 8. Skattesagen'!G12</f>
        <v>-870282</v>
      </c>
      <c r="D31" s="11" t="s">
        <v>3</v>
      </c>
      <c r="E31" s="1"/>
    </row>
    <row r="32" spans="1:5" x14ac:dyDescent="0.25">
      <c r="A32" s="1"/>
      <c r="B32" s="69" t="s">
        <v>84</v>
      </c>
      <c r="C32" s="36">
        <f>SUM(C19,C21,C27,C29,C31)</f>
        <v>57633659.003357701</v>
      </c>
      <c r="D32" s="19" t="s">
        <v>3</v>
      </c>
      <c r="E32" s="1"/>
    </row>
    <row r="33" spans="1:5" x14ac:dyDescent="0.25">
      <c r="A33" s="1"/>
      <c r="B33" s="1" t="s">
        <v>210</v>
      </c>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sheetData>
  <sheetProtection algorithmName="SHA-512" hashValue="Q3zD9/CtNPyP1R8xo1MXN68pV9S26MP6Skcb4x7sVHV0uX8eniPtmy8L9A/Gsmixw0Zekr7jCmVKh7+26VUl/A==" saltValue="PinH8fZoNUxgFEDlhU/iVA=="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E40"/>
  <sheetViews>
    <sheetView showGridLines="0" view="pageLayout" zoomScaleNormal="100" workbookViewId="0"/>
  </sheetViews>
  <sheetFormatPr defaultColWidth="9.140625" defaultRowHeight="15" x14ac:dyDescent="0.25"/>
  <cols>
    <col min="1" max="1" width="5.140625" style="2" customWidth="1"/>
    <col min="2" max="2" width="62.28515625" style="2" customWidth="1"/>
    <col min="3" max="3" width="10.140625" style="2" customWidth="1"/>
    <col min="4" max="4" width="3.140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02" t="s">
        <v>166</v>
      </c>
      <c r="C3" s="102"/>
      <c r="D3" s="102"/>
      <c r="E3" s="1"/>
    </row>
    <row r="4" spans="1:5" ht="15" customHeight="1" x14ac:dyDescent="0.25">
      <c r="A4" s="1"/>
      <c r="B4" s="102"/>
      <c r="C4" s="102"/>
      <c r="D4" s="102"/>
      <c r="E4" s="1"/>
    </row>
    <row r="5" spans="1:5" x14ac:dyDescent="0.25">
      <c r="A5" s="1"/>
      <c r="B5" s="103"/>
      <c r="C5" s="103"/>
      <c r="D5" s="103"/>
      <c r="E5" s="1"/>
    </row>
    <row r="6" spans="1:5" x14ac:dyDescent="0.25">
      <c r="A6" s="1"/>
      <c r="B6" s="1"/>
      <c r="C6" s="1"/>
      <c r="D6" s="1"/>
      <c r="E6" s="1"/>
    </row>
    <row r="7" spans="1:5" x14ac:dyDescent="0.25">
      <c r="A7" s="1"/>
      <c r="B7" s="69" t="s">
        <v>12</v>
      </c>
      <c r="C7" s="70"/>
      <c r="D7" s="19"/>
      <c r="E7" s="1"/>
    </row>
    <row r="8" spans="1:5" ht="15" customHeight="1" x14ac:dyDescent="0.25">
      <c r="A8" s="1"/>
      <c r="B8" s="77" t="s">
        <v>117</v>
      </c>
      <c r="C8" s="7">
        <f>'Fane 2.1. Økonomisk ramme 2023'!C19</f>
        <v>37318301.812538072</v>
      </c>
      <c r="D8" s="8" t="s">
        <v>3</v>
      </c>
      <c r="E8" s="1"/>
    </row>
    <row r="9" spans="1:5" ht="15" customHeight="1" x14ac:dyDescent="0.25">
      <c r="A9" s="1"/>
      <c r="B9" s="66" t="s">
        <v>17</v>
      </c>
      <c r="C9" s="9">
        <f>SUM(C8:C8)*'Fane 13. Nøgletal'!C15</f>
        <v>1328531.5445263553</v>
      </c>
      <c r="D9" s="8" t="s">
        <v>3</v>
      </c>
      <c r="E9" s="1"/>
    </row>
    <row r="10" spans="1:5" ht="15" customHeight="1" x14ac:dyDescent="0.25">
      <c r="A10" s="1"/>
      <c r="B10" s="66" t="s">
        <v>9</v>
      </c>
      <c r="C10" s="9">
        <f>-SUM(C8:C9)*'Fane 5. Individuelt eff. krav'!G9</f>
        <v>-610032.82941259339</v>
      </c>
      <c r="D10" s="8" t="s">
        <v>3</v>
      </c>
      <c r="E10" s="1"/>
    </row>
    <row r="11" spans="1:5" ht="15" customHeight="1" x14ac:dyDescent="0.25">
      <c r="A11" s="1"/>
      <c r="B11" s="66" t="s">
        <v>23</v>
      </c>
      <c r="C11" s="9">
        <f>-'Fane 4.1. Gen. krav - drift'!G48</f>
        <v>-327037.74938983552</v>
      </c>
      <c r="D11" s="8" t="s">
        <v>3</v>
      </c>
      <c r="E11" s="1"/>
    </row>
    <row r="12" spans="1:5" ht="15" customHeight="1" x14ac:dyDescent="0.25">
      <c r="A12" s="1"/>
      <c r="B12" s="66" t="s">
        <v>24</v>
      </c>
      <c r="C12" s="9">
        <f>-'Fane 4.2. Gen. krav - anlæg'!G48</f>
        <v>0</v>
      </c>
      <c r="D12" s="8" t="s">
        <v>3</v>
      </c>
      <c r="E12" s="1"/>
    </row>
    <row r="13" spans="1:5" ht="15" customHeight="1" x14ac:dyDescent="0.25">
      <c r="A13" s="1"/>
      <c r="B13" s="33" t="s">
        <v>19</v>
      </c>
      <c r="C13" s="10">
        <f>SUM(C8:C12)</f>
        <v>37709762.778261997</v>
      </c>
      <c r="D13" s="11" t="s">
        <v>3</v>
      </c>
      <c r="E13" s="1"/>
    </row>
    <row r="14" spans="1:5" x14ac:dyDescent="0.25">
      <c r="A14" s="1"/>
      <c r="B14" s="69" t="s">
        <v>11</v>
      </c>
      <c r="C14" s="70"/>
      <c r="D14" s="19"/>
      <c r="E14" s="1"/>
    </row>
    <row r="15" spans="1:5" ht="15" customHeight="1" x14ac:dyDescent="0.25">
      <c r="A15" s="1"/>
      <c r="B15" s="71" t="s">
        <v>11</v>
      </c>
      <c r="C15" s="10">
        <f>'Fane 6. Ikke-påvirkelige omk.'!C14*(1+'Fane 13. Nøgletal'!C15)</f>
        <v>22195563.442318249</v>
      </c>
      <c r="D15" s="11" t="s">
        <v>3</v>
      </c>
      <c r="E15" s="1"/>
    </row>
    <row r="16" spans="1:5" x14ac:dyDescent="0.25">
      <c r="A16" s="1"/>
      <c r="B16" s="25" t="s">
        <v>128</v>
      </c>
      <c r="C16" s="70"/>
      <c r="D16" s="19"/>
      <c r="E16" s="1"/>
    </row>
    <row r="17" spans="1:5" ht="15" customHeight="1" x14ac:dyDescent="0.25">
      <c r="A17" s="1"/>
      <c r="B17" s="82" t="s">
        <v>129</v>
      </c>
      <c r="C17" s="10">
        <f>'Fane 7. Kontrol af ØR2021'!E31</f>
        <v>-246924.96746373177</v>
      </c>
      <c r="D17" s="11" t="s">
        <v>3</v>
      </c>
      <c r="E17" s="1"/>
    </row>
    <row r="18" spans="1:5" x14ac:dyDescent="0.25">
      <c r="A18" s="1"/>
      <c r="B18" s="25" t="s">
        <v>153</v>
      </c>
      <c r="C18" s="70"/>
      <c r="D18" s="19"/>
      <c r="E18" s="1"/>
    </row>
    <row r="19" spans="1:5" x14ac:dyDescent="0.25">
      <c r="A19" s="1"/>
      <c r="B19" s="82" t="s">
        <v>154</v>
      </c>
      <c r="C19" s="10">
        <f>'Fane 8. Skattesagen'!G13</f>
        <v>-870282</v>
      </c>
      <c r="D19" s="11" t="s">
        <v>3</v>
      </c>
      <c r="E19" s="1"/>
    </row>
    <row r="20" spans="1:5" x14ac:dyDescent="0.25">
      <c r="A20" s="1"/>
      <c r="B20" s="69" t="s">
        <v>138</v>
      </c>
      <c r="C20" s="12">
        <f>SUM(C13,C15,C17,C19)</f>
        <v>58788119.253116518</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sheetData>
  <sheetProtection algorithmName="SHA-512" hashValue="a/Fg76dX0QUZtFYmrmKTgHNS0Jgej4Lcy1cKwnqVSVbtH3xbKxRVJ3+7kMBDVf7/kLCmpUvz/eDOikTTpHX/Jw==" saltValue="stfE3wnemeI5j5UK8srIk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E41"/>
  <sheetViews>
    <sheetView showGridLines="0" view="pageLayout" zoomScaleNormal="100" workbookViewId="0"/>
  </sheetViews>
  <sheetFormatPr defaultColWidth="9.140625" defaultRowHeight="15" x14ac:dyDescent="0.25"/>
  <cols>
    <col min="1" max="1" width="5.140625" style="2" customWidth="1"/>
    <col min="2" max="2" width="63.140625" style="2" customWidth="1"/>
    <col min="3" max="3" width="10.140625" style="2" customWidth="1"/>
    <col min="4" max="4" width="3.140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02" t="s">
        <v>167</v>
      </c>
      <c r="C3" s="102"/>
      <c r="D3" s="102"/>
      <c r="E3" s="1"/>
    </row>
    <row r="4" spans="1:5" ht="15" customHeight="1" x14ac:dyDescent="0.25">
      <c r="A4" s="1"/>
      <c r="B4" s="102"/>
      <c r="C4" s="102"/>
      <c r="D4" s="102"/>
      <c r="E4" s="1"/>
    </row>
    <row r="5" spans="1:5" x14ac:dyDescent="0.25">
      <c r="A5" s="1"/>
      <c r="B5" s="103" t="s">
        <v>20</v>
      </c>
      <c r="C5" s="103"/>
      <c r="D5" s="103"/>
      <c r="E5" s="1"/>
    </row>
    <row r="6" spans="1:5" x14ac:dyDescent="0.25">
      <c r="A6" s="1"/>
      <c r="B6" s="1"/>
      <c r="C6" s="1"/>
      <c r="D6" s="1"/>
      <c r="E6" s="1"/>
    </row>
    <row r="7" spans="1:5" x14ac:dyDescent="0.25">
      <c r="A7" s="1"/>
      <c r="B7" s="69" t="s">
        <v>12</v>
      </c>
      <c r="C7" s="70"/>
      <c r="D7" s="19"/>
      <c r="E7" s="1"/>
    </row>
    <row r="8" spans="1:5" ht="15" customHeight="1" x14ac:dyDescent="0.25">
      <c r="A8" s="1"/>
      <c r="B8" s="77" t="s">
        <v>139</v>
      </c>
      <c r="C8" s="7">
        <f>'Fane 2.2. Økonomisk ramme 2024'!C13</f>
        <v>37709762.778261997</v>
      </c>
      <c r="D8" s="8" t="s">
        <v>3</v>
      </c>
      <c r="E8" s="1"/>
    </row>
    <row r="9" spans="1:5" ht="15" customHeight="1" x14ac:dyDescent="0.25">
      <c r="A9" s="1"/>
      <c r="B9" s="66" t="s">
        <v>17</v>
      </c>
      <c r="C9" s="9">
        <f>SUM(C8:C8)*'Fane 13. Nøgletal'!C15</f>
        <v>1342467.554906127</v>
      </c>
      <c r="D9" s="8" t="s">
        <v>3</v>
      </c>
      <c r="E9" s="1"/>
    </row>
    <row r="10" spans="1:5" ht="15" customHeight="1" x14ac:dyDescent="0.25">
      <c r="A10" s="1"/>
      <c r="B10" s="66" t="s">
        <v>9</v>
      </c>
      <c r="C10" s="9">
        <f>-SUM(C8:C9)*'Fane 5. Individuelt eff. krav'!G9</f>
        <v>-616431.94268748851</v>
      </c>
      <c r="D10" s="8" t="s">
        <v>3</v>
      </c>
      <c r="E10" s="1"/>
    </row>
    <row r="11" spans="1:5" ht="15" customHeight="1" x14ac:dyDescent="0.25">
      <c r="A11" s="1"/>
      <c r="B11" s="66" t="s">
        <v>23</v>
      </c>
      <c r="C11" s="9">
        <f>-'Fane 4.1. Gen. krav - drift'!G53</f>
        <v>-331906.68740275147</v>
      </c>
      <c r="D11" s="8" t="s">
        <v>3</v>
      </c>
      <c r="E11" s="1"/>
    </row>
    <row r="12" spans="1:5" ht="15" customHeight="1" x14ac:dyDescent="0.25">
      <c r="A12" s="1"/>
      <c r="B12" s="66" t="s">
        <v>24</v>
      </c>
      <c r="C12" s="27">
        <f>-'Fane 4.2. Gen. krav - anlæg'!G53</f>
        <v>0</v>
      </c>
      <c r="D12" s="8" t="s">
        <v>3</v>
      </c>
      <c r="E12" s="1"/>
    </row>
    <row r="13" spans="1:5" x14ac:dyDescent="0.25">
      <c r="A13" s="1"/>
      <c r="B13" s="33" t="s">
        <v>19</v>
      </c>
      <c r="C13" s="10">
        <f>SUM(C8:C12)</f>
        <v>38103891.703077883</v>
      </c>
      <c r="D13" s="11" t="s">
        <v>3</v>
      </c>
      <c r="E13" s="1"/>
    </row>
    <row r="14" spans="1:5" x14ac:dyDescent="0.25">
      <c r="A14" s="1"/>
      <c r="B14" s="69" t="s">
        <v>11</v>
      </c>
      <c r="C14" s="70"/>
      <c r="D14" s="19"/>
      <c r="E14" s="1"/>
    </row>
    <row r="15" spans="1:5" ht="15" customHeight="1" x14ac:dyDescent="0.25">
      <c r="A15" s="1"/>
      <c r="B15" s="71" t="s">
        <v>11</v>
      </c>
      <c r="C15" s="10">
        <f>'Fane 6. Ikke-påvirkelige omk.'!C14*(1+'Fane 13. Nøgletal'!C15)^2</f>
        <v>22985725.500864778</v>
      </c>
      <c r="D15" s="11" t="s">
        <v>3</v>
      </c>
      <c r="E15" s="1"/>
    </row>
    <row r="16" spans="1:5" x14ac:dyDescent="0.25">
      <c r="A16" s="1"/>
      <c r="B16" s="69" t="s">
        <v>128</v>
      </c>
      <c r="C16" s="70"/>
      <c r="D16" s="19"/>
      <c r="E16" s="1"/>
    </row>
    <row r="17" spans="1:5" x14ac:dyDescent="0.25">
      <c r="A17" s="1"/>
      <c r="B17" s="71" t="s">
        <v>129</v>
      </c>
      <c r="C17" s="10">
        <v>0</v>
      </c>
      <c r="D17" s="11" t="s">
        <v>3</v>
      </c>
      <c r="E17" s="1"/>
    </row>
    <row r="18" spans="1:5" ht="15" customHeight="1" x14ac:dyDescent="0.25">
      <c r="A18" s="1"/>
      <c r="B18" s="25" t="s">
        <v>153</v>
      </c>
      <c r="C18" s="70"/>
      <c r="D18" s="19"/>
      <c r="E18" s="1"/>
    </row>
    <row r="19" spans="1:5" ht="15" customHeight="1" x14ac:dyDescent="0.25">
      <c r="A19" s="1"/>
      <c r="B19" s="82" t="s">
        <v>154</v>
      </c>
      <c r="C19" s="10">
        <f>'Fane 8. Skattesagen'!G14</f>
        <v>-870282</v>
      </c>
      <c r="D19" s="11" t="s">
        <v>3</v>
      </c>
      <c r="E19" s="1"/>
    </row>
    <row r="20" spans="1:5" x14ac:dyDescent="0.25">
      <c r="A20" s="1"/>
      <c r="B20" s="69" t="s">
        <v>140</v>
      </c>
      <c r="C20" s="12">
        <f>SUM(C13,C15,C17,C19)</f>
        <v>60219335.203942657</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sheetData>
  <sheetProtection algorithmName="SHA-512" hashValue="QWdYOODjCaDSgYV4MfFUlgPSw0Q+BL6lfSd2DBjRqpi2LL5Pnsfoo6UKKJCSF4I4iLbusGX95sKDwTzwpJT2zA==" saltValue="DH8tO3GUoBkSNcG9qu6PR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1:E41"/>
  <sheetViews>
    <sheetView showGridLines="0" view="pageLayout" zoomScaleNormal="100" workbookViewId="0"/>
  </sheetViews>
  <sheetFormatPr defaultColWidth="9.140625" defaultRowHeight="15" x14ac:dyDescent="0.25"/>
  <cols>
    <col min="1" max="1" width="5.140625" style="2" customWidth="1"/>
    <col min="2" max="2" width="63.140625" style="2" customWidth="1"/>
    <col min="3" max="3" width="10.140625" style="2" customWidth="1"/>
    <col min="4" max="4" width="3.140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102" t="s">
        <v>168</v>
      </c>
      <c r="C3" s="102"/>
      <c r="D3" s="102"/>
      <c r="E3" s="1"/>
    </row>
    <row r="4" spans="1:5" ht="15" customHeight="1" x14ac:dyDescent="0.25">
      <c r="A4" s="1"/>
      <c r="B4" s="102"/>
      <c r="C4" s="102"/>
      <c r="D4" s="102"/>
      <c r="E4" s="1"/>
    </row>
    <row r="5" spans="1:5" x14ac:dyDescent="0.25">
      <c r="A5" s="1"/>
      <c r="B5" s="103" t="s">
        <v>20</v>
      </c>
      <c r="C5" s="103"/>
      <c r="D5" s="103"/>
      <c r="E5" s="1"/>
    </row>
    <row r="6" spans="1:5" x14ac:dyDescent="0.25">
      <c r="A6" s="1"/>
      <c r="B6" s="1"/>
      <c r="C6" s="1"/>
      <c r="D6" s="1"/>
      <c r="E6" s="1"/>
    </row>
    <row r="7" spans="1:5" x14ac:dyDescent="0.25">
      <c r="A7" s="1"/>
      <c r="B7" s="69" t="s">
        <v>12</v>
      </c>
      <c r="C7" s="70"/>
      <c r="D7" s="19"/>
      <c r="E7" s="1"/>
    </row>
    <row r="8" spans="1:5" ht="15" customHeight="1" x14ac:dyDescent="0.25">
      <c r="A8" s="1"/>
      <c r="B8" s="77" t="s">
        <v>169</v>
      </c>
      <c r="C8" s="7">
        <f>'Fane 2.3. Økonomisk ramme 2025'!C13</f>
        <v>38103891.703077883</v>
      </c>
      <c r="D8" s="8" t="s">
        <v>3</v>
      </c>
      <c r="E8" s="1"/>
    </row>
    <row r="9" spans="1:5" ht="15" customHeight="1" x14ac:dyDescent="0.25">
      <c r="A9" s="1"/>
      <c r="B9" s="66" t="s">
        <v>17</v>
      </c>
      <c r="C9" s="9">
        <f>SUM(C8:C8)*'Fane 13. Nøgletal'!C15</f>
        <v>1356498.5446295727</v>
      </c>
      <c r="D9" s="8" t="s">
        <v>3</v>
      </c>
      <c r="E9" s="1"/>
    </row>
    <row r="10" spans="1:5" ht="15" customHeight="1" x14ac:dyDescent="0.25">
      <c r="A10" s="1"/>
      <c r="B10" s="66" t="s">
        <v>9</v>
      </c>
      <c r="C10" s="9">
        <f>-SUM(C8:C9)*'Fane 5. Individuelt eff. krav'!G9</f>
        <v>-622874.66841403791</v>
      </c>
      <c r="D10" s="8" t="s">
        <v>3</v>
      </c>
      <c r="E10" s="1"/>
    </row>
    <row r="11" spans="1:5" ht="15" customHeight="1" x14ac:dyDescent="0.25">
      <c r="A11" s="1"/>
      <c r="B11" s="66" t="s">
        <v>23</v>
      </c>
      <c r="C11" s="9">
        <f>-'Fane 4.1. Gen. krav - drift'!G58</f>
        <v>-336848.11416480364</v>
      </c>
      <c r="D11" s="8" t="s">
        <v>3</v>
      </c>
      <c r="E11" s="1"/>
    </row>
    <row r="12" spans="1:5" ht="15" customHeight="1" x14ac:dyDescent="0.25">
      <c r="A12" s="1"/>
      <c r="B12" s="66" t="s">
        <v>24</v>
      </c>
      <c r="C12" s="9">
        <f>-'Fane 4.2. Gen. krav - anlæg'!G58</f>
        <v>0</v>
      </c>
      <c r="D12" s="8" t="s">
        <v>3</v>
      </c>
      <c r="E12" s="1"/>
    </row>
    <row r="13" spans="1:5" x14ac:dyDescent="0.25">
      <c r="A13" s="1"/>
      <c r="B13" s="33" t="s">
        <v>19</v>
      </c>
      <c r="C13" s="10">
        <f>SUM(C8:C12)</f>
        <v>38500667.465128608</v>
      </c>
      <c r="D13" s="11" t="s">
        <v>3</v>
      </c>
      <c r="E13" s="1"/>
    </row>
    <row r="14" spans="1:5" x14ac:dyDescent="0.25">
      <c r="A14" s="1"/>
      <c r="B14" s="69" t="s">
        <v>11</v>
      </c>
      <c r="C14" s="70"/>
      <c r="D14" s="19"/>
      <c r="E14" s="1"/>
    </row>
    <row r="15" spans="1:5" ht="15" customHeight="1" x14ac:dyDescent="0.25">
      <c r="A15" s="1"/>
      <c r="B15" s="71" t="s">
        <v>11</v>
      </c>
      <c r="C15" s="10">
        <f>'Fane 6. Ikke-påvirkelige omk.'!C14*(1+'Fane 13. Nøgletal'!C15)^3</f>
        <v>23804017.328695569</v>
      </c>
      <c r="D15" s="11" t="s">
        <v>3</v>
      </c>
      <c r="E15" s="1"/>
    </row>
    <row r="16" spans="1:5" x14ac:dyDescent="0.25">
      <c r="A16" s="1"/>
      <c r="B16" s="69" t="s">
        <v>128</v>
      </c>
      <c r="C16" s="70"/>
      <c r="D16" s="19"/>
      <c r="E16" s="1"/>
    </row>
    <row r="17" spans="1:5" x14ac:dyDescent="0.25">
      <c r="A17" s="1"/>
      <c r="B17" s="71" t="s">
        <v>129</v>
      </c>
      <c r="C17" s="10">
        <v>0</v>
      </c>
      <c r="D17" s="11" t="s">
        <v>3</v>
      </c>
      <c r="E17" s="1"/>
    </row>
    <row r="18" spans="1:5" x14ac:dyDescent="0.25">
      <c r="A18" s="1"/>
      <c r="B18" s="25" t="s">
        <v>153</v>
      </c>
      <c r="C18" s="70"/>
      <c r="D18" s="19"/>
      <c r="E18" s="1"/>
    </row>
    <row r="19" spans="1:5" x14ac:dyDescent="0.25">
      <c r="A19" s="1"/>
      <c r="B19" s="82" t="s">
        <v>154</v>
      </c>
      <c r="C19" s="10">
        <f>'Fane 8. Skattesagen'!G15</f>
        <v>-870282</v>
      </c>
      <c r="D19" s="11" t="s">
        <v>3</v>
      </c>
      <c r="E19" s="1"/>
    </row>
    <row r="20" spans="1:5" x14ac:dyDescent="0.25">
      <c r="A20" s="1"/>
      <c r="B20" s="69" t="s">
        <v>170</v>
      </c>
      <c r="C20" s="12">
        <f>SUM(C13,C15,C17,C19)</f>
        <v>61434402.793824181</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sheetData>
  <sheetProtection algorithmName="SHA-512" hashValue="yUM63AQ2TSysyWcVnzPEA7OmLjOwsMWm7hYA4eeV4ASrb+L5EDOzq2bXhh4ys9OK7eTx5z9BDfdSfAm8HOjzsg==" saltValue="detSA4tnwBh+T2c4Gmzhn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G48"/>
  <sheetViews>
    <sheetView showGridLines="0" view="pageLayout" zoomScaleNormal="100" workbookViewId="0"/>
  </sheetViews>
  <sheetFormatPr defaultColWidth="9.140625" defaultRowHeight="15" x14ac:dyDescent="0.25"/>
  <cols>
    <col min="1" max="1" width="7.85546875" style="2" customWidth="1"/>
    <col min="2" max="2" width="51.85546875" style="2" customWidth="1"/>
    <col min="3" max="3" width="9.140625" style="2" hidden="1" customWidth="1"/>
    <col min="4" max="4" width="39.28515625" style="2" hidden="1" customWidth="1"/>
    <col min="5" max="5" width="11.140625" style="2" customWidth="1"/>
    <col min="6" max="6" width="4.7109375" style="2" customWidth="1"/>
    <col min="7" max="7" width="8.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0" t="s">
        <v>171</v>
      </c>
      <c r="C3" s="110"/>
      <c r="D3" s="110"/>
      <c r="E3" s="110"/>
      <c r="F3" s="110"/>
      <c r="G3" s="1"/>
    </row>
    <row r="4" spans="1:7" ht="29.25" customHeight="1" x14ac:dyDescent="0.25">
      <c r="A4" s="1"/>
      <c r="B4" s="110"/>
      <c r="C4" s="110"/>
      <c r="D4" s="110"/>
      <c r="E4" s="110"/>
      <c r="F4" s="11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69" t="s">
        <v>172</v>
      </c>
      <c r="C8" s="70"/>
      <c r="D8" s="70"/>
      <c r="E8" s="70"/>
      <c r="F8" s="19"/>
      <c r="G8" s="1"/>
    </row>
    <row r="9" spans="1:7" x14ac:dyDescent="0.25">
      <c r="A9" s="1"/>
      <c r="B9" s="111" t="s">
        <v>22</v>
      </c>
      <c r="C9" s="112"/>
      <c r="D9" s="113"/>
      <c r="E9" s="7">
        <v>36690697.884393141</v>
      </c>
      <c r="F9" s="8" t="s">
        <v>3</v>
      </c>
      <c r="G9" s="1"/>
    </row>
    <row r="10" spans="1:7" ht="15" customHeight="1" x14ac:dyDescent="0.25">
      <c r="A10" s="1"/>
      <c r="B10" s="104" t="s">
        <v>35</v>
      </c>
      <c r="C10" s="105"/>
      <c r="D10" s="106"/>
      <c r="E10" s="9">
        <v>98963.505400000009</v>
      </c>
      <c r="F10" s="8" t="s">
        <v>3</v>
      </c>
      <c r="G10" s="1"/>
    </row>
    <row r="11" spans="1:7" ht="15" customHeight="1" x14ac:dyDescent="0.25">
      <c r="A11" s="1"/>
      <c r="B11" s="104" t="s">
        <v>36</v>
      </c>
      <c r="C11" s="105"/>
      <c r="D11" s="106"/>
      <c r="E11" s="9">
        <v>20823.4915</v>
      </c>
      <c r="F11" s="8" t="s">
        <v>3</v>
      </c>
      <c r="G11" s="1"/>
    </row>
    <row r="12" spans="1:7" x14ac:dyDescent="0.25">
      <c r="A12" s="1"/>
      <c r="B12" s="104" t="s">
        <v>26</v>
      </c>
      <c r="C12" s="105"/>
      <c r="D12" s="106"/>
      <c r="E12" s="9">
        <v>0</v>
      </c>
      <c r="F12" s="8" t="s">
        <v>3</v>
      </c>
      <c r="G12" s="1"/>
    </row>
    <row r="13" spans="1:7" x14ac:dyDescent="0.25">
      <c r="A13" s="1"/>
      <c r="B13" s="104" t="s">
        <v>25</v>
      </c>
      <c r="C13" s="105"/>
      <c r="D13" s="106"/>
      <c r="E13" s="9">
        <v>0</v>
      </c>
      <c r="F13" s="8" t="s">
        <v>3</v>
      </c>
      <c r="G13" s="1"/>
    </row>
    <row r="14" spans="1:7" x14ac:dyDescent="0.25">
      <c r="A14" s="1"/>
      <c r="B14" s="104" t="s">
        <v>114</v>
      </c>
      <c r="C14" s="105"/>
      <c r="D14" s="106"/>
      <c r="E14" s="9">
        <v>0</v>
      </c>
      <c r="F14" s="8" t="s">
        <v>3</v>
      </c>
      <c r="G14" s="1"/>
    </row>
    <row r="15" spans="1:7" x14ac:dyDescent="0.25">
      <c r="A15" s="1"/>
      <c r="B15" s="104" t="s">
        <v>115</v>
      </c>
      <c r="C15" s="105"/>
      <c r="D15" s="106"/>
      <c r="E15" s="9">
        <v>0</v>
      </c>
      <c r="F15" s="8" t="s">
        <v>3</v>
      </c>
      <c r="G15" s="1"/>
    </row>
    <row r="16" spans="1:7" x14ac:dyDescent="0.25">
      <c r="A16" s="1"/>
      <c r="B16" s="104" t="s">
        <v>17</v>
      </c>
      <c r="C16" s="105"/>
      <c r="D16" s="106"/>
      <c r="E16" s="9">
        <v>448021.81127936637</v>
      </c>
      <c r="F16" s="8" t="s">
        <v>3</v>
      </c>
      <c r="G16" s="30"/>
    </row>
    <row r="17" spans="1:7" x14ac:dyDescent="0.25">
      <c r="A17" s="1"/>
      <c r="B17" s="104" t="s">
        <v>9</v>
      </c>
      <c r="C17" s="105"/>
      <c r="D17" s="106"/>
      <c r="E17" s="9">
        <v>-303790.1158281907</v>
      </c>
      <c r="F17" s="8" t="s">
        <v>3</v>
      </c>
      <c r="G17" s="1"/>
    </row>
    <row r="18" spans="1:7" x14ac:dyDescent="0.25">
      <c r="A18" s="1"/>
      <c r="B18" s="104" t="s">
        <v>23</v>
      </c>
      <c r="C18" s="105"/>
      <c r="D18" s="106"/>
      <c r="E18" s="9">
        <v>-299634.14399745752</v>
      </c>
      <c r="F18" s="8" t="s">
        <v>3</v>
      </c>
      <c r="G18" s="1"/>
    </row>
    <row r="19" spans="1:7" x14ac:dyDescent="0.25">
      <c r="A19" s="1"/>
      <c r="B19" s="104" t="s">
        <v>24</v>
      </c>
      <c r="C19" s="105"/>
      <c r="D19" s="106"/>
      <c r="E19" s="9">
        <v>-661361.46006045747</v>
      </c>
      <c r="F19" s="8" t="s">
        <v>3</v>
      </c>
      <c r="G19" s="1"/>
    </row>
    <row r="20" spans="1:7" x14ac:dyDescent="0.25">
      <c r="A20" s="1"/>
      <c r="B20" s="117" t="s">
        <v>19</v>
      </c>
      <c r="C20" s="118"/>
      <c r="D20" s="119"/>
      <c r="E20" s="31">
        <f>SUM(E9:E19)</f>
        <v>35993720.972686395</v>
      </c>
      <c r="F20" s="34" t="s">
        <v>3</v>
      </c>
      <c r="G20" s="1"/>
    </row>
    <row r="21" spans="1:7" x14ac:dyDescent="0.25">
      <c r="A21" s="1"/>
      <c r="B21" s="69" t="s">
        <v>11</v>
      </c>
      <c r="C21" s="70"/>
      <c r="D21" s="70"/>
      <c r="E21" s="70"/>
      <c r="F21" s="19"/>
      <c r="G21" s="1"/>
    </row>
    <row r="22" spans="1:7" x14ac:dyDescent="0.25">
      <c r="A22" s="1"/>
      <c r="B22" s="107" t="s">
        <v>11</v>
      </c>
      <c r="C22" s="108"/>
      <c r="D22" s="109"/>
      <c r="E22" s="10">
        <v>19912916.544893712</v>
      </c>
      <c r="F22" s="11" t="s">
        <v>3</v>
      </c>
      <c r="G22" s="1"/>
    </row>
    <row r="23" spans="1:7" ht="15" customHeight="1" x14ac:dyDescent="0.25">
      <c r="A23" s="1"/>
      <c r="B23" s="123" t="s">
        <v>80</v>
      </c>
      <c r="C23" s="124"/>
      <c r="D23" s="124"/>
      <c r="E23" s="70"/>
      <c r="F23" s="70"/>
      <c r="G23" s="1"/>
    </row>
    <row r="24" spans="1:7" ht="14.25" customHeight="1" x14ac:dyDescent="0.25">
      <c r="A24" s="1"/>
      <c r="B24" s="114" t="s">
        <v>76</v>
      </c>
      <c r="C24" s="115"/>
      <c r="D24" s="116"/>
      <c r="E24" s="9">
        <v>0</v>
      </c>
      <c r="F24" s="8" t="s">
        <v>3</v>
      </c>
      <c r="G24" s="1"/>
    </row>
    <row r="25" spans="1:7" ht="14.25" customHeight="1" x14ac:dyDescent="0.25">
      <c r="A25" s="1"/>
      <c r="B25" s="114" t="s">
        <v>77</v>
      </c>
      <c r="C25" s="115"/>
      <c r="D25" s="116"/>
      <c r="E25" s="9">
        <v>0</v>
      </c>
      <c r="F25" s="8" t="s">
        <v>3</v>
      </c>
      <c r="G25" s="1"/>
    </row>
    <row r="26" spans="1:7" x14ac:dyDescent="0.25">
      <c r="A26" s="1"/>
      <c r="B26" s="120" t="s">
        <v>81</v>
      </c>
      <c r="C26" s="121"/>
      <c r="D26" s="121"/>
      <c r="E26" s="10">
        <v>0</v>
      </c>
      <c r="F26" s="11" t="s">
        <v>3</v>
      </c>
      <c r="G26" s="1"/>
    </row>
    <row r="27" spans="1:7" x14ac:dyDescent="0.25">
      <c r="A27" s="1"/>
      <c r="B27" s="69" t="s">
        <v>128</v>
      </c>
      <c r="C27" s="70"/>
      <c r="D27" s="70"/>
      <c r="E27" s="70"/>
      <c r="F27" s="19"/>
      <c r="G27" s="1"/>
    </row>
    <row r="28" spans="1:7" ht="15" customHeight="1" x14ac:dyDescent="0.25">
      <c r="A28" s="1"/>
      <c r="B28" s="120" t="s">
        <v>129</v>
      </c>
      <c r="C28" s="121"/>
      <c r="D28" s="122"/>
      <c r="E28" s="10">
        <v>0</v>
      </c>
      <c r="F28" s="11" t="s">
        <v>3</v>
      </c>
      <c r="G28" s="1"/>
    </row>
    <row r="29" spans="1:7" x14ac:dyDescent="0.25">
      <c r="A29" s="1"/>
      <c r="B29" s="69" t="s">
        <v>159</v>
      </c>
      <c r="C29" s="70"/>
      <c r="D29" s="70"/>
      <c r="E29" s="70"/>
      <c r="F29" s="19"/>
      <c r="G29" s="1"/>
    </row>
    <row r="30" spans="1:7" ht="15.6" customHeight="1" x14ac:dyDescent="0.25">
      <c r="A30" s="1"/>
      <c r="B30" s="107" t="s">
        <v>160</v>
      </c>
      <c r="C30" s="108"/>
      <c r="D30" s="109"/>
      <c r="E30" s="10">
        <v>0</v>
      </c>
      <c r="F30" s="11" t="s">
        <v>3</v>
      </c>
      <c r="G30" s="1"/>
    </row>
    <row r="31" spans="1:7" ht="15.6" customHeight="1" x14ac:dyDescent="0.25">
      <c r="A31" s="1"/>
      <c r="B31" s="125" t="s">
        <v>153</v>
      </c>
      <c r="C31" s="126"/>
      <c r="D31" s="126"/>
      <c r="E31" s="126"/>
      <c r="F31" s="127"/>
      <c r="G31" s="1"/>
    </row>
    <row r="32" spans="1:7" ht="15.6" customHeight="1" x14ac:dyDescent="0.25">
      <c r="A32" s="1"/>
      <c r="B32" s="82" t="s">
        <v>154</v>
      </c>
      <c r="C32" s="10"/>
      <c r="D32" s="11"/>
      <c r="E32" s="10">
        <f>'Fane 8. Skattesagen'!G11</f>
        <v>-870282</v>
      </c>
      <c r="F32" s="11" t="s">
        <v>3</v>
      </c>
      <c r="G32" s="1"/>
    </row>
    <row r="33" spans="1:7" x14ac:dyDescent="0.25">
      <c r="A33" s="1"/>
      <c r="B33" s="35" t="s">
        <v>27</v>
      </c>
      <c r="C33" s="38"/>
      <c r="D33" s="38"/>
      <c r="E33" s="32">
        <f>E20+E22+E26+E28+E30+E32</f>
        <v>55036355.517580107</v>
      </c>
      <c r="F33" s="37" t="s">
        <v>3</v>
      </c>
      <c r="G33" s="1"/>
    </row>
    <row r="34" spans="1:7" ht="27.75" customHeight="1" x14ac:dyDescent="0.25">
      <c r="A34" s="1"/>
      <c r="B34" s="114" t="s">
        <v>173</v>
      </c>
      <c r="C34" s="115"/>
      <c r="D34" s="115"/>
      <c r="E34" s="115"/>
      <c r="F34" s="116"/>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sheetData>
  <sheetProtection algorithmName="SHA-512" hashValue="futsx3bex4H+0kvQgcogq7YlVLHiI/YMkzo45jQm3jlaFhA6TZ58R3Gu21k5WWRJ2+/JQtRkDcuGcs51ZjUOHA==" saltValue="PCAJL134GKbXPkwK+KVj3g==" spinCount="100000" sheet="1" objects="1" scenarios="1"/>
  <mergeCells count="22">
    <mergeCell ref="B34:F34"/>
    <mergeCell ref="B16:D16"/>
    <mergeCell ref="B17:D17"/>
    <mergeCell ref="B18:D18"/>
    <mergeCell ref="B19:D19"/>
    <mergeCell ref="B20:D20"/>
    <mergeCell ref="B28:D28"/>
    <mergeCell ref="B23:D23"/>
    <mergeCell ref="B24:D24"/>
    <mergeCell ref="B25:D25"/>
    <mergeCell ref="B26:D26"/>
    <mergeCell ref="B30:D30"/>
    <mergeCell ref="B31:F31"/>
    <mergeCell ref="B13:D13"/>
    <mergeCell ref="B14:D14"/>
    <mergeCell ref="B15:D15"/>
    <mergeCell ref="B22:D22"/>
    <mergeCell ref="B3:F4"/>
    <mergeCell ref="B9:D9"/>
    <mergeCell ref="B10:D10"/>
    <mergeCell ref="B11:D11"/>
    <mergeCell ref="B12:D12"/>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dimension ref="A1:I65"/>
  <sheetViews>
    <sheetView showGridLines="0" view="pageLayout" zoomScaleNormal="100" workbookViewId="0"/>
  </sheetViews>
  <sheetFormatPr defaultColWidth="9.140625" defaultRowHeight="15" x14ac:dyDescent="0.25"/>
  <cols>
    <col min="1" max="1" width="4.28515625" style="2" customWidth="1"/>
    <col min="2" max="5" width="9.140625" style="2"/>
    <col min="6" max="6" width="24.5703125" style="2" customWidth="1"/>
    <col min="7" max="7" width="13.28515625" style="43" customWidth="1"/>
    <col min="8" max="8" width="3.85546875" style="2" customWidth="1"/>
    <col min="9" max="9" width="4.140625" style="2" customWidth="1"/>
    <col min="10" max="16384" width="9.140625" style="2"/>
  </cols>
  <sheetData>
    <row r="1" spans="1:9" ht="15" customHeight="1" x14ac:dyDescent="0.25">
      <c r="A1" s="1"/>
      <c r="B1" s="110" t="s">
        <v>98</v>
      </c>
      <c r="C1" s="110"/>
      <c r="D1" s="110"/>
      <c r="E1" s="110"/>
      <c r="F1" s="110"/>
      <c r="G1" s="110"/>
      <c r="H1" s="110"/>
      <c r="I1" s="1"/>
    </row>
    <row r="2" spans="1:9" ht="15" customHeight="1" x14ac:dyDescent="0.25">
      <c r="A2" s="1"/>
      <c r="B2" s="110"/>
      <c r="C2" s="110"/>
      <c r="D2" s="110"/>
      <c r="E2" s="110"/>
      <c r="F2" s="110"/>
      <c r="G2" s="110"/>
      <c r="H2" s="110"/>
      <c r="I2" s="1"/>
    </row>
    <row r="3" spans="1:9" ht="15" customHeight="1" x14ac:dyDescent="0.25">
      <c r="A3" s="1"/>
      <c r="B3" s="110"/>
      <c r="C3" s="110"/>
      <c r="D3" s="110"/>
      <c r="E3" s="110"/>
      <c r="F3" s="110"/>
      <c r="G3" s="110"/>
      <c r="H3" s="110"/>
      <c r="I3" s="1"/>
    </row>
    <row r="4" spans="1:9" x14ac:dyDescent="0.25">
      <c r="A4" s="1"/>
      <c r="B4" s="125" t="s">
        <v>49</v>
      </c>
      <c r="C4" s="126"/>
      <c r="D4" s="126"/>
      <c r="E4" s="126"/>
      <c r="F4" s="126"/>
      <c r="G4" s="126"/>
      <c r="H4" s="127"/>
      <c r="I4" s="1"/>
    </row>
    <row r="5" spans="1:9" x14ac:dyDescent="0.25">
      <c r="A5" s="1"/>
      <c r="B5" s="128" t="s">
        <v>38</v>
      </c>
      <c r="C5" s="129"/>
      <c r="D5" s="129"/>
      <c r="E5" s="129"/>
      <c r="F5" s="130"/>
      <c r="G5" s="58">
        <v>15140006</v>
      </c>
      <c r="H5" s="14" t="s">
        <v>3</v>
      </c>
      <c r="I5" s="1"/>
    </row>
    <row r="6" spans="1:9" x14ac:dyDescent="0.25">
      <c r="A6" s="1"/>
      <c r="B6" s="128" t="s">
        <v>39</v>
      </c>
      <c r="C6" s="129"/>
      <c r="D6" s="129"/>
      <c r="E6" s="129"/>
      <c r="F6" s="130"/>
      <c r="G6" s="58">
        <f>G5*'Fane 13. Nøgletal'!C31</f>
        <v>302800.12</v>
      </c>
      <c r="H6" s="14" t="s">
        <v>3</v>
      </c>
      <c r="I6" s="1"/>
    </row>
    <row r="7" spans="1:9" x14ac:dyDescent="0.25">
      <c r="A7" s="1"/>
      <c r="B7" s="69"/>
      <c r="C7" s="70"/>
      <c r="D7" s="70"/>
      <c r="E7" s="70"/>
      <c r="F7" s="70"/>
      <c r="G7" s="59"/>
      <c r="H7" s="19"/>
      <c r="I7" s="1"/>
    </row>
    <row r="8" spans="1:9" x14ac:dyDescent="0.25">
      <c r="A8" s="1"/>
      <c r="B8" s="1"/>
      <c r="C8" s="1"/>
      <c r="D8" s="1"/>
      <c r="E8" s="1"/>
      <c r="F8" s="1"/>
      <c r="G8" s="60"/>
      <c r="H8" s="1"/>
      <c r="I8" s="1"/>
    </row>
    <row r="9" spans="1:9" x14ac:dyDescent="0.25">
      <c r="A9" s="1"/>
      <c r="B9" s="125" t="s">
        <v>50</v>
      </c>
      <c r="C9" s="126"/>
      <c r="D9" s="126"/>
      <c r="E9" s="126"/>
      <c r="F9" s="126"/>
      <c r="G9" s="131"/>
      <c r="H9" s="127"/>
      <c r="I9" s="1"/>
    </row>
    <row r="10" spans="1:9" x14ac:dyDescent="0.25">
      <c r="A10" s="1"/>
      <c r="B10" s="128" t="s">
        <v>40</v>
      </c>
      <c r="C10" s="129"/>
      <c r="D10" s="129"/>
      <c r="E10" s="129"/>
      <c r="F10" s="130"/>
      <c r="G10" s="58">
        <f>(G5-G6)*(1+'Fane 13. Nøgletal'!C9)</f>
        <v>15025638.394676</v>
      </c>
      <c r="H10" s="14" t="s">
        <v>3</v>
      </c>
      <c r="I10" s="1"/>
    </row>
    <row r="11" spans="1:9" x14ac:dyDescent="0.25">
      <c r="A11" s="1"/>
      <c r="B11" s="132" t="s">
        <v>41</v>
      </c>
      <c r="C11" s="133"/>
      <c r="D11" s="133"/>
      <c r="E11" s="133"/>
      <c r="F11" s="134"/>
      <c r="G11" s="58">
        <v>0</v>
      </c>
      <c r="H11" s="14" t="s">
        <v>3</v>
      </c>
      <c r="I11" s="1"/>
    </row>
    <row r="12" spans="1:9" x14ac:dyDescent="0.25">
      <c r="A12" s="1"/>
      <c r="B12" s="128" t="s">
        <v>42</v>
      </c>
      <c r="C12" s="129"/>
      <c r="D12" s="129"/>
      <c r="E12" s="129"/>
      <c r="F12" s="130"/>
      <c r="G12" s="58">
        <f>(G10+G11)*'Fane 13. Nøgletal'!C31</f>
        <v>300512.76789352001</v>
      </c>
      <c r="H12" s="14" t="s">
        <v>3</v>
      </c>
      <c r="I12" s="1"/>
    </row>
    <row r="13" spans="1:9" x14ac:dyDescent="0.25">
      <c r="A13" s="1"/>
      <c r="B13" s="69"/>
      <c r="C13" s="70"/>
      <c r="D13" s="70"/>
      <c r="E13" s="70"/>
      <c r="F13" s="70"/>
      <c r="G13" s="59"/>
      <c r="H13" s="19"/>
      <c r="I13" s="1"/>
    </row>
    <row r="14" spans="1:9" x14ac:dyDescent="0.25">
      <c r="A14" s="1"/>
      <c r="B14" s="1"/>
      <c r="C14" s="1"/>
      <c r="D14" s="1"/>
      <c r="E14" s="1"/>
      <c r="F14" s="1"/>
      <c r="G14" s="60"/>
      <c r="H14" s="1"/>
      <c r="I14" s="1"/>
    </row>
    <row r="15" spans="1:9" x14ac:dyDescent="0.25">
      <c r="A15" s="1"/>
      <c r="B15" s="125" t="s">
        <v>51</v>
      </c>
      <c r="C15" s="126"/>
      <c r="D15" s="126"/>
      <c r="E15" s="126"/>
      <c r="F15" s="126"/>
      <c r="G15" s="131"/>
      <c r="H15" s="127"/>
      <c r="I15" s="1"/>
    </row>
    <row r="16" spans="1:9" x14ac:dyDescent="0.25">
      <c r="A16" s="1"/>
      <c r="B16" s="128" t="s">
        <v>43</v>
      </c>
      <c r="C16" s="129"/>
      <c r="D16" s="129"/>
      <c r="E16" s="129"/>
      <c r="F16" s="130"/>
      <c r="G16" s="58">
        <f>(G10+G11-G12)*(1+'Fane 13. Nøgletal'!C11)</f>
        <v>14973980.249875104</v>
      </c>
      <c r="H16" s="14" t="s">
        <v>3</v>
      </c>
      <c r="I16" s="1"/>
    </row>
    <row r="17" spans="1:9" x14ac:dyDescent="0.25">
      <c r="A17" s="1"/>
      <c r="B17" s="128" t="s">
        <v>108</v>
      </c>
      <c r="C17" s="129"/>
      <c r="D17" s="129"/>
      <c r="E17" s="129"/>
      <c r="F17" s="130"/>
      <c r="G17" s="58">
        <v>0.47886643501026877</v>
      </c>
      <c r="H17" s="14" t="s">
        <v>3</v>
      </c>
      <c r="I17" s="1"/>
    </row>
    <row r="18" spans="1:9" x14ac:dyDescent="0.25">
      <c r="A18" s="1"/>
      <c r="B18" s="132" t="s">
        <v>44</v>
      </c>
      <c r="C18" s="133"/>
      <c r="D18" s="133"/>
      <c r="E18" s="133"/>
      <c r="F18" s="134"/>
      <c r="G18" s="58">
        <v>0</v>
      </c>
      <c r="H18" s="14" t="s">
        <v>3</v>
      </c>
      <c r="I18" s="1"/>
    </row>
    <row r="19" spans="1:9" x14ac:dyDescent="0.25">
      <c r="A19" s="1"/>
      <c r="B19" s="128" t="s">
        <v>45</v>
      </c>
      <c r="C19" s="129"/>
      <c r="D19" s="129"/>
      <c r="E19" s="129"/>
      <c r="F19" s="130"/>
      <c r="G19" s="58">
        <f>SUM(G16:G18)*'Fane 13. Nøgletal'!C31</f>
        <v>299479.6145748308</v>
      </c>
      <c r="H19" s="14" t="s">
        <v>3</v>
      </c>
      <c r="I19" s="1"/>
    </row>
    <row r="20" spans="1:9" x14ac:dyDescent="0.25">
      <c r="A20" s="1"/>
      <c r="B20" s="69"/>
      <c r="C20" s="70"/>
      <c r="D20" s="70"/>
      <c r="E20" s="70"/>
      <c r="F20" s="70"/>
      <c r="G20" s="59"/>
      <c r="H20" s="19"/>
      <c r="I20" s="1"/>
    </row>
    <row r="21" spans="1:9" x14ac:dyDescent="0.25">
      <c r="A21" s="1"/>
      <c r="B21" s="1"/>
      <c r="C21" s="1"/>
      <c r="D21" s="1"/>
      <c r="E21" s="1"/>
      <c r="F21" s="1"/>
      <c r="G21" s="60"/>
      <c r="H21" s="1"/>
      <c r="I21" s="1"/>
    </row>
    <row r="22" spans="1:9" x14ac:dyDescent="0.25">
      <c r="A22" s="1"/>
      <c r="B22" s="125" t="s">
        <v>52</v>
      </c>
      <c r="C22" s="126"/>
      <c r="D22" s="126"/>
      <c r="E22" s="126"/>
      <c r="F22" s="126"/>
      <c r="G22" s="131"/>
      <c r="H22" s="127"/>
      <c r="I22" s="1"/>
    </row>
    <row r="23" spans="1:9" x14ac:dyDescent="0.25">
      <c r="A23" s="1"/>
      <c r="B23" s="128" t="s">
        <v>46</v>
      </c>
      <c r="C23" s="129"/>
      <c r="D23" s="129"/>
      <c r="E23" s="129"/>
      <c r="F23" s="130"/>
      <c r="G23" s="58">
        <f>(SUM(G16:G18)-G19)*(1+'Fane 13. Nøgletal'!C11)</f>
        <v>14922500.182996124</v>
      </c>
      <c r="H23" s="14" t="s">
        <v>3</v>
      </c>
      <c r="I23" s="1"/>
    </row>
    <row r="24" spans="1:9" x14ac:dyDescent="0.25">
      <c r="A24" s="1"/>
      <c r="B24" s="132" t="s">
        <v>47</v>
      </c>
      <c r="C24" s="133"/>
      <c r="D24" s="133"/>
      <c r="E24" s="133"/>
      <c r="F24" s="134"/>
      <c r="G24" s="58">
        <v>17362.381526820001</v>
      </c>
      <c r="H24" s="14" t="s">
        <v>3</v>
      </c>
      <c r="I24" s="1"/>
    </row>
    <row r="25" spans="1:9" x14ac:dyDescent="0.25">
      <c r="A25" s="1"/>
      <c r="B25" s="128" t="s">
        <v>48</v>
      </c>
      <c r="C25" s="129"/>
      <c r="D25" s="129"/>
      <c r="E25" s="129"/>
      <c r="F25" s="130"/>
      <c r="G25" s="58">
        <f>(G23+G24)*'Fane 13. Nøgletal'!C31</f>
        <v>298797.25129045889</v>
      </c>
      <c r="H25" s="14" t="s">
        <v>3</v>
      </c>
      <c r="I25" s="1"/>
    </row>
    <row r="26" spans="1:9" x14ac:dyDescent="0.25">
      <c r="A26" s="1"/>
      <c r="B26" s="69"/>
      <c r="C26" s="70"/>
      <c r="D26" s="70"/>
      <c r="E26" s="70"/>
      <c r="F26" s="70"/>
      <c r="G26" s="59"/>
      <c r="H26" s="19"/>
      <c r="I26" s="1"/>
    </row>
    <row r="27" spans="1:9" x14ac:dyDescent="0.25">
      <c r="A27" s="1"/>
      <c r="B27" s="1"/>
      <c r="C27" s="1"/>
      <c r="D27" s="1"/>
      <c r="E27" s="1"/>
      <c r="F27" s="1"/>
      <c r="G27" s="60"/>
      <c r="H27" s="1"/>
      <c r="I27" s="1"/>
    </row>
    <row r="28" spans="1:9" x14ac:dyDescent="0.25">
      <c r="A28" s="1"/>
      <c r="B28" s="125" t="s">
        <v>132</v>
      </c>
      <c r="C28" s="126"/>
      <c r="D28" s="126"/>
      <c r="E28" s="126"/>
      <c r="F28" s="126"/>
      <c r="G28" s="131"/>
      <c r="H28" s="127"/>
      <c r="I28" s="1"/>
    </row>
    <row r="29" spans="1:9" x14ac:dyDescent="0.25">
      <c r="A29" s="1"/>
      <c r="B29" s="128" t="s">
        <v>55</v>
      </c>
      <c r="C29" s="129"/>
      <c r="D29" s="129"/>
      <c r="E29" s="129"/>
      <c r="F29" s="130"/>
      <c r="G29" s="58">
        <f>(G23+G24-G25)*(1+'Fane 13. Nøgletal'!C13)</f>
        <v>14819686.310053922</v>
      </c>
      <c r="H29" s="14" t="s">
        <v>3</v>
      </c>
      <c r="I29" s="1"/>
    </row>
    <row r="30" spans="1:9" x14ac:dyDescent="0.25">
      <c r="A30" s="1"/>
      <c r="B30" s="128" t="s">
        <v>121</v>
      </c>
      <c r="C30" s="129"/>
      <c r="D30" s="129"/>
      <c r="E30" s="129"/>
      <c r="F30" s="130"/>
      <c r="G30" s="58">
        <v>183415.75788563999</v>
      </c>
      <c r="H30" s="14" t="s">
        <v>3</v>
      </c>
      <c r="I30" s="1"/>
    </row>
    <row r="31" spans="1:9" x14ac:dyDescent="0.25">
      <c r="A31" s="1"/>
      <c r="B31" s="128" t="s">
        <v>126</v>
      </c>
      <c r="C31" s="129"/>
      <c r="D31" s="129"/>
      <c r="E31" s="129"/>
      <c r="F31" s="130"/>
      <c r="G31" s="58">
        <f>(G29+G30)*'Fane 13. Nøgletal'!C31</f>
        <v>300062.04135879123</v>
      </c>
      <c r="H31" s="14" t="s">
        <v>3</v>
      </c>
      <c r="I31" s="1"/>
    </row>
    <row r="32" spans="1:9" x14ac:dyDescent="0.25">
      <c r="A32" s="1"/>
      <c r="B32" s="69"/>
      <c r="C32" s="70"/>
      <c r="D32" s="70"/>
      <c r="E32" s="70"/>
      <c r="F32" s="70"/>
      <c r="G32" s="59"/>
      <c r="H32" s="19"/>
      <c r="I32" s="1"/>
    </row>
    <row r="33" spans="1:9" x14ac:dyDescent="0.25">
      <c r="A33" s="1"/>
      <c r="B33" s="1"/>
      <c r="C33" s="1"/>
      <c r="D33" s="1"/>
      <c r="E33" s="1"/>
      <c r="F33" s="1"/>
      <c r="G33" s="60"/>
      <c r="H33" s="1"/>
      <c r="I33" s="1"/>
    </row>
    <row r="34" spans="1:9" x14ac:dyDescent="0.25">
      <c r="A34" s="1"/>
      <c r="B34" s="125" t="s">
        <v>133</v>
      </c>
      <c r="C34" s="126"/>
      <c r="D34" s="126"/>
      <c r="E34" s="126"/>
      <c r="F34" s="126"/>
      <c r="G34" s="131"/>
      <c r="H34" s="127"/>
      <c r="I34" s="1"/>
    </row>
    <row r="35" spans="1:9" x14ac:dyDescent="0.25">
      <c r="A35" s="1"/>
      <c r="B35" s="128" t="s">
        <v>74</v>
      </c>
      <c r="C35" s="129"/>
      <c r="D35" s="129"/>
      <c r="E35" s="129"/>
      <c r="F35" s="130"/>
      <c r="G35" s="58">
        <f>(G29+G30-G31)*(1+'Fane 13. Nøgletal'!C13)</f>
        <v>14882417.114905057</v>
      </c>
      <c r="H35" s="14" t="s">
        <v>3</v>
      </c>
      <c r="I35" s="1"/>
    </row>
    <row r="36" spans="1:9" x14ac:dyDescent="0.25">
      <c r="A36" s="1"/>
      <c r="B36" s="128" t="s">
        <v>152</v>
      </c>
      <c r="C36" s="129"/>
      <c r="D36" s="129"/>
      <c r="E36" s="129"/>
      <c r="F36" s="130"/>
      <c r="G36" s="58">
        <f>('Fane 3. Omkostninger i ØR2022'!E10+'Fane 3. Omkostninger i ØR2022'!E12+'Fane 3. Omkostninger i ØR2022'!E14)*(1+'Fane 13. Nøgletal'!C14)</f>
        <v>99290.084967820017</v>
      </c>
      <c r="H36" s="14" t="s">
        <v>3</v>
      </c>
      <c r="I36" s="1"/>
    </row>
    <row r="37" spans="1:9" x14ac:dyDescent="0.25">
      <c r="A37" s="1"/>
      <c r="B37" s="128" t="s">
        <v>134</v>
      </c>
      <c r="C37" s="129"/>
      <c r="D37" s="129"/>
      <c r="E37" s="129"/>
      <c r="F37" s="130"/>
      <c r="G37" s="58">
        <f>(G35+G36)*'Fane 13. Nøgletal'!C31</f>
        <v>299634.14399745758</v>
      </c>
      <c r="H37" s="14" t="s">
        <v>3</v>
      </c>
      <c r="I37" s="1"/>
    </row>
    <row r="38" spans="1:9" x14ac:dyDescent="0.25">
      <c r="A38" s="1"/>
      <c r="B38" s="69"/>
      <c r="C38" s="70"/>
      <c r="D38" s="70"/>
      <c r="E38" s="70"/>
      <c r="F38" s="70"/>
      <c r="G38" s="59"/>
      <c r="H38" s="19"/>
      <c r="I38" s="1"/>
    </row>
    <row r="39" spans="1:9" x14ac:dyDescent="0.25">
      <c r="A39" s="1"/>
      <c r="B39" s="1"/>
      <c r="C39" s="1"/>
      <c r="D39" s="1"/>
      <c r="E39" s="1"/>
      <c r="F39" s="1"/>
      <c r="G39" s="60"/>
      <c r="H39" s="1"/>
      <c r="I39" s="1"/>
    </row>
    <row r="40" spans="1:9" x14ac:dyDescent="0.25">
      <c r="A40" s="1"/>
      <c r="B40" s="125" t="s">
        <v>198</v>
      </c>
      <c r="C40" s="126"/>
      <c r="D40" s="126"/>
      <c r="E40" s="126"/>
      <c r="F40" s="126"/>
      <c r="G40" s="131"/>
      <c r="H40" s="127"/>
      <c r="I40" s="1"/>
    </row>
    <row r="41" spans="1:9" x14ac:dyDescent="0.25">
      <c r="A41" s="1"/>
      <c r="B41" s="128" t="s">
        <v>73</v>
      </c>
      <c r="C41" s="129"/>
      <c r="D41" s="129"/>
      <c r="E41" s="129"/>
      <c r="F41" s="130"/>
      <c r="G41" s="58">
        <f>(G35+G36-G37)*(1+'Fane 13. Nøgletal'!C15)</f>
        <v>15204754.856664587</v>
      </c>
      <c r="H41" s="14" t="s">
        <v>3</v>
      </c>
      <c r="I41" s="1"/>
    </row>
    <row r="42" spans="1:9" x14ac:dyDescent="0.25">
      <c r="A42" s="1"/>
      <c r="B42" s="128" t="s">
        <v>197</v>
      </c>
      <c r="C42" s="129"/>
      <c r="D42" s="129"/>
      <c r="E42" s="129"/>
      <c r="F42" s="130"/>
      <c r="G42" s="58">
        <f>('Fane 2.1. Økonomisk ramme 2023'!C9+'Fane 2.1. Økonomisk ramme 2023'!C11+'Fane 2.1. Økonomisk ramme 2023'!C13)*(1+'Fane 13. Nøgletal'!C15)</f>
        <v>907256.98059408006</v>
      </c>
      <c r="H42" s="14" t="s">
        <v>3</v>
      </c>
      <c r="I42" s="1"/>
    </row>
    <row r="43" spans="1:9" x14ac:dyDescent="0.25">
      <c r="A43" s="1"/>
      <c r="B43" s="128" t="s">
        <v>208</v>
      </c>
      <c r="C43" s="129"/>
      <c r="D43" s="129"/>
      <c r="E43" s="129"/>
      <c r="F43" s="130"/>
      <c r="G43" s="58">
        <f>(G41+G42)*'Fane 13. Nøgletal'!C31</f>
        <v>322240.23674517334</v>
      </c>
      <c r="H43" s="14" t="s">
        <v>3</v>
      </c>
      <c r="I43" s="1"/>
    </row>
    <row r="44" spans="1:9" x14ac:dyDescent="0.25">
      <c r="A44" s="1"/>
      <c r="B44" s="69"/>
      <c r="C44" s="70"/>
      <c r="D44" s="70"/>
      <c r="E44" s="70"/>
      <c r="F44" s="70"/>
      <c r="G44" s="59"/>
      <c r="H44" s="19"/>
      <c r="I44" s="1"/>
    </row>
    <row r="45" spans="1:9" x14ac:dyDescent="0.25">
      <c r="A45" s="1"/>
      <c r="B45" s="1"/>
      <c r="C45" s="1"/>
      <c r="D45" s="1"/>
      <c r="E45" s="1"/>
      <c r="F45" s="1"/>
      <c r="G45" s="60"/>
      <c r="H45" s="1"/>
      <c r="I45" s="1"/>
    </row>
    <row r="46" spans="1:9" x14ac:dyDescent="0.25">
      <c r="A46" s="1"/>
      <c r="B46" s="125" t="s">
        <v>199</v>
      </c>
      <c r="C46" s="126"/>
      <c r="D46" s="126"/>
      <c r="E46" s="126"/>
      <c r="F46" s="126"/>
      <c r="G46" s="131"/>
      <c r="H46" s="127"/>
      <c r="I46" s="1"/>
    </row>
    <row r="47" spans="1:9" x14ac:dyDescent="0.25">
      <c r="A47" s="1"/>
      <c r="B47" s="128" t="s">
        <v>122</v>
      </c>
      <c r="C47" s="129"/>
      <c r="D47" s="129"/>
      <c r="E47" s="129"/>
      <c r="F47" s="130"/>
      <c r="G47" s="58">
        <f>(G41+G42-G43)*(1+'Fane 13. Nøgletal'!C15)</f>
        <v>16351887.469491776</v>
      </c>
      <c r="H47" s="14" t="s">
        <v>3</v>
      </c>
      <c r="I47" s="1"/>
    </row>
    <row r="48" spans="1:9" x14ac:dyDescent="0.25">
      <c r="A48" s="1"/>
      <c r="B48" s="128" t="s">
        <v>209</v>
      </c>
      <c r="C48" s="129"/>
      <c r="D48" s="129"/>
      <c r="E48" s="129"/>
      <c r="F48" s="130"/>
      <c r="G48" s="58">
        <f>(G47)*'Fane 13. Nøgletal'!C31</f>
        <v>327037.74938983552</v>
      </c>
      <c r="H48" s="14" t="s">
        <v>3</v>
      </c>
      <c r="I48" s="1"/>
    </row>
    <row r="49" spans="1:9" x14ac:dyDescent="0.25">
      <c r="A49" s="1"/>
      <c r="B49" s="69"/>
      <c r="C49" s="70"/>
      <c r="D49" s="70"/>
      <c r="E49" s="70"/>
      <c r="F49" s="70"/>
      <c r="G49" s="59"/>
      <c r="H49" s="19"/>
      <c r="I49" s="1"/>
    </row>
    <row r="50" spans="1:9" x14ac:dyDescent="0.25">
      <c r="A50" s="1"/>
      <c r="B50" s="1"/>
      <c r="C50" s="1"/>
      <c r="D50" s="1"/>
      <c r="E50" s="1"/>
      <c r="F50" s="1"/>
      <c r="G50" s="60"/>
      <c r="H50" s="1"/>
      <c r="I50" s="1"/>
    </row>
    <row r="51" spans="1:9" x14ac:dyDescent="0.25">
      <c r="A51" s="1"/>
      <c r="B51" s="125" t="s">
        <v>145</v>
      </c>
      <c r="C51" s="126"/>
      <c r="D51" s="126"/>
      <c r="E51" s="126"/>
      <c r="F51" s="126"/>
      <c r="G51" s="131"/>
      <c r="H51" s="127"/>
      <c r="I51" s="1"/>
    </row>
    <row r="52" spans="1:9" x14ac:dyDescent="0.25">
      <c r="A52" s="1"/>
      <c r="B52" s="128" t="s">
        <v>146</v>
      </c>
      <c r="C52" s="129"/>
      <c r="D52" s="129"/>
      <c r="E52" s="129"/>
      <c r="F52" s="130"/>
      <c r="G52" s="58">
        <f>(G47-G48)*(1+'Fane 13. Nøgletal'!C15)</f>
        <v>16595334.370137572</v>
      </c>
      <c r="H52" s="14" t="s">
        <v>3</v>
      </c>
      <c r="I52" s="1"/>
    </row>
    <row r="53" spans="1:9" x14ac:dyDescent="0.25">
      <c r="A53" s="1"/>
      <c r="B53" s="128" t="s">
        <v>147</v>
      </c>
      <c r="C53" s="129"/>
      <c r="D53" s="129"/>
      <c r="E53" s="129"/>
      <c r="F53" s="130"/>
      <c r="G53" s="58">
        <f>(G52)*'Fane 13. Nøgletal'!C31</f>
        <v>331906.68740275147</v>
      </c>
      <c r="H53" s="14" t="s">
        <v>3</v>
      </c>
      <c r="I53" s="1"/>
    </row>
    <row r="54" spans="1:9" x14ac:dyDescent="0.25">
      <c r="A54" s="1"/>
      <c r="B54" s="69"/>
      <c r="C54" s="70"/>
      <c r="D54" s="70"/>
      <c r="E54" s="70"/>
      <c r="F54" s="70"/>
      <c r="G54" s="59"/>
      <c r="H54" s="19"/>
      <c r="I54" s="1"/>
    </row>
    <row r="55" spans="1:9" x14ac:dyDescent="0.25">
      <c r="A55" s="1"/>
      <c r="B55" s="1"/>
      <c r="C55" s="1"/>
      <c r="D55" s="1"/>
      <c r="E55" s="1"/>
      <c r="F55" s="1"/>
      <c r="G55" s="60"/>
      <c r="H55" s="1"/>
      <c r="I55" s="1"/>
    </row>
    <row r="56" spans="1:9" x14ac:dyDescent="0.25">
      <c r="A56" s="1"/>
      <c r="B56" s="125" t="s">
        <v>174</v>
      </c>
      <c r="C56" s="126"/>
      <c r="D56" s="126"/>
      <c r="E56" s="126"/>
      <c r="F56" s="126"/>
      <c r="G56" s="131"/>
      <c r="H56" s="127"/>
      <c r="I56" s="1"/>
    </row>
    <row r="57" spans="1:9" x14ac:dyDescent="0.25">
      <c r="A57" s="1"/>
      <c r="B57" s="128" t="s">
        <v>175</v>
      </c>
      <c r="C57" s="129"/>
      <c r="D57" s="129"/>
      <c r="E57" s="129"/>
      <c r="F57" s="130"/>
      <c r="G57" s="58">
        <f>(G52-G53)*(1+'Fane 13. Nøgletal'!C15)</f>
        <v>16842405.708240181</v>
      </c>
      <c r="H57" s="14" t="s">
        <v>3</v>
      </c>
      <c r="I57" s="1"/>
    </row>
    <row r="58" spans="1:9" x14ac:dyDescent="0.25">
      <c r="A58" s="1"/>
      <c r="B58" s="128" t="s">
        <v>176</v>
      </c>
      <c r="C58" s="129"/>
      <c r="D58" s="129"/>
      <c r="E58" s="129"/>
      <c r="F58" s="130"/>
      <c r="G58" s="58">
        <f>(G57)*'Fane 13. Nøgletal'!C31</f>
        <v>336848.11416480364</v>
      </c>
      <c r="H58" s="14" t="s">
        <v>3</v>
      </c>
      <c r="I58" s="1"/>
    </row>
    <row r="59" spans="1:9" x14ac:dyDescent="0.25">
      <c r="A59" s="1"/>
      <c r="B59" s="69"/>
      <c r="C59" s="70"/>
      <c r="D59" s="70"/>
      <c r="E59" s="70"/>
      <c r="F59" s="70"/>
      <c r="G59" s="41"/>
      <c r="H59" s="19"/>
      <c r="I59" s="1"/>
    </row>
    <row r="60" spans="1:9" x14ac:dyDescent="0.25">
      <c r="A60" s="1"/>
      <c r="B60" s="1"/>
      <c r="C60" s="1"/>
      <c r="D60" s="1"/>
      <c r="E60" s="1"/>
      <c r="F60" s="1"/>
      <c r="G60" s="42"/>
      <c r="H60" s="1"/>
      <c r="I60" s="1"/>
    </row>
    <row r="61" spans="1:9" x14ac:dyDescent="0.25">
      <c r="A61" s="1"/>
      <c r="B61" s="1"/>
      <c r="C61" s="1"/>
      <c r="D61" s="1"/>
      <c r="E61" s="1"/>
      <c r="F61" s="1"/>
      <c r="G61" s="42"/>
      <c r="H61" s="1"/>
      <c r="I61" s="1"/>
    </row>
    <row r="62" spans="1:9" x14ac:dyDescent="0.25">
      <c r="A62" s="1"/>
      <c r="B62" s="1"/>
      <c r="C62" s="1"/>
      <c r="D62" s="1"/>
      <c r="E62" s="1"/>
      <c r="F62" s="1"/>
      <c r="G62" s="42"/>
      <c r="H62" s="1"/>
      <c r="I62" s="1"/>
    </row>
    <row r="63" spans="1:9" x14ac:dyDescent="0.25">
      <c r="A63" s="1"/>
      <c r="B63" s="1"/>
      <c r="C63" s="1"/>
      <c r="D63" s="1"/>
      <c r="E63" s="1"/>
      <c r="F63" s="1"/>
      <c r="G63" s="42"/>
      <c r="H63" s="1"/>
      <c r="I63" s="1"/>
    </row>
    <row r="64" spans="1:9" x14ac:dyDescent="0.25">
      <c r="A64" s="1"/>
      <c r="B64" s="1"/>
      <c r="C64" s="1"/>
      <c r="D64" s="1"/>
      <c r="E64" s="1"/>
      <c r="F64" s="1"/>
      <c r="G64" s="42"/>
      <c r="H64" s="1"/>
      <c r="I64" s="1"/>
    </row>
    <row r="65" spans="1:9" x14ac:dyDescent="0.25">
      <c r="A65" s="1"/>
      <c r="B65" s="1"/>
      <c r="C65" s="1"/>
      <c r="D65" s="1"/>
      <c r="E65" s="1"/>
      <c r="F65" s="1"/>
      <c r="G65" s="42"/>
      <c r="H65" s="1"/>
      <c r="I65" s="1"/>
    </row>
  </sheetData>
  <sheetProtection algorithmName="SHA-512" hashValue="YDBbSbAd5MWty9qI/Q7ID5KsiTuInE0AwFWTeWxdPc4CIvP5UNTXBVzs9LqLK7X11K3eh8SN+BV/a2nwB+ETiQ==" saltValue="yJXKxzqqAN0z5+MBBtdIiQ==" spinCount="100000" sheet="1" objects="1" scenarios="1"/>
  <mergeCells count="38">
    <mergeCell ref="B16:F16"/>
    <mergeCell ref="B18:F18"/>
    <mergeCell ref="B17:F17"/>
    <mergeCell ref="B19:F19"/>
    <mergeCell ref="B23:F23"/>
    <mergeCell ref="B15:H15"/>
    <mergeCell ref="B1:H3"/>
    <mergeCell ref="B4:H4"/>
    <mergeCell ref="B5:F5"/>
    <mergeCell ref="B6:F6"/>
    <mergeCell ref="B10:F10"/>
    <mergeCell ref="B9:H9"/>
    <mergeCell ref="B11:F11"/>
    <mergeCell ref="B12:F12"/>
    <mergeCell ref="B25:F25"/>
    <mergeCell ref="B35:F35"/>
    <mergeCell ref="B30:F30"/>
    <mergeCell ref="B31:F31"/>
    <mergeCell ref="B22:H22"/>
    <mergeCell ref="B24:F24"/>
    <mergeCell ref="B28:H28"/>
    <mergeCell ref="B29:F29"/>
    <mergeCell ref="B34:H34"/>
    <mergeCell ref="B36:F36"/>
    <mergeCell ref="B56:H56"/>
    <mergeCell ref="B57:F57"/>
    <mergeCell ref="B47:F47"/>
    <mergeCell ref="B48:F48"/>
    <mergeCell ref="B40:H40"/>
    <mergeCell ref="B41:F41"/>
    <mergeCell ref="B43:F43"/>
    <mergeCell ref="B42:F42"/>
    <mergeCell ref="B58:F58"/>
    <mergeCell ref="B51:H51"/>
    <mergeCell ref="B52:F52"/>
    <mergeCell ref="B53:F53"/>
    <mergeCell ref="B37:F37"/>
    <mergeCell ref="B46:H46"/>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dimension ref="A1:I65"/>
  <sheetViews>
    <sheetView showGridLines="0" view="pageLayout" zoomScaleNormal="120" workbookViewId="0"/>
  </sheetViews>
  <sheetFormatPr defaultColWidth="9.140625" defaultRowHeight="15" x14ac:dyDescent="0.25"/>
  <cols>
    <col min="1" max="1" width="4.140625" style="2" customWidth="1"/>
    <col min="2" max="5" width="9.140625" style="2"/>
    <col min="6" max="6" width="24.7109375" style="2" customWidth="1"/>
    <col min="7" max="7" width="10.140625" style="2" customWidth="1"/>
    <col min="8" max="8" width="2.85546875" style="2" bestFit="1" customWidth="1"/>
    <col min="9" max="9" width="4.42578125" style="2" customWidth="1"/>
    <col min="10" max="16384" width="9.140625" style="2"/>
  </cols>
  <sheetData>
    <row r="1" spans="1:9" x14ac:dyDescent="0.25">
      <c r="A1" s="1"/>
      <c r="B1" s="135" t="s">
        <v>99</v>
      </c>
      <c r="C1" s="136"/>
      <c r="D1" s="136"/>
      <c r="E1" s="136"/>
      <c r="F1" s="136"/>
      <c r="G1" s="136"/>
      <c r="H1" s="136"/>
      <c r="I1" s="1"/>
    </row>
    <row r="2" spans="1:9" ht="20.100000000000001" customHeight="1" x14ac:dyDescent="0.25">
      <c r="A2" s="1"/>
      <c r="B2" s="136"/>
      <c r="C2" s="136"/>
      <c r="D2" s="136"/>
      <c r="E2" s="136"/>
      <c r="F2" s="136"/>
      <c r="G2" s="136"/>
      <c r="H2" s="136"/>
      <c r="I2" s="1"/>
    </row>
    <row r="3" spans="1:9" ht="15" customHeight="1" x14ac:dyDescent="0.25">
      <c r="A3" s="1"/>
      <c r="B3" s="137"/>
      <c r="C3" s="137"/>
      <c r="D3" s="137"/>
      <c r="E3" s="137"/>
      <c r="F3" s="137"/>
      <c r="G3" s="137"/>
      <c r="H3" s="137"/>
      <c r="I3" s="1"/>
    </row>
    <row r="4" spans="1:9" x14ac:dyDescent="0.25">
      <c r="A4" s="1"/>
      <c r="B4" s="125" t="s">
        <v>53</v>
      </c>
      <c r="C4" s="126"/>
      <c r="D4" s="126"/>
      <c r="E4" s="126"/>
      <c r="F4" s="126"/>
      <c r="G4" s="126"/>
      <c r="H4" s="127"/>
      <c r="I4" s="1"/>
    </row>
    <row r="5" spans="1:9" x14ac:dyDescent="0.25">
      <c r="A5" s="1"/>
      <c r="B5" s="128" t="s">
        <v>56</v>
      </c>
      <c r="C5" s="129"/>
      <c r="D5" s="129"/>
      <c r="E5" s="129"/>
      <c r="F5" s="130"/>
      <c r="G5" s="58">
        <v>23818895</v>
      </c>
      <c r="H5" s="14" t="s">
        <v>3</v>
      </c>
      <c r="I5" s="1"/>
    </row>
    <row r="6" spans="1:9" x14ac:dyDescent="0.25">
      <c r="A6" s="1"/>
      <c r="B6" s="128" t="s">
        <v>54</v>
      </c>
      <c r="C6" s="129"/>
      <c r="D6" s="129"/>
      <c r="E6" s="129"/>
      <c r="F6" s="130"/>
      <c r="G6" s="58">
        <f>G5*'Fane 13. Nøgletal'!C20</f>
        <v>216751.94450000001</v>
      </c>
      <c r="H6" s="14" t="s">
        <v>3</v>
      </c>
      <c r="I6" s="1"/>
    </row>
    <row r="7" spans="1:9" x14ac:dyDescent="0.25">
      <c r="A7" s="1"/>
      <c r="B7" s="69"/>
      <c r="C7" s="70"/>
      <c r="D7" s="70"/>
      <c r="E7" s="70"/>
      <c r="F7" s="70"/>
      <c r="G7" s="61"/>
      <c r="H7" s="19"/>
      <c r="I7" s="1"/>
    </row>
    <row r="8" spans="1:9" x14ac:dyDescent="0.25">
      <c r="A8" s="1"/>
      <c r="B8" s="1"/>
      <c r="C8" s="1"/>
      <c r="D8" s="1"/>
      <c r="E8" s="1"/>
      <c r="F8" s="1"/>
      <c r="G8" s="62"/>
      <c r="H8" s="1"/>
      <c r="I8" s="1"/>
    </row>
    <row r="9" spans="1:9" x14ac:dyDescent="0.25">
      <c r="A9" s="1"/>
      <c r="B9" s="125" t="s">
        <v>57</v>
      </c>
      <c r="C9" s="126"/>
      <c r="D9" s="126"/>
      <c r="E9" s="126"/>
      <c r="F9" s="126"/>
      <c r="G9" s="131"/>
      <c r="H9" s="127"/>
      <c r="I9" s="1"/>
    </row>
    <row r="10" spans="1:9" x14ac:dyDescent="0.25">
      <c r="A10" s="1"/>
      <c r="B10" s="128" t="s">
        <v>58</v>
      </c>
      <c r="C10" s="129"/>
      <c r="D10" s="129"/>
      <c r="E10" s="129"/>
      <c r="F10" s="130"/>
      <c r="G10" s="58">
        <f>(G5-G6)*(1+'Fane 13. Nøgletal'!C9)</f>
        <v>23901890.272304848</v>
      </c>
      <c r="H10" s="14" t="s">
        <v>3</v>
      </c>
      <c r="I10" s="1"/>
    </row>
    <row r="11" spans="1:9" x14ac:dyDescent="0.25">
      <c r="A11" s="1"/>
      <c r="B11" s="132" t="s">
        <v>59</v>
      </c>
      <c r="C11" s="133"/>
      <c r="D11" s="133"/>
      <c r="E11" s="133"/>
      <c r="F11" s="134"/>
      <c r="G11" s="63">
        <v>0</v>
      </c>
      <c r="H11" s="14" t="s">
        <v>3</v>
      </c>
      <c r="I11" s="1"/>
    </row>
    <row r="12" spans="1:9" x14ac:dyDescent="0.25">
      <c r="A12" s="1"/>
      <c r="B12" s="128" t="s">
        <v>60</v>
      </c>
      <c r="C12" s="129"/>
      <c r="D12" s="129"/>
      <c r="E12" s="129"/>
      <c r="F12" s="130"/>
      <c r="G12" s="58">
        <f>G10*'Fane 13. Nøgletal'!C20+G11*'Fane 13. Nøgletal'!C21</f>
        <v>217507.20147797413</v>
      </c>
      <c r="H12" s="14" t="s">
        <v>3</v>
      </c>
      <c r="I12" s="1"/>
    </row>
    <row r="13" spans="1:9" x14ac:dyDescent="0.25">
      <c r="A13" s="1"/>
      <c r="B13" s="69"/>
      <c r="C13" s="70"/>
      <c r="D13" s="70"/>
      <c r="E13" s="70"/>
      <c r="F13" s="70"/>
      <c r="G13" s="61"/>
      <c r="H13" s="19"/>
      <c r="I13" s="1"/>
    </row>
    <row r="14" spans="1:9" x14ac:dyDescent="0.25">
      <c r="A14" s="1"/>
      <c r="B14" s="1"/>
      <c r="C14" s="1"/>
      <c r="D14" s="1"/>
      <c r="E14" s="1"/>
      <c r="F14" s="1"/>
      <c r="G14" s="62"/>
      <c r="H14" s="1"/>
      <c r="I14" s="1"/>
    </row>
    <row r="15" spans="1:9" x14ac:dyDescent="0.25">
      <c r="A15" s="1"/>
      <c r="B15" s="125" t="s">
        <v>61</v>
      </c>
      <c r="C15" s="126"/>
      <c r="D15" s="126"/>
      <c r="E15" s="126"/>
      <c r="F15" s="126"/>
      <c r="G15" s="131"/>
      <c r="H15" s="127"/>
      <c r="I15" s="1"/>
    </row>
    <row r="16" spans="1:9" x14ac:dyDescent="0.25">
      <c r="A16" s="1"/>
      <c r="B16" s="128" t="s">
        <v>62</v>
      </c>
      <c r="C16" s="129"/>
      <c r="D16" s="129"/>
      <c r="E16" s="129"/>
      <c r="F16" s="130"/>
      <c r="G16" s="58">
        <f>(G10+G11-G12)*(1+'Fane 13. Nøgletal'!C11)</f>
        <v>24084649.144723844</v>
      </c>
      <c r="H16" s="14" t="s">
        <v>3</v>
      </c>
      <c r="I16" s="1"/>
    </row>
    <row r="17" spans="1:9" x14ac:dyDescent="0.25">
      <c r="A17" s="1"/>
      <c r="B17" s="128" t="s">
        <v>109</v>
      </c>
      <c r="C17" s="129"/>
      <c r="D17" s="129"/>
      <c r="E17" s="129"/>
      <c r="F17" s="130"/>
      <c r="G17" s="58">
        <v>-41690.779563839518</v>
      </c>
      <c r="H17" s="14" t="s">
        <v>3</v>
      </c>
      <c r="I17" s="1"/>
    </row>
    <row r="18" spans="1:9" x14ac:dyDescent="0.25">
      <c r="A18" s="1"/>
      <c r="B18" s="132" t="s">
        <v>63</v>
      </c>
      <c r="C18" s="133"/>
      <c r="D18" s="133"/>
      <c r="E18" s="133"/>
      <c r="F18" s="134"/>
      <c r="G18" s="58">
        <v>68960.169655362493</v>
      </c>
      <c r="H18" s="14" t="s">
        <v>3</v>
      </c>
      <c r="I18" s="1"/>
    </row>
    <row r="19" spans="1:9" x14ac:dyDescent="0.25">
      <c r="A19" s="1"/>
      <c r="B19" s="128" t="s">
        <v>64</v>
      </c>
      <c r="C19" s="129"/>
      <c r="D19" s="129"/>
      <c r="E19" s="129"/>
      <c r="F19" s="130"/>
      <c r="G19" s="58">
        <f>(G16+G17+G18)*'Fane 13. Nøgletal'!C22</f>
        <v>209773.69125289368</v>
      </c>
      <c r="H19" s="14" t="s">
        <v>3</v>
      </c>
      <c r="I19" s="1"/>
    </row>
    <row r="20" spans="1:9" x14ac:dyDescent="0.25">
      <c r="A20" s="1"/>
      <c r="B20" s="69"/>
      <c r="C20" s="70"/>
      <c r="D20" s="70"/>
      <c r="E20" s="70"/>
      <c r="F20" s="70"/>
      <c r="G20" s="61"/>
      <c r="H20" s="19"/>
      <c r="I20" s="1"/>
    </row>
    <row r="21" spans="1:9" x14ac:dyDescent="0.25">
      <c r="A21" s="1"/>
      <c r="B21" s="1"/>
      <c r="C21" s="1"/>
      <c r="D21" s="1"/>
      <c r="E21" s="1"/>
      <c r="F21" s="1"/>
      <c r="G21" s="62"/>
      <c r="H21" s="1"/>
      <c r="I21" s="1"/>
    </row>
    <row r="22" spans="1:9" x14ac:dyDescent="0.25">
      <c r="A22" s="1"/>
      <c r="B22" s="125" t="s">
        <v>65</v>
      </c>
      <c r="C22" s="126"/>
      <c r="D22" s="126"/>
      <c r="E22" s="126"/>
      <c r="F22" s="126"/>
      <c r="G22" s="131"/>
      <c r="H22" s="127"/>
      <c r="I22" s="1"/>
    </row>
    <row r="23" spans="1:9" x14ac:dyDescent="0.25">
      <c r="A23" s="1"/>
      <c r="B23" s="128" t="s">
        <v>66</v>
      </c>
      <c r="C23" s="129"/>
      <c r="D23" s="129"/>
      <c r="E23" s="129"/>
      <c r="F23" s="130"/>
      <c r="G23" s="58">
        <f>(SUM(G16:G18)-G19)*(1+'Fane 13. Nøgletal'!C11)</f>
        <v>24306091.091418676</v>
      </c>
      <c r="H23" s="14" t="s">
        <v>3</v>
      </c>
      <c r="I23" s="1"/>
    </row>
    <row r="24" spans="1:9" x14ac:dyDescent="0.25">
      <c r="A24" s="1"/>
      <c r="B24" s="132" t="s">
        <v>67</v>
      </c>
      <c r="C24" s="133"/>
      <c r="D24" s="133"/>
      <c r="E24" s="133"/>
      <c r="F24" s="134"/>
      <c r="G24" s="58">
        <v>26178.744741930001</v>
      </c>
      <c r="H24" s="14" t="s">
        <v>3</v>
      </c>
      <c r="I24" s="1"/>
    </row>
    <row r="25" spans="1:9" x14ac:dyDescent="0.25">
      <c r="A25" s="1"/>
      <c r="B25" s="128" t="s">
        <v>68</v>
      </c>
      <c r="C25" s="129"/>
      <c r="D25" s="129"/>
      <c r="E25" s="129"/>
      <c r="F25" s="130"/>
      <c r="G25" s="58">
        <f>G23*'Fane 13. Nøgletal'!C22+G24*'Fane 13. Nøgletal'!C23</f>
        <v>212206.4688460133</v>
      </c>
      <c r="H25" s="14" t="s">
        <v>3</v>
      </c>
      <c r="I25" s="1"/>
    </row>
    <row r="26" spans="1:9" x14ac:dyDescent="0.25">
      <c r="A26" s="1"/>
      <c r="B26" s="69"/>
      <c r="C26" s="70"/>
      <c r="D26" s="70"/>
      <c r="E26" s="70"/>
      <c r="F26" s="70"/>
      <c r="G26" s="61"/>
      <c r="H26" s="19"/>
      <c r="I26" s="1"/>
    </row>
    <row r="27" spans="1:9" x14ac:dyDescent="0.25">
      <c r="A27" s="1"/>
      <c r="B27" s="1"/>
      <c r="C27" s="1"/>
      <c r="D27" s="1"/>
      <c r="E27" s="1"/>
      <c r="F27" s="1"/>
      <c r="G27" s="62"/>
      <c r="H27" s="1"/>
      <c r="I27" s="1"/>
    </row>
    <row r="28" spans="1:9" x14ac:dyDescent="0.25">
      <c r="A28" s="1"/>
      <c r="B28" s="125" t="s">
        <v>130</v>
      </c>
      <c r="C28" s="126"/>
      <c r="D28" s="126"/>
      <c r="E28" s="126"/>
      <c r="F28" s="126"/>
      <c r="G28" s="131"/>
      <c r="H28" s="127"/>
      <c r="I28" s="1"/>
    </row>
    <row r="29" spans="1:9" x14ac:dyDescent="0.25">
      <c r="A29" s="1"/>
      <c r="B29" s="128" t="s">
        <v>69</v>
      </c>
      <c r="C29" s="129"/>
      <c r="D29" s="129"/>
      <c r="E29" s="129"/>
      <c r="F29" s="130"/>
      <c r="G29" s="58">
        <f>(G23+G24-G25)*(1+'Fane 13. Nøgletal'!C13)</f>
        <v>24414328.140395835</v>
      </c>
      <c r="H29" s="14" t="s">
        <v>3</v>
      </c>
      <c r="I29" s="1"/>
    </row>
    <row r="30" spans="1:9" x14ac:dyDescent="0.25">
      <c r="A30" s="1"/>
      <c r="B30" s="128" t="s">
        <v>123</v>
      </c>
      <c r="C30" s="129"/>
      <c r="D30" s="129"/>
      <c r="E30" s="129"/>
      <c r="F30" s="130"/>
      <c r="G30" s="58">
        <v>5755.9153831200001</v>
      </c>
      <c r="H30" s="14" t="s">
        <v>3</v>
      </c>
      <c r="I30" s="1"/>
    </row>
    <row r="31" spans="1:9" x14ac:dyDescent="0.25">
      <c r="A31" s="1"/>
      <c r="B31" s="128" t="s">
        <v>131</v>
      </c>
      <c r="C31" s="129"/>
      <c r="D31" s="129"/>
      <c r="E31" s="129"/>
      <c r="F31" s="130"/>
      <c r="G31" s="58">
        <f>(G29+G30)*'Fane 13. Nøgletal'!C24</f>
        <v>671552.31153392128</v>
      </c>
      <c r="H31" s="14" t="s">
        <v>3</v>
      </c>
      <c r="I31" s="1"/>
    </row>
    <row r="32" spans="1:9" x14ac:dyDescent="0.25">
      <c r="A32" s="1"/>
      <c r="B32" s="69"/>
      <c r="C32" s="70"/>
      <c r="D32" s="70"/>
      <c r="E32" s="70"/>
      <c r="F32" s="70"/>
      <c r="G32" s="61"/>
      <c r="H32" s="19"/>
      <c r="I32" s="1"/>
    </row>
    <row r="33" spans="1:9" x14ac:dyDescent="0.25">
      <c r="A33" s="1"/>
      <c r="B33" s="1"/>
      <c r="C33" s="1"/>
      <c r="D33" s="1"/>
      <c r="E33" s="1"/>
      <c r="F33" s="1"/>
      <c r="G33" s="62"/>
      <c r="H33" s="1"/>
      <c r="I33" s="1"/>
    </row>
    <row r="34" spans="1:9" x14ac:dyDescent="0.25">
      <c r="A34" s="1"/>
      <c r="B34" s="125" t="s">
        <v>135</v>
      </c>
      <c r="C34" s="126"/>
      <c r="D34" s="126"/>
      <c r="E34" s="126"/>
      <c r="F34" s="126"/>
      <c r="G34" s="131"/>
      <c r="H34" s="127"/>
      <c r="I34" s="1"/>
    </row>
    <row r="35" spans="1:9" x14ac:dyDescent="0.25">
      <c r="A35" s="1"/>
      <c r="B35" s="128" t="s">
        <v>72</v>
      </c>
      <c r="C35" s="129"/>
      <c r="D35" s="129"/>
      <c r="E35" s="129"/>
      <c r="F35" s="130"/>
      <c r="G35" s="58">
        <f>(G29+G30-G31)*(1+'Fane 13. Nøgletal'!C13)</f>
        <v>24038263.831524823</v>
      </c>
      <c r="H35" s="14" t="s">
        <v>3</v>
      </c>
      <c r="I35" s="1"/>
    </row>
    <row r="36" spans="1:9" x14ac:dyDescent="0.25">
      <c r="A36" s="1"/>
      <c r="B36" s="128" t="s">
        <v>141</v>
      </c>
      <c r="C36" s="129"/>
      <c r="D36" s="129"/>
      <c r="E36" s="129"/>
      <c r="F36" s="130"/>
      <c r="G36" s="58">
        <f>SUM('Fane 3. Omkostninger i ØR2022'!E11)*(1+'Fane 13. Nøgletal'!C14)</f>
        <v>20892.209021950002</v>
      </c>
      <c r="H36" s="14" t="s">
        <v>3</v>
      </c>
      <c r="I36" s="1"/>
    </row>
    <row r="37" spans="1:9" x14ac:dyDescent="0.25">
      <c r="A37" s="1"/>
      <c r="B37" s="128" t="s">
        <v>136</v>
      </c>
      <c r="C37" s="129"/>
      <c r="D37" s="129"/>
      <c r="E37" s="129"/>
      <c r="F37" s="130"/>
      <c r="G37" s="58">
        <f>G35*'Fane 13. Nøgletal'!C24+G36*'Fane 13. Nøgletal'!C25</f>
        <v>661361.46006045747</v>
      </c>
      <c r="H37" s="14" t="s">
        <v>3</v>
      </c>
      <c r="I37" s="1"/>
    </row>
    <row r="38" spans="1:9" x14ac:dyDescent="0.25">
      <c r="A38" s="1"/>
      <c r="B38" s="69"/>
      <c r="C38" s="70"/>
      <c r="D38" s="70"/>
      <c r="E38" s="70"/>
      <c r="F38" s="70"/>
      <c r="G38" s="61"/>
      <c r="H38" s="19"/>
      <c r="I38" s="1"/>
    </row>
    <row r="39" spans="1:9" x14ac:dyDescent="0.25">
      <c r="A39" s="1"/>
      <c r="B39" s="1"/>
      <c r="C39" s="1"/>
      <c r="D39" s="1"/>
      <c r="E39" s="1"/>
      <c r="F39" s="1"/>
      <c r="G39" s="62"/>
      <c r="H39" s="1"/>
      <c r="I39" s="1"/>
    </row>
    <row r="40" spans="1:9" x14ac:dyDescent="0.25">
      <c r="A40" s="1"/>
      <c r="B40" s="125" t="s">
        <v>200</v>
      </c>
      <c r="C40" s="126"/>
      <c r="D40" s="126"/>
      <c r="E40" s="126"/>
      <c r="F40" s="126"/>
      <c r="G40" s="131"/>
      <c r="H40" s="127"/>
      <c r="I40" s="1"/>
    </row>
    <row r="41" spans="1:9" x14ac:dyDescent="0.25">
      <c r="A41" s="1"/>
      <c r="B41" s="128" t="s">
        <v>71</v>
      </c>
      <c r="C41" s="129"/>
      <c r="D41" s="129"/>
      <c r="E41" s="129"/>
      <c r="F41" s="130"/>
      <c r="G41" s="58">
        <f>(G35+G36-G37)*(1+'Fane 13. Nøgletal'!C15)</f>
        <v>24230756.067551628</v>
      </c>
      <c r="H41" s="14" t="s">
        <v>3</v>
      </c>
      <c r="I41" s="1"/>
    </row>
    <row r="42" spans="1:9" x14ac:dyDescent="0.25">
      <c r="A42" s="1"/>
      <c r="B42" s="128" t="s">
        <v>211</v>
      </c>
      <c r="C42" s="129"/>
      <c r="D42" s="129"/>
      <c r="E42" s="129"/>
      <c r="F42" s="130"/>
      <c r="G42" s="63">
        <f>SUM('Fane 2.1. Økonomisk ramme 2023'!C10+'Fane 2.1. Økonomisk ramme 2023'!C12+'Fane 2.1. Økonomisk ramme 2023'!C14)*(1+'Fane 13. Nøgletal'!C15)</f>
        <v>61865.279661600005</v>
      </c>
      <c r="H42" s="14" t="s">
        <v>3</v>
      </c>
      <c r="I42" s="1"/>
    </row>
    <row r="43" spans="1:9" x14ac:dyDescent="0.25">
      <c r="A43" s="1"/>
      <c r="B43" s="128" t="s">
        <v>70</v>
      </c>
      <c r="C43" s="129"/>
      <c r="D43" s="129"/>
      <c r="E43" s="129"/>
      <c r="F43" s="130"/>
      <c r="G43" s="58">
        <f>(G41+G42)*'Fane 13. Nøgletal'!C26</f>
        <v>0</v>
      </c>
      <c r="H43" s="14" t="s">
        <v>3</v>
      </c>
      <c r="I43" s="1"/>
    </row>
    <row r="44" spans="1:9" x14ac:dyDescent="0.25">
      <c r="A44" s="1"/>
      <c r="B44" s="69"/>
      <c r="C44" s="70"/>
      <c r="D44" s="70"/>
      <c r="E44" s="70"/>
      <c r="F44" s="70"/>
      <c r="G44" s="61"/>
      <c r="H44" s="19"/>
      <c r="I44" s="1"/>
    </row>
    <row r="45" spans="1:9" ht="12" customHeight="1" x14ac:dyDescent="0.25">
      <c r="A45" s="1"/>
      <c r="B45" s="1"/>
      <c r="C45" s="1"/>
      <c r="D45" s="1"/>
      <c r="E45" s="1"/>
      <c r="F45" s="1"/>
      <c r="G45" s="62"/>
      <c r="H45" s="1"/>
      <c r="I45" s="1"/>
    </row>
    <row r="46" spans="1:9" x14ac:dyDescent="0.25">
      <c r="A46" s="1"/>
      <c r="B46" s="125" t="s">
        <v>201</v>
      </c>
      <c r="C46" s="126"/>
      <c r="D46" s="126"/>
      <c r="E46" s="126"/>
      <c r="F46" s="126"/>
      <c r="G46" s="131"/>
      <c r="H46" s="127"/>
      <c r="I46" s="1"/>
    </row>
    <row r="47" spans="1:9" x14ac:dyDescent="0.25">
      <c r="A47" s="1"/>
      <c r="B47" s="128" t="s">
        <v>124</v>
      </c>
      <c r="C47" s="129"/>
      <c r="D47" s="129"/>
      <c r="E47" s="129"/>
      <c r="F47" s="130"/>
      <c r="G47" s="58">
        <f>(G41+G42-G43)*(1+'Fane 13. Nøgletal'!C15)</f>
        <v>25157438.667174019</v>
      </c>
      <c r="H47" s="14" t="s">
        <v>3</v>
      </c>
      <c r="I47" s="1"/>
    </row>
    <row r="48" spans="1:9" x14ac:dyDescent="0.25">
      <c r="A48" s="1"/>
      <c r="B48" s="128" t="s">
        <v>125</v>
      </c>
      <c r="C48" s="129"/>
      <c r="D48" s="129"/>
      <c r="E48" s="129"/>
      <c r="F48" s="130"/>
      <c r="G48" s="58">
        <f>(G47)*'Fane 13. Nøgletal'!C26</f>
        <v>0</v>
      </c>
      <c r="H48" s="14" t="s">
        <v>3</v>
      </c>
      <c r="I48" s="1"/>
    </row>
    <row r="49" spans="1:9" x14ac:dyDescent="0.25">
      <c r="A49" s="1"/>
      <c r="B49" s="69"/>
      <c r="C49" s="70"/>
      <c r="D49" s="70"/>
      <c r="E49" s="70"/>
      <c r="F49" s="70"/>
      <c r="G49" s="61"/>
      <c r="H49" s="19"/>
      <c r="I49" s="1"/>
    </row>
    <row r="50" spans="1:9" x14ac:dyDescent="0.25">
      <c r="A50" s="1"/>
      <c r="B50" s="1"/>
      <c r="C50" s="1"/>
      <c r="D50" s="1"/>
      <c r="E50" s="1"/>
      <c r="F50" s="1"/>
      <c r="G50" s="62"/>
      <c r="H50" s="1"/>
      <c r="I50" s="1"/>
    </row>
    <row r="51" spans="1:9" x14ac:dyDescent="0.25">
      <c r="A51" s="1"/>
      <c r="B51" s="125" t="s">
        <v>142</v>
      </c>
      <c r="C51" s="126"/>
      <c r="D51" s="126"/>
      <c r="E51" s="126"/>
      <c r="F51" s="126"/>
      <c r="G51" s="131"/>
      <c r="H51" s="127"/>
      <c r="I51" s="1"/>
    </row>
    <row r="52" spans="1:9" x14ac:dyDescent="0.25">
      <c r="A52" s="1"/>
      <c r="B52" s="128" t="s">
        <v>143</v>
      </c>
      <c r="C52" s="129"/>
      <c r="D52" s="129"/>
      <c r="E52" s="129"/>
      <c r="F52" s="130"/>
      <c r="G52" s="58">
        <f>(G47-G48)*(1+'Fane 13. Nøgletal'!C15)</f>
        <v>26053043.483725417</v>
      </c>
      <c r="H52" s="14" t="s">
        <v>3</v>
      </c>
      <c r="I52" s="1"/>
    </row>
    <row r="53" spans="1:9" x14ac:dyDescent="0.25">
      <c r="A53" s="1"/>
      <c r="B53" s="128" t="s">
        <v>144</v>
      </c>
      <c r="C53" s="129"/>
      <c r="D53" s="129"/>
      <c r="E53" s="129"/>
      <c r="F53" s="130"/>
      <c r="G53" s="58">
        <f>(G52)*'Fane 13. Nøgletal'!C26</f>
        <v>0</v>
      </c>
      <c r="H53" s="14" t="s">
        <v>3</v>
      </c>
      <c r="I53" s="1"/>
    </row>
    <row r="54" spans="1:9" x14ac:dyDescent="0.25">
      <c r="A54" s="1"/>
      <c r="B54" s="69"/>
      <c r="C54" s="70"/>
      <c r="D54" s="70"/>
      <c r="E54" s="70"/>
      <c r="F54" s="70"/>
      <c r="G54" s="61"/>
      <c r="H54" s="19"/>
      <c r="I54" s="1"/>
    </row>
    <row r="55" spans="1:9" x14ac:dyDescent="0.25">
      <c r="A55" s="1"/>
      <c r="B55" s="1"/>
      <c r="C55" s="1"/>
      <c r="D55" s="1"/>
      <c r="E55" s="1"/>
      <c r="F55" s="1"/>
      <c r="G55" s="62"/>
      <c r="H55" s="1"/>
      <c r="I55" s="1"/>
    </row>
    <row r="56" spans="1:9" x14ac:dyDescent="0.25">
      <c r="A56" s="1"/>
      <c r="B56" s="125" t="s">
        <v>177</v>
      </c>
      <c r="C56" s="126"/>
      <c r="D56" s="126"/>
      <c r="E56" s="126"/>
      <c r="F56" s="126"/>
      <c r="G56" s="131"/>
      <c r="H56" s="127"/>
      <c r="I56" s="1"/>
    </row>
    <row r="57" spans="1:9" x14ac:dyDescent="0.25">
      <c r="A57" s="1"/>
      <c r="B57" s="128" t="s">
        <v>178</v>
      </c>
      <c r="C57" s="129"/>
      <c r="D57" s="129"/>
      <c r="E57" s="129"/>
      <c r="F57" s="130"/>
      <c r="G57" s="58">
        <f>(G52-G53)*(1+'Fane 13. Nøgletal'!C15)</f>
        <v>26980531.831746046</v>
      </c>
      <c r="H57" s="14" t="s">
        <v>3</v>
      </c>
      <c r="I57" s="1"/>
    </row>
    <row r="58" spans="1:9" x14ac:dyDescent="0.25">
      <c r="A58" s="1"/>
      <c r="B58" s="128" t="s">
        <v>179</v>
      </c>
      <c r="C58" s="129"/>
      <c r="D58" s="129"/>
      <c r="E58" s="129"/>
      <c r="F58" s="130"/>
      <c r="G58" s="58">
        <f>(G57)*'Fane 13. Nøgletal'!C26</f>
        <v>0</v>
      </c>
      <c r="H58" s="14" t="s">
        <v>3</v>
      </c>
      <c r="I58" s="1"/>
    </row>
    <row r="59" spans="1:9" x14ac:dyDescent="0.25">
      <c r="A59" s="1"/>
      <c r="B59" s="69"/>
      <c r="C59" s="70"/>
      <c r="D59" s="70"/>
      <c r="E59" s="70"/>
      <c r="F59" s="70"/>
      <c r="G59" s="70"/>
      <c r="H59" s="19"/>
      <c r="I59" s="1"/>
    </row>
    <row r="60" spans="1:9" x14ac:dyDescent="0.25">
      <c r="A60" s="1"/>
      <c r="B60" s="1"/>
      <c r="C60" s="1"/>
      <c r="D60" s="1"/>
      <c r="E60" s="1"/>
      <c r="F60" s="1"/>
      <c r="G60" s="1"/>
      <c r="H60" s="1"/>
      <c r="I60" s="1"/>
    </row>
    <row r="61" spans="1:9" x14ac:dyDescent="0.25">
      <c r="A61" s="1"/>
      <c r="B61" s="1"/>
      <c r="C61" s="1"/>
      <c r="D61" s="1"/>
      <c r="E61" s="1"/>
      <c r="F61" s="1"/>
      <c r="G61" s="1"/>
      <c r="H61" s="1"/>
      <c r="I61" s="1"/>
    </row>
    <row r="62" spans="1:9" x14ac:dyDescent="0.25">
      <c r="A62" s="1"/>
      <c r="B62" s="1"/>
      <c r="C62" s="1"/>
      <c r="D62" s="1"/>
      <c r="E62" s="1"/>
      <c r="F62" s="1"/>
      <c r="G62" s="1"/>
      <c r="H62" s="1"/>
      <c r="I62" s="1"/>
    </row>
    <row r="63" spans="1:9" x14ac:dyDescent="0.25">
      <c r="A63" s="1"/>
      <c r="B63" s="1"/>
      <c r="C63" s="1"/>
      <c r="D63" s="1"/>
      <c r="E63" s="1"/>
      <c r="F63" s="1"/>
      <c r="G63" s="1"/>
      <c r="H63" s="1"/>
      <c r="I63" s="1"/>
    </row>
    <row r="64" spans="1:9" x14ac:dyDescent="0.25">
      <c r="A64" s="1"/>
      <c r="B64" s="1"/>
      <c r="C64" s="1"/>
      <c r="D64" s="1"/>
      <c r="E64" s="1"/>
      <c r="F64" s="1"/>
      <c r="G64" s="1"/>
      <c r="H64" s="1"/>
      <c r="I64" s="1"/>
    </row>
    <row r="65" spans="1:9" x14ac:dyDescent="0.25">
      <c r="A65" s="1"/>
      <c r="B65" s="1"/>
      <c r="C65" s="1"/>
      <c r="D65" s="1"/>
      <c r="E65" s="1"/>
      <c r="F65" s="1"/>
      <c r="G65" s="1"/>
      <c r="H65" s="1"/>
      <c r="I65" s="1"/>
    </row>
  </sheetData>
  <sheetProtection algorithmName="SHA-512" hashValue="6SIch9H6azQ27md97ObDUef30VAe8yVFQf2Xksvk7DQgGm9fNM96eChm2Y/fqHPbwyZo+UyROQFtgSPW2LHtAw==" saltValue="1IrglbWFOiEYT9y50wMVVA==" spinCount="100000" sheet="1" objects="1" scenarios="1"/>
  <mergeCells count="38">
    <mergeCell ref="B47:F47"/>
    <mergeCell ref="B48:F48"/>
    <mergeCell ref="B36:F36"/>
    <mergeCell ref="B42:F42"/>
    <mergeCell ref="B41:F41"/>
    <mergeCell ref="B40:H40"/>
    <mergeCell ref="B37:F37"/>
    <mergeCell ref="B46:H46"/>
    <mergeCell ref="B28:H28"/>
    <mergeCell ref="B29:F29"/>
    <mergeCell ref="B31:F31"/>
    <mergeCell ref="B34:H34"/>
    <mergeCell ref="B12:F12"/>
    <mergeCell ref="B15:H15"/>
    <mergeCell ref="B16:F16"/>
    <mergeCell ref="B18:F18"/>
    <mergeCell ref="B30:F30"/>
    <mergeCell ref="B17:F17"/>
    <mergeCell ref="B22:H22"/>
    <mergeCell ref="B23:F23"/>
    <mergeCell ref="B24:F24"/>
    <mergeCell ref="B25:F25"/>
    <mergeCell ref="B56:H56"/>
    <mergeCell ref="B57:F57"/>
    <mergeCell ref="B58:F58"/>
    <mergeCell ref="B1:H3"/>
    <mergeCell ref="B51:H51"/>
    <mergeCell ref="B52:F52"/>
    <mergeCell ref="B53:F53"/>
    <mergeCell ref="B35:F35"/>
    <mergeCell ref="B43:F43"/>
    <mergeCell ref="B19:F19"/>
    <mergeCell ref="B4:H4"/>
    <mergeCell ref="B5:F5"/>
    <mergeCell ref="B6:F6"/>
    <mergeCell ref="B9:H9"/>
    <mergeCell ref="B10:F10"/>
    <mergeCell ref="B11:F11"/>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dimension ref="A1:H47"/>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140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102" t="s">
        <v>82</v>
      </c>
      <c r="C3" s="102"/>
      <c r="D3" s="102"/>
      <c r="E3" s="102"/>
      <c r="F3" s="102"/>
      <c r="G3" s="102"/>
      <c r="H3" s="1"/>
    </row>
    <row r="4" spans="1:8" ht="15" customHeight="1" x14ac:dyDescent="0.25">
      <c r="A4" s="1"/>
      <c r="B4" s="102"/>
      <c r="C4" s="102"/>
      <c r="D4" s="102"/>
      <c r="E4" s="102"/>
      <c r="F4" s="102"/>
      <c r="G4" s="102"/>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25" t="s">
        <v>9</v>
      </c>
      <c r="C8" s="126"/>
      <c r="D8" s="126"/>
      <c r="E8" s="126"/>
      <c r="F8" s="126"/>
      <c r="G8" s="127"/>
      <c r="H8" s="1"/>
    </row>
    <row r="9" spans="1:8" x14ac:dyDescent="0.25">
      <c r="A9" s="1"/>
      <c r="B9" s="78" t="s">
        <v>180</v>
      </c>
      <c r="C9" s="79"/>
      <c r="D9" s="79"/>
      <c r="E9" s="79"/>
      <c r="F9" s="80"/>
      <c r="G9" s="28">
        <v>1.5784807613508721E-2</v>
      </c>
      <c r="H9" s="1"/>
    </row>
    <row r="10" spans="1:8" x14ac:dyDescent="0.25">
      <c r="A10" s="1"/>
      <c r="B10" s="69"/>
      <c r="C10" s="70"/>
      <c r="D10" s="70"/>
      <c r="E10" s="70"/>
      <c r="F10" s="70"/>
      <c r="G10" s="19"/>
      <c r="H10" s="1"/>
    </row>
    <row r="11" spans="1:8" x14ac:dyDescent="0.25">
      <c r="A11" s="1"/>
      <c r="B11" s="1"/>
      <c r="C11" s="1"/>
      <c r="D11" s="1"/>
      <c r="E11" s="1"/>
      <c r="F11" s="1"/>
      <c r="G11" s="1"/>
      <c r="H11" s="1"/>
    </row>
    <row r="12" spans="1:8" ht="31.5" customHeight="1" x14ac:dyDescent="0.25">
      <c r="A12" s="1"/>
      <c r="B12" s="138" t="s">
        <v>202</v>
      </c>
      <c r="C12" s="138"/>
      <c r="D12" s="138"/>
      <c r="E12" s="138"/>
      <c r="F12" s="138"/>
      <c r="G12" s="138"/>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t="s">
        <v>210</v>
      </c>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sheetData>
  <sheetProtection algorithmName="SHA-512" hashValue="lz5v3WboQb8f5u74fyyWmbxFb3eGaxnK8nPfzMyJKA6MZEpvByOP2LIq6TPDDZFzoASW7pJPwyN5KDwrBxX/hA==" saltValue="kiOTTa5v5kKajzXJKQBWOw==" spinCount="100000" sheet="1" objects="1" scenarios="1"/>
  <mergeCells count="3">
    <mergeCell ref="B12:G12"/>
    <mergeCell ref="B3:G4"/>
    <mergeCell ref="B8:G8"/>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18</vt:i4>
      </vt:variant>
    </vt:vector>
  </HeadingPairs>
  <TitlesOfParts>
    <vt:vector size="18" baseType="lpstr">
      <vt:lpstr>1. Forside</vt:lpstr>
      <vt:lpstr>Fane 2.1. Økonomisk ramme 2023</vt:lpstr>
      <vt:lpstr>Fane 2.2. Økonomisk ramme 2024</vt:lpstr>
      <vt:lpstr>Fane 2.3. Økonomisk ramme 2025</vt:lpstr>
      <vt:lpstr>Fane 2.4. Økonomisk ramme 2026</vt:lpstr>
      <vt:lpstr>Fane 3. Omkostninger i ØR2022</vt:lpstr>
      <vt:lpstr>Fane 4.1. Gen. krav - drift</vt:lpstr>
      <vt:lpstr>Fane 4.2. Gen. krav - anlæg</vt:lpstr>
      <vt:lpstr>Fane 5. Individuelt eff. krav</vt:lpstr>
      <vt:lpstr>Fane 6. Ikke-påvirkelige omk.</vt:lpstr>
      <vt:lpstr>Fane 7. Kontrol af ØR2021</vt:lpstr>
      <vt:lpstr>Fane 8. Skattesagen</vt:lpstr>
      <vt:lpstr>Fane 9. Anlægsprojekter (§ 19) </vt:lpstr>
      <vt:lpstr>Fane 10.1. Varige tillæg</vt:lpstr>
      <vt:lpstr>Fane 10.2. Engangstillæg</vt:lpstr>
      <vt:lpstr>Fane 11. Tilknyttet virksomhed</vt:lpstr>
      <vt:lpstr>Fane 12. Bortfald</vt:lpstr>
      <vt:lpstr>Fane 13. Nøgletal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Wouter Cuyvers</cp:lastModifiedBy>
  <cp:lastPrinted>2016-06-14T12:57:30Z</cp:lastPrinted>
  <dcterms:created xsi:type="dcterms:W3CDTF">2016-06-02T08:51:18Z</dcterms:created>
  <dcterms:modified xsi:type="dcterms:W3CDTF">2022-12-01T09:32:26Z</dcterms:modified>
</cp:coreProperties>
</file>