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orø Spildevand AS (S088)\ØR2023\"/>
    </mc:Choice>
  </mc:AlternateContent>
  <bookViews>
    <workbookView xWindow="3120" yWindow="990" windowWidth="12750" windowHeight="4620" tabRatio="872" firstSheet="13" activeTab="19"/>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28" i="32" s="1"/>
  <c r="E32" i="32" l="1"/>
  <c r="E34" i="32" s="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<sst xmlns="http://schemas.openxmlformats.org/spreadsheetml/2006/main" count="607" uniqueCount="289">
  <si>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</si>
  <si>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</si>
  <si>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</si>
  <si>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</si>
  <si>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</si>
  <si>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</si>
  <si>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</si>
  <si>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</si>
  <si>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</si>
  <si>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</si>
  <si>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</si>
  <si>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</si>
  <si>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</si>
  <si>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</si>
  <si>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</si>
  <si>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</si>
  <si>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</si>
  <si>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</si>
  <si>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</si>
  <si>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</si>
  <si>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</si>
  <si>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</si>
  <si>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</si>
  <si>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</si>
  <si>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</si>
  <si>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</si>
  <si>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</si>
  <si>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</si>
  <si>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</si>
  <si>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</si>
  <si>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</si>
  <si>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</si>
  <si>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</si>
  <si>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</si>
  <si>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</si>
  <si>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</si>
  <si>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</si>
  <si>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</si>
  <si>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</si>
  <si>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</si>
  <si>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</si>
  <si>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</si>
  <si>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</si>
  <si>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</si>
  <si>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</si>
  <si>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</si>
  <si>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</si>
  <si>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</si>
  <si>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</si>
  <si>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</si>
  <si>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</si>
  <si>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</si>
  <si>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</si>
  <si>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</si>
  <si>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</si>
  <si>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</si>
  <si>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</si>
  <si>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</si>
  <si>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</si>
  <si>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</si>
  <si>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</si>
  <si>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</si>
  <si>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</si>
  <si>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</si>
  <si>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</si>
  <si>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</si>
  <si>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</si>
  <si>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</si>
  <si>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</si>
  <si>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</si>
  <si>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</si>
  <si>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</si>
  <si>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</si>
  <si>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</si>
  <si>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</si>
  <si>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</si>
  <si>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</si>
  <si>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</si>
  <si>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</si>
  <si>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</si>
  <si>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</si>
  <si>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</si>
  <si>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</si>
  <si>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</si>
  <si>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</si>
  <si>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</si>
  <si>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</si>
  <si>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</si>
  <si>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</si>
  <si>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</si>
  <si>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</si>
  <si>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</si>
  <si>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</si>
  <si>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</si>
  <si>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</si>
  <si>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</si>
  <si>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</si>
  <si>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</si>
  <si>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</si>
  <si>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</si>
  <si>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</si>
  <si>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</si>
  <si>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</si>
  <si>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</si>
  <si>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</si>
  <si>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</si>
  <si>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</si>
  <si>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</si>
  <si>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</si>
  <si>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</si>
  <si>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</si>
  <si>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</si>
  <si>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</si>
  <si>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</si>
  <si>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</si>
  <si>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</si>
  <si>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</si>
  <si>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</si>
  <si>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</si>
  <si>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</si>
  <si>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</si>
  <si>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</si>
  <si>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</si>
  <si>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</si>
  <si>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</si>
  <si>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</si>
  <si>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</si>
  <si>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</si>
  <si>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</si>
  <si>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</si>
  <si>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</si>
  <si>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</si>
  <si>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</si>
  <si>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</si>
  <si>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</si>
  <si>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</si>
  <si>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</si>
  <si>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</si>
  <si>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</si>
  <si>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</si>
  <si>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</si>
  <si>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</si>
  <si>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</si>
  <si>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</si>
  <si>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</si>
  <si>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</si>
  <si>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</si>
  <si>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</si>
  <si>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</si>
  <si>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</si>
  <si>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</si>
  <si>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</si>
  <si>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</si>
  <si>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</si>
  <si>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</si>
  <si>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</si>
  <si>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</si>
  <si>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</si>
  <si>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</si>
  <si>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</si>
  <si>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</si>
  <si>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</si>
  <si>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</si>
  <si>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</si>
  <si>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</si>
  <si>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</si>
  <si>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</si>
  <si>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</si>
  <si>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</si>
  <si>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</si>
  <si>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</si>
  <si>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</si>
  <si>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</si>
  <si>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</si>
  <si>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</si>
  <si>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</si>
  <si>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</si>
  <si>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</si>
  <si>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</si>
  <si>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</si>
  <si>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</si>
  <si>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</si>
  <si>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</si>
  <si>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</si>
  <si>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</si>
  <si>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</si>
  <si>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</si>
  <si>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</si>
  <si>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</si>
  <si>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</si>
  <si>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</si>
  <si>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</si>
  <si>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</si>
  <si>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</si>
  <si>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</si>
  <si>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</si>
  <si>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</si>
  <si>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</si>
  <si>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</si>
  <si>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</si>
  <si>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</si>
  <si>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</si>
  <si>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</si>
  <si>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</si>
  <si>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</si>
  <si>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</si>
  <si>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</si>
  <si>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</si>
  <si>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</si>
  <si>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</si>
  <si>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</si>
  <si>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</si>
  <si>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</si>
  <si>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</si>
  <si>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</si>
  <si>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</si>
  <si>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</si>
  <si>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</si>
  <si>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</si>
  <si>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</si>
  <si>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</si>
  <si>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</si>
  <si>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</si>
  <si>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</si>
  <si>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</si>
  <si>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</si>
  <si>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</si>
  <si>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</si>
  <si>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</si>
  <si>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</si>
  <si>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</si>
  <si>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</si>
  <si>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</si>
  <si>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</si>
  <si>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</si>
  <si>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</si>
  <si>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</si>
  <si>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</si>
  <si>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</si>
  <si>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</si>
  <si>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</si>
  <si>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</si>
  <si>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</si>
  <si>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</si>
  <si>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</si>
  <si>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</si>
  <si>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</si>
  <si>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</si>
  <si>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</si>
  <si>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</si>
  <si>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</si>
  <si>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</si>
  <si>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</si>
  <si>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</si>
  <si>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</si>
  <si>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</si>
  <si>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</si>
  <si>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</si>
  <si>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</si>
  <si>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</si>
  <si>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</si>
  <si>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</si>
  <si>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</si>
  <si>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</si>
  <si>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</si>
  <si>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</si>
  <si>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</si>
  <si>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</si>
  <si>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</si>
  <si>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</si>
  <si>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</si>
  <si>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</si>
  <si>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</si>
  <si>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</si>
  <si>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</si>
  <si>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</si>
  <si>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</si>
  <si>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</si>
  <si>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</si>
  <si>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</si>
  <si>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</si>
  <si>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</si>
  <si>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</si>
  <si>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</si>
  <si>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Udvidelse af forsyningsområdet</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</si>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</sst>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view="pageLayout" topLeftCell="A25" zoomScale="85" zoomScaleNormal="100" zoomScalePageLayoutView="85" workbookViewId="0">
      <selection activeCell="D31" sqref="D31:G31"/>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4" t="s">
        <v>4</v>
      </c>
      <c r="E6" s="114"/>
      <c r="F6" s="114"/>
      <c r="G6" s="114"/>
      <c r="H6" s="3"/>
      <c r="I6" s="1"/>
    </row>
    <row r="7" spans="1:9" ht="15" customHeight="1" x14ac:dyDescent="0.25">
      <c r="A7" s="1"/>
      <c r="B7" s="1"/>
      <c r="C7" s="3"/>
      <c r="D7" s="114"/>
      <c r="E7" s="114"/>
      <c r="F7" s="114"/>
      <c r="G7" s="114"/>
      <c r="H7" s="3"/>
      <c r="I7" s="1"/>
    </row>
    <row r="8" spans="1:9" ht="15.75" x14ac:dyDescent="0.25">
      <c r="A8" s="1"/>
      <c r="B8" s="1"/>
      <c r="C8" s="4"/>
      <c r="D8" s="119" t="s">
        <v>225</v>
      </c>
      <c r="E8" s="119"/>
      <c r="F8" s="119"/>
      <c r="G8" s="11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8" t="s">
        <v>5</v>
      </c>
      <c r="E11" s="118"/>
      <c r="F11" s="118"/>
      <c r="G11" s="118"/>
      <c r="H11" s="5"/>
      <c r="I11" s="1"/>
    </row>
    <row r="12" spans="1:9" x14ac:dyDescent="0.25">
      <c r="A12" s="1"/>
      <c r="B12" s="1"/>
      <c r="C12" s="1"/>
      <c r="D12" s="1"/>
      <c r="E12" s="1"/>
      <c r="F12" s="1"/>
      <c r="G12" s="1"/>
      <c r="H12" s="5"/>
      <c r="I12" s="1"/>
    </row>
    <row r="13" spans="1:9" x14ac:dyDescent="0.25">
      <c r="A13" s="1"/>
      <c r="B13" s="1"/>
      <c r="C13" s="6" t="s">
        <v>6</v>
      </c>
      <c r="D13" s="120" t="s">
        <v>169</v>
      </c>
      <c r="E13" s="121"/>
      <c r="F13" s="121"/>
      <c r="G13" s="122"/>
      <c r="H13" s="5"/>
      <c r="I13" s="1"/>
    </row>
    <row r="14" spans="1:9" x14ac:dyDescent="0.25">
      <c r="A14" s="1"/>
      <c r="B14" s="1"/>
      <c r="C14" s="6" t="s">
        <v>16</v>
      </c>
      <c r="D14" s="111" t="s">
        <v>235</v>
      </c>
      <c r="E14" s="112"/>
      <c r="F14" s="112"/>
      <c r="G14" s="113"/>
      <c r="H14" s="5"/>
      <c r="I14" s="1"/>
    </row>
    <row r="15" spans="1:9" x14ac:dyDescent="0.25">
      <c r="A15" s="1"/>
      <c r="B15" s="1"/>
      <c r="C15" s="6" t="s">
        <v>34</v>
      </c>
      <c r="D15" s="111" t="s">
        <v>170</v>
      </c>
      <c r="E15" s="112"/>
      <c r="F15" s="112"/>
      <c r="G15" s="113"/>
      <c r="H15" s="5"/>
      <c r="I15" s="1"/>
    </row>
    <row r="16" spans="1:9" x14ac:dyDescent="0.25">
      <c r="A16" s="1"/>
      <c r="B16" s="1"/>
      <c r="C16" s="6" t="s">
        <v>35</v>
      </c>
      <c r="D16" s="111" t="s">
        <v>182</v>
      </c>
      <c r="E16" s="112"/>
      <c r="F16" s="112"/>
      <c r="G16" s="113"/>
      <c r="H16" s="5"/>
      <c r="I16" s="1"/>
    </row>
    <row r="17" spans="1:9" x14ac:dyDescent="0.25">
      <c r="A17" s="1"/>
      <c r="B17" s="1"/>
      <c r="C17" s="6" t="s">
        <v>119</v>
      </c>
      <c r="D17" s="111" t="s">
        <v>183</v>
      </c>
      <c r="E17" s="112"/>
      <c r="F17" s="112"/>
      <c r="G17" s="113"/>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15" t="s">
        <v>12</v>
      </c>
      <c r="E21" s="116"/>
      <c r="F21" s="116"/>
      <c r="G21" s="117"/>
      <c r="H21" s="5"/>
      <c r="I21" s="1"/>
    </row>
    <row r="22" spans="1:9" x14ac:dyDescent="0.25">
      <c r="A22" s="1"/>
      <c r="B22" s="1"/>
      <c r="C22" s="6" t="s">
        <v>83</v>
      </c>
      <c r="D22" s="102" t="s">
        <v>184</v>
      </c>
      <c r="E22" s="103"/>
      <c r="F22" s="103"/>
      <c r="G22" s="104"/>
      <c r="H22" s="5"/>
      <c r="I22" s="1"/>
    </row>
    <row r="23" spans="1:9" x14ac:dyDescent="0.25">
      <c r="A23" s="1"/>
      <c r="B23" s="1"/>
      <c r="C23" s="6" t="s">
        <v>8</v>
      </c>
      <c r="D23" s="102" t="s">
        <v>253</v>
      </c>
      <c r="E23" s="103"/>
      <c r="F23" s="103"/>
      <c r="G23" s="104"/>
      <c r="H23" s="5"/>
      <c r="I23" s="1"/>
    </row>
    <row r="24" spans="1:9" x14ac:dyDescent="0.25">
      <c r="A24" s="1"/>
      <c r="B24" s="1"/>
      <c r="C24" s="6" t="s">
        <v>9</v>
      </c>
      <c r="D24" s="102" t="s">
        <v>185</v>
      </c>
      <c r="E24" s="103"/>
      <c r="F24" s="103"/>
      <c r="G24" s="104"/>
      <c r="H24" s="5"/>
      <c r="I24" s="1"/>
    </row>
    <row r="25" spans="1:9" x14ac:dyDescent="0.25">
      <c r="A25" s="1"/>
      <c r="B25" s="1"/>
      <c r="C25" s="6" t="s">
        <v>246</v>
      </c>
      <c r="D25" s="102" t="s">
        <v>237</v>
      </c>
      <c r="E25" s="103"/>
      <c r="F25" s="103"/>
      <c r="G25" s="104"/>
      <c r="H25" s="1"/>
      <c r="I25" s="1"/>
    </row>
    <row r="26" spans="1:9" x14ac:dyDescent="0.25">
      <c r="A26" s="1"/>
      <c r="B26" s="1"/>
      <c r="C26" s="6" t="s">
        <v>247</v>
      </c>
      <c r="D26" s="102" t="s">
        <v>84</v>
      </c>
      <c r="E26" s="103"/>
      <c r="F26" s="103"/>
      <c r="G26" s="104"/>
      <c r="H26" s="1"/>
      <c r="I26" s="1"/>
    </row>
    <row r="27" spans="1:9" x14ac:dyDescent="0.25">
      <c r="A27" s="1"/>
      <c r="B27" s="1"/>
      <c r="C27" s="6" t="s">
        <v>248</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249</v>
      </c>
      <c r="D31" s="105" t="s">
        <v>105</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M/GWdOU2MpJoKeS/juAg1gVOrawaX3XK+MKha4O+42HnjbvjVKEmLWBj5S6XbuTqnYmD+7SN9quYa6hRatUMwg==" saltValue="/UmOiCvSJHTuann1N7Wxf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topLeftCell="A9"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199</v>
      </c>
      <c r="C8" s="136"/>
      <c r="D8" s="137"/>
      <c r="E8" s="1"/>
      <c r="F8" s="1"/>
    </row>
    <row r="9" spans="1:6" ht="15" customHeight="1" x14ac:dyDescent="0.25">
      <c r="A9" s="1"/>
      <c r="B9" s="26" t="s">
        <v>32</v>
      </c>
      <c r="C9" s="58" t="s">
        <v>240</v>
      </c>
      <c r="D9" s="11"/>
      <c r="E9" s="1"/>
      <c r="F9" s="1"/>
    </row>
    <row r="10" spans="1:6" x14ac:dyDescent="0.25">
      <c r="A10" s="1"/>
      <c r="B10" s="94" t="s">
        <v>265</v>
      </c>
      <c r="C10" s="9">
        <v>456445</v>
      </c>
      <c r="D10" s="14" t="s">
        <v>3</v>
      </c>
      <c r="E10" s="1"/>
      <c r="F10" s="1"/>
    </row>
    <row r="11" spans="1:6" x14ac:dyDescent="0.25">
      <c r="A11" s="1"/>
      <c r="B11" s="94" t="s">
        <v>266</v>
      </c>
      <c r="C11" s="9">
        <v>78822</v>
      </c>
      <c r="D11" s="14" t="s">
        <v>3</v>
      </c>
      <c r="E11" s="1"/>
      <c r="F11" s="1"/>
    </row>
    <row r="12" spans="1:6" x14ac:dyDescent="0.25">
      <c r="A12" s="1"/>
      <c r="B12" s="94" t="s">
        <v>267</v>
      </c>
      <c r="C12" s="9">
        <v>71748</v>
      </c>
      <c r="D12" s="14" t="s">
        <v>3</v>
      </c>
      <c r="E12" s="1"/>
      <c r="F12" s="1"/>
    </row>
    <row r="13" spans="1:6" x14ac:dyDescent="0.25">
      <c r="A13" s="1"/>
      <c r="B13" s="94" t="s">
        <v>268</v>
      </c>
      <c r="C13" s="9">
        <v>133711</v>
      </c>
      <c r="D13" s="14" t="s">
        <v>3</v>
      </c>
      <c r="E13" s="1"/>
      <c r="F13" s="1"/>
    </row>
    <row r="14" spans="1:6" x14ac:dyDescent="0.25">
      <c r="A14" s="1"/>
      <c r="B14" s="32" t="s">
        <v>200</v>
      </c>
      <c r="C14" s="12">
        <f>SUM(C10:C13)</f>
        <v>740726</v>
      </c>
      <c r="D14" s="13" t="s">
        <v>3</v>
      </c>
      <c r="E14" s="1"/>
      <c r="F14" s="1"/>
    </row>
    <row r="15" spans="1:6" x14ac:dyDescent="0.25">
      <c r="A15" s="1"/>
      <c r="B15" s="32" t="s">
        <v>201</v>
      </c>
      <c r="C15" s="12">
        <f>C14*(1+'Fane 15. Nøgletal'!C15)^2</f>
        <v>794404.45770336012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5" t="s">
        <v>117</v>
      </c>
      <c r="C18" s="136"/>
      <c r="D18" s="137"/>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5"/>
      <c r="C23" s="136"/>
      <c r="D23" s="137"/>
      <c r="E23" s="1"/>
      <c r="F23" s="1"/>
    </row>
    <row r="24" spans="1:6" x14ac:dyDescent="0.25">
      <c r="A24" s="1"/>
      <c r="B24" s="1"/>
      <c r="C24" s="1"/>
      <c r="D24" s="1"/>
      <c r="E24" s="1"/>
      <c r="F24" s="1"/>
    </row>
    <row r="25" spans="1:6" x14ac:dyDescent="0.25">
      <c r="A25" s="1"/>
      <c r="B25" s="1"/>
      <c r="C25" s="1"/>
      <c r="D25" s="1"/>
      <c r="E25" s="1"/>
      <c r="F25" s="1"/>
    </row>
    <row r="26" spans="1:6" x14ac:dyDescent="0.25">
      <c r="A26" s="1"/>
      <c r="B26" s="135" t="s">
        <v>98</v>
      </c>
      <c r="C26" s="136"/>
      <c r="D26" s="137"/>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5"/>
      <c r="C31" s="136"/>
      <c r="D31" s="137"/>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78dGrjLUUyGHYB33fKd1p65/JCi0YYS8QVOuDzA7Ju+H78zFWAQeHoOvrCXzcG1PClwuLo6uYXuQWtbJXxoDPg==" saltValue="CwR+oJBsXez7K5oHGjPYO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topLeftCell="A21" zoomScale="80" zoomScaleNormal="100" zoomScalePageLayoutView="80" workbookViewId="0">
      <selection activeCell="D36" sqref="D36"/>
    </sheetView>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203</v>
      </c>
      <c r="C3" s="128"/>
      <c r="D3" s="128"/>
      <c r="E3" s="128"/>
      <c r="F3" s="128"/>
      <c r="G3" s="1"/>
    </row>
    <row r="4" spans="1:7" ht="15" customHeight="1" x14ac:dyDescent="0.25">
      <c r="A4" s="1"/>
      <c r="B4" s="128"/>
      <c r="C4" s="128"/>
      <c r="D4" s="128"/>
      <c r="E4" s="128"/>
      <c r="F4" s="128"/>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5" t="s">
        <v>178</v>
      </c>
      <c r="C8" s="136"/>
      <c r="D8" s="136"/>
      <c r="E8" s="136"/>
      <c r="F8" s="137"/>
      <c r="G8" s="1"/>
    </row>
    <row r="9" spans="1:7" x14ac:dyDescent="0.25">
      <c r="A9" s="1"/>
      <c r="B9" s="140" t="s">
        <v>204</v>
      </c>
      <c r="C9" s="141"/>
      <c r="D9" s="142"/>
      <c r="E9" s="9">
        <v>-2390879.012338616</v>
      </c>
      <c r="F9" s="14" t="s">
        <v>3</v>
      </c>
      <c r="G9" s="1"/>
    </row>
    <row r="10" spans="1:7" x14ac:dyDescent="0.25">
      <c r="A10" s="1"/>
      <c r="B10" s="140" t="s">
        <v>263</v>
      </c>
      <c r="C10" s="141"/>
      <c r="D10" s="142"/>
      <c r="E10" s="9">
        <v>0</v>
      </c>
      <c r="F10" s="14" t="s">
        <v>3</v>
      </c>
      <c r="G10" s="1"/>
    </row>
    <row r="11" spans="1:7" x14ac:dyDescent="0.25">
      <c r="A11" s="1"/>
      <c r="B11" s="32"/>
      <c r="C11" s="27"/>
      <c r="D11" s="27"/>
      <c r="E11" s="27"/>
      <c r="F11" s="19"/>
      <c r="G11" s="1"/>
    </row>
    <row r="12" spans="1:7" ht="81" customHeight="1" x14ac:dyDescent="0.25">
      <c r="A12" s="1"/>
      <c r="B12" s="125" t="s">
        <v>287</v>
      </c>
      <c r="C12" s="126"/>
      <c r="D12" s="126"/>
      <c r="E12" s="126"/>
      <c r="F12" s="127"/>
      <c r="G12" s="1"/>
    </row>
    <row r="13" spans="1:7" ht="27" customHeight="1" x14ac:dyDescent="0.25">
      <c r="A13" s="1"/>
      <c r="B13" s="1"/>
      <c r="C13" s="1"/>
      <c r="D13" s="1"/>
      <c r="E13" s="1"/>
      <c r="F13" s="1"/>
      <c r="G13" s="1"/>
    </row>
    <row r="14" spans="1:7" ht="28.5" customHeight="1" x14ac:dyDescent="0.25">
      <c r="A14" s="1"/>
      <c r="B14" s="135" t="s">
        <v>179</v>
      </c>
      <c r="C14" s="136"/>
      <c r="D14" s="136"/>
      <c r="E14" s="136"/>
      <c r="F14" s="137"/>
      <c r="G14" s="1"/>
    </row>
    <row r="15" spans="1:7" x14ac:dyDescent="0.25">
      <c r="A15" s="1"/>
      <c r="B15" s="140" t="s">
        <v>280</v>
      </c>
      <c r="C15" s="141"/>
      <c r="D15" s="142"/>
      <c r="E15" s="9">
        <v>0</v>
      </c>
      <c r="F15" s="14" t="s">
        <v>3</v>
      </c>
      <c r="G15" s="1"/>
    </row>
    <row r="16" spans="1:7" x14ac:dyDescent="0.25">
      <c r="A16" s="1"/>
      <c r="B16" s="140" t="s">
        <v>281</v>
      </c>
      <c r="C16" s="141"/>
      <c r="D16" s="142"/>
      <c r="E16" s="9">
        <v>0</v>
      </c>
      <c r="F16" s="14" t="s">
        <v>3</v>
      </c>
      <c r="G16" s="1"/>
    </row>
    <row r="17" spans="1:7" x14ac:dyDescent="0.25">
      <c r="A17" s="1"/>
      <c r="B17" s="32"/>
      <c r="C17" s="27"/>
      <c r="D17" s="27"/>
      <c r="E17" s="27"/>
      <c r="F17" s="19"/>
      <c r="G17" s="1"/>
    </row>
    <row r="18" spans="1:7" ht="31.5" customHeight="1" x14ac:dyDescent="0.25">
      <c r="A18" s="1"/>
      <c r="B18" s="125" t="s">
        <v>288</v>
      </c>
      <c r="C18" s="126"/>
      <c r="D18" s="126"/>
      <c r="E18" s="126"/>
      <c r="F18" s="127"/>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50848282.31465774</v>
      </c>
      <c r="F21" s="14" t="s">
        <v>3</v>
      </c>
      <c r="G21" s="1"/>
    </row>
    <row r="22" spans="1:7" x14ac:dyDescent="0.25">
      <c r="A22" s="1"/>
      <c r="B22" s="91" t="s">
        <v>207</v>
      </c>
      <c r="C22" s="92"/>
      <c r="D22" s="93"/>
      <c r="E22" s="9">
        <v>50598383</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249899.31465774029</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5" t="s">
        <v>282</v>
      </c>
      <c r="C27" s="136"/>
      <c r="D27" s="136"/>
      <c r="E27" s="136"/>
      <c r="F27" s="137"/>
      <c r="G27" s="1"/>
    </row>
    <row r="28" spans="1:7" x14ac:dyDescent="0.25">
      <c r="A28" s="1"/>
      <c r="B28" s="138" t="s">
        <v>283</v>
      </c>
      <c r="C28" s="139"/>
      <c r="D28" s="159"/>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5"/>
      <c r="C29" s="136"/>
      <c r="D29" s="136"/>
      <c r="E29" s="136"/>
      <c r="F29" s="137"/>
      <c r="G29" s="1"/>
    </row>
    <row r="30" spans="1:7" x14ac:dyDescent="0.25">
      <c r="A30" s="1"/>
      <c r="B30" s="1"/>
      <c r="C30" s="1"/>
      <c r="D30" s="1"/>
      <c r="E30" s="1"/>
      <c r="F30" s="1"/>
      <c r="G30" s="1"/>
    </row>
    <row r="31" spans="1:7" ht="28.5" customHeight="1" x14ac:dyDescent="0.25">
      <c r="A31" s="1"/>
      <c r="B31" s="135" t="s">
        <v>264</v>
      </c>
      <c r="C31" s="136"/>
      <c r="D31" s="136"/>
      <c r="E31" s="136"/>
      <c r="F31" s="137"/>
      <c r="G31" s="1"/>
    </row>
    <row r="32" spans="1:7" x14ac:dyDescent="0.25">
      <c r="A32" s="1"/>
      <c r="B32" s="160" t="s">
        <v>143</v>
      </c>
      <c r="C32" s="161"/>
      <c r="D32" s="162"/>
      <c r="E32" s="74">
        <f>IF(AND(E9&gt;0,(E9+E24)&gt;0),0,IF(AND(E9&gt;0,(E9+E24)&lt;0),(E9+E24),IF(AND(E9&lt;0,E24&lt;0),E24,0)))</f>
        <v>0</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3">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pSCw+5oOGoEpgHqOV3bSCBdrvQdmHPw7MSaQ6UGXAtnZj+/LLqGyKhEiGPi40rFnS8JNbQM0GwLBVakXsfaYbQ==" saltValue="yKJXxKLhNFou+C1WKF1Sx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topLeftCell="A25"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262</v>
      </c>
      <c r="C8" s="136"/>
      <c r="D8" s="136"/>
      <c r="E8" s="136"/>
      <c r="F8" s="136"/>
      <c r="G8" s="136"/>
      <c r="H8" s="137"/>
      <c r="I8" s="1"/>
    </row>
    <row r="9" spans="1:9" ht="15" customHeight="1" x14ac:dyDescent="0.25">
      <c r="A9" s="1"/>
      <c r="B9" s="132" t="s">
        <v>251</v>
      </c>
      <c r="C9" s="133"/>
      <c r="D9" s="133"/>
      <c r="E9" s="133"/>
      <c r="F9" s="133"/>
      <c r="G9" s="133"/>
      <c r="H9" s="134"/>
      <c r="I9" s="1"/>
    </row>
    <row r="10" spans="1:9" x14ac:dyDescent="0.25">
      <c r="A10" s="1"/>
      <c r="B10" s="163" t="s">
        <v>271</v>
      </c>
      <c r="C10" s="164"/>
      <c r="D10" s="164"/>
      <c r="E10" s="164"/>
      <c r="F10" s="165"/>
      <c r="G10" s="9">
        <v>0</v>
      </c>
      <c r="H10" s="9" t="s">
        <v>3</v>
      </c>
      <c r="I10" s="1"/>
    </row>
    <row r="11" spans="1:9" x14ac:dyDescent="0.25">
      <c r="A11" s="1"/>
      <c r="B11" s="163" t="s">
        <v>272</v>
      </c>
      <c r="C11" s="164"/>
      <c r="D11" s="164"/>
      <c r="E11" s="164"/>
      <c r="F11" s="165"/>
      <c r="G11" s="9">
        <v>0</v>
      </c>
      <c r="H11" s="9" t="s">
        <v>3</v>
      </c>
      <c r="I11" s="1"/>
    </row>
    <row r="12" spans="1:9" x14ac:dyDescent="0.25">
      <c r="A12" s="1"/>
      <c r="B12" s="163" t="s">
        <v>273</v>
      </c>
      <c r="C12" s="164"/>
      <c r="D12" s="164"/>
      <c r="E12" s="164"/>
      <c r="F12" s="165"/>
      <c r="G12" s="9">
        <v>0</v>
      </c>
      <c r="H12" s="9" t="s">
        <v>3</v>
      </c>
      <c r="I12" s="1"/>
    </row>
    <row r="13" spans="1:9" x14ac:dyDescent="0.25">
      <c r="A13" s="1"/>
      <c r="B13" s="163" t="s">
        <v>274</v>
      </c>
      <c r="C13" s="164"/>
      <c r="D13" s="164"/>
      <c r="E13" s="164"/>
      <c r="F13" s="165"/>
      <c r="G13" s="9">
        <v>0</v>
      </c>
      <c r="H13" s="9" t="s">
        <v>3</v>
      </c>
      <c r="I13" s="1"/>
    </row>
    <row r="14" spans="1:9" x14ac:dyDescent="0.25">
      <c r="A14" s="1"/>
      <c r="B14" s="163" t="s">
        <v>275</v>
      </c>
      <c r="C14" s="164"/>
      <c r="D14" s="164"/>
      <c r="E14" s="164"/>
      <c r="F14" s="165"/>
      <c r="G14" s="9">
        <v>0</v>
      </c>
      <c r="H14" s="9" t="s">
        <v>3</v>
      </c>
      <c r="I14" s="1"/>
    </row>
    <row r="15" spans="1:9" x14ac:dyDescent="0.25">
      <c r="A15" s="1"/>
      <c r="B15" s="163" t="s">
        <v>276</v>
      </c>
      <c r="C15" s="164"/>
      <c r="D15" s="164"/>
      <c r="E15" s="164"/>
      <c r="F15" s="165"/>
      <c r="G15" s="9">
        <v>0</v>
      </c>
      <c r="H15" s="9" t="s">
        <v>3</v>
      </c>
      <c r="I15" s="1"/>
    </row>
    <row r="16" spans="1:9" x14ac:dyDescent="0.25">
      <c r="A16" s="1"/>
      <c r="B16" s="163" t="s">
        <v>277</v>
      </c>
      <c r="C16" s="164"/>
      <c r="D16" s="164"/>
      <c r="E16" s="164"/>
      <c r="F16" s="165"/>
      <c r="G16" s="9">
        <v>0</v>
      </c>
      <c r="H16" s="9" t="s">
        <v>3</v>
      </c>
      <c r="I16" s="1"/>
    </row>
    <row r="17" spans="1:9" x14ac:dyDescent="0.25">
      <c r="A17" s="1"/>
      <c r="B17" s="163" t="s">
        <v>278</v>
      </c>
      <c r="C17" s="164"/>
      <c r="D17" s="164"/>
      <c r="E17" s="164"/>
      <c r="F17" s="165"/>
      <c r="G17" s="9">
        <v>0</v>
      </c>
      <c r="H17" s="9" t="s">
        <v>3</v>
      </c>
      <c r="I17" s="1"/>
    </row>
    <row r="18" spans="1:9" x14ac:dyDescent="0.25">
      <c r="A18" s="1"/>
      <c r="B18" s="135" t="s">
        <v>252</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ktcTCiSg+/J9u0CAjeetmKOrwOolGezLr0bd32qMFtdFbBNlRmQph9jCs8x+iV29ulCPqLOmz9911SPVXZc9hA==" saltValue="lQJB949toToq9UERYJlhIw=="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topLeftCell="A29"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254</v>
      </c>
      <c r="C3" s="128"/>
      <c r="D3" s="128"/>
      <c r="E3" s="128"/>
      <c r="F3" s="128"/>
      <c r="G3" s="1"/>
    </row>
    <row r="4" spans="1:7" ht="1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208</v>
      </c>
      <c r="C9" s="136"/>
      <c r="D9" s="136"/>
      <c r="E9" s="136"/>
      <c r="F9" s="137"/>
      <c r="G9" s="1"/>
    </row>
    <row r="10" spans="1:7" x14ac:dyDescent="0.25">
      <c r="A10" s="1"/>
      <c r="B10" s="125" t="s">
        <v>100</v>
      </c>
      <c r="C10" s="126"/>
      <c r="D10" s="127"/>
      <c r="E10" s="7">
        <v>0</v>
      </c>
      <c r="F10" s="8" t="s">
        <v>3</v>
      </c>
      <c r="G10" s="1"/>
    </row>
    <row r="11" spans="1:7" x14ac:dyDescent="0.25">
      <c r="A11" s="1"/>
      <c r="B11" s="140" t="s">
        <v>209</v>
      </c>
      <c r="C11" s="141"/>
      <c r="D11" s="142"/>
      <c r="E11" s="7">
        <v>0</v>
      </c>
      <c r="F11" s="8" t="s">
        <v>3</v>
      </c>
      <c r="G11" s="1"/>
    </row>
    <row r="12" spans="1:7" x14ac:dyDescent="0.25">
      <c r="A12" s="1"/>
      <c r="B12" s="138" t="s">
        <v>101</v>
      </c>
      <c r="C12" s="139"/>
      <c r="D12" s="159"/>
      <c r="E12" s="10">
        <f>E11-E10</f>
        <v>0</v>
      </c>
      <c r="F12" s="11" t="s">
        <v>3</v>
      </c>
      <c r="G12" s="1"/>
    </row>
    <row r="13" spans="1:7" x14ac:dyDescent="0.25">
      <c r="A13" s="1"/>
      <c r="B13" s="135" t="s">
        <v>94</v>
      </c>
      <c r="C13" s="136"/>
      <c r="D13" s="136"/>
      <c r="E13" s="136"/>
      <c r="F13" s="137"/>
      <c r="G13" s="1"/>
    </row>
    <row r="14" spans="1:7" x14ac:dyDescent="0.25">
      <c r="A14" s="1"/>
      <c r="B14" s="140" t="s">
        <v>210</v>
      </c>
      <c r="C14" s="141"/>
      <c r="D14" s="142"/>
      <c r="E14" s="9">
        <v>0</v>
      </c>
      <c r="F14" s="8" t="s">
        <v>3</v>
      </c>
      <c r="G14" s="1"/>
    </row>
    <row r="15" spans="1:7" x14ac:dyDescent="0.25">
      <c r="A15" s="1"/>
      <c r="B15" s="125" t="s">
        <v>211</v>
      </c>
      <c r="C15" s="126"/>
      <c r="D15" s="127"/>
      <c r="E15" s="9">
        <v>0</v>
      </c>
      <c r="F15" s="8" t="s">
        <v>3</v>
      </c>
      <c r="G15" s="1"/>
    </row>
    <row r="16" spans="1:7" x14ac:dyDescent="0.25">
      <c r="A16" s="1"/>
      <c r="B16" s="138" t="s">
        <v>101</v>
      </c>
      <c r="C16" s="139"/>
      <c r="D16" s="159"/>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iiV6CAyMnsbdcZUuhzqhtz6rHWxdZeVv7z1LrijZJB6sK3U48pugD+31Jcth1zj7DaTesNS3xRp3IRE6M/ZqQ==" saltValue="FL2qB72GrEznwcLdzC9be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topLeftCell="A29" zoomScaleNormal="100" workbookViewId="0">
      <selection activeCell="D20" sqref="D20"/>
    </sheetView>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219</v>
      </c>
      <c r="C8" s="136"/>
      <c r="D8" s="136"/>
      <c r="E8" s="136"/>
      <c r="F8" s="136"/>
      <c r="G8" s="136"/>
      <c r="H8" s="136"/>
      <c r="I8" s="136"/>
      <c r="J8" s="136"/>
      <c r="K8" s="137"/>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EM/aQ/SeWoc9a6BtIh8rSO+zuWGpPN2H8noNah86Ny2KI2Jp3QQuxzLcKIRjtOAAW/kThwb1r9q9GpcIKQad4A==" saltValue="IqjHY1+FNd75g6+iozfAl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topLeftCell="A29" zoomScaleNormal="100" workbookViewId="0">
      <selection activeCell="B25" sqref="B25"/>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284</v>
      </c>
      <c r="C11" s="21">
        <v>26208</v>
      </c>
      <c r="D11" s="14" t="s">
        <v>3</v>
      </c>
      <c r="E11" s="9">
        <v>10873</v>
      </c>
      <c r="F11" s="14" t="s">
        <v>3</v>
      </c>
      <c r="G11" s="1"/>
    </row>
    <row r="12" spans="1:7" x14ac:dyDescent="0.25">
      <c r="A12" s="1"/>
      <c r="B12" s="32" t="s">
        <v>156</v>
      </c>
      <c r="C12" s="12">
        <f>SUM(C10:C11)</f>
        <v>26208</v>
      </c>
      <c r="D12" s="13" t="s">
        <v>3</v>
      </c>
      <c r="E12" s="12">
        <f>SUM(E10:E11)</f>
        <v>10873</v>
      </c>
      <c r="F12" s="13" t="s">
        <v>3</v>
      </c>
      <c r="G12" s="1"/>
    </row>
    <row r="13" spans="1:7" x14ac:dyDescent="0.25">
      <c r="A13" s="1"/>
      <c r="B13" s="32" t="s">
        <v>213</v>
      </c>
      <c r="C13" s="12">
        <f>C12*(1+'Fane 15. Nøgletal'!C15)</f>
        <v>27141.004800000002</v>
      </c>
      <c r="D13" s="13" t="s">
        <v>3</v>
      </c>
      <c r="E13" s="12">
        <f>E12*(1+'Fane 15. Nøgletal'!C15)</f>
        <v>11260.078800000001</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CZOrru1kFM7Uvj4QZoG9B7Lt0OwLHN/ZOqLhUDdvDHd7aoRNqpm01Yro/qs+P9Yt/1LwZaLbboWU+S2IQjQVA==" saltValue="UcittQfGTXmKMInotClkK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election activeCell="A11" sqref="A11:XFD12"/>
    </sheetView>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97</v>
      </c>
      <c r="C8" s="136"/>
      <c r="D8" s="136"/>
      <c r="E8" s="136"/>
      <c r="F8" s="137"/>
      <c r="G8" s="1"/>
    </row>
    <row r="9" spans="1:7" x14ac:dyDescent="0.25">
      <c r="A9" s="1"/>
      <c r="B9" s="83" t="s">
        <v>17</v>
      </c>
      <c r="C9" s="83" t="s">
        <v>11</v>
      </c>
      <c r="D9" s="84"/>
      <c r="E9" s="83" t="s">
        <v>31</v>
      </c>
      <c r="F9" s="31"/>
      <c r="G9" s="1"/>
    </row>
    <row r="10" spans="1:7" x14ac:dyDescent="0.25">
      <c r="A10" s="1"/>
      <c r="B10" s="23" t="s">
        <v>285</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TXlBr9HXvOA/fSK8JHfZqu2TLmuQkTCFXU9/skTQrF41BWpZYpDRWOQy0CRhF/yWwSHnR2xvl6IU909mMDfOVQ==" saltValue="73tOvKX09juoB5DUVdGiY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topLeftCell="A9"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258</v>
      </c>
      <c r="C3" s="128"/>
      <c r="D3" s="128"/>
      <c r="E3" s="128"/>
      <c r="F3" s="128"/>
      <c r="G3" s="1"/>
    </row>
    <row r="4" spans="1:7" ht="15" customHeight="1" x14ac:dyDescent="0.25">
      <c r="A4" s="1"/>
      <c r="B4" s="128"/>
      <c r="C4" s="128"/>
      <c r="D4" s="128"/>
      <c r="E4" s="128"/>
      <c r="F4" s="128"/>
      <c r="G4" s="1"/>
    </row>
    <row r="5" spans="1:7" x14ac:dyDescent="0.25">
      <c r="A5" s="1"/>
      <c r="B5" s="128"/>
      <c r="C5" s="128"/>
      <c r="D5" s="128"/>
      <c r="E5" s="128"/>
      <c r="F5" s="12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91</v>
      </c>
      <c r="C9" s="136"/>
      <c r="D9" s="136"/>
      <c r="E9" s="136"/>
      <c r="F9" s="137"/>
      <c r="G9" s="1"/>
    </row>
    <row r="10" spans="1:7" x14ac:dyDescent="0.25">
      <c r="A10" s="1"/>
      <c r="B10" s="163" t="s">
        <v>224</v>
      </c>
      <c r="C10" s="164"/>
      <c r="D10" s="165"/>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24</v>
      </c>
      <c r="C12" s="130"/>
      <c r="D12" s="131"/>
      <c r="E12" s="9">
        <f>-E10*'Fane 15. Nøgletal'!C31</f>
        <v>0</v>
      </c>
      <c r="F12" s="14" t="s">
        <v>3</v>
      </c>
      <c r="G12" s="1"/>
    </row>
    <row r="13" spans="1:7" x14ac:dyDescent="0.25">
      <c r="A13" s="1"/>
      <c r="B13" s="135" t="s">
        <v>92</v>
      </c>
      <c r="C13" s="136"/>
      <c r="D13" s="137"/>
      <c r="E13" s="12">
        <f>SUM(E10:E12)*(1+'Fane 15. Nøgletal'!C15)^2</f>
        <v>0</v>
      </c>
      <c r="F13" s="13" t="s">
        <v>3</v>
      </c>
      <c r="G13" s="1"/>
    </row>
    <row r="14" spans="1:7" x14ac:dyDescent="0.25">
      <c r="A14" s="1"/>
      <c r="B14" s="1"/>
      <c r="C14" s="1"/>
      <c r="D14" s="1"/>
      <c r="E14" s="1"/>
      <c r="F14" s="1"/>
      <c r="G14" s="1"/>
    </row>
    <row r="15" spans="1:7" ht="15" customHeight="1" x14ac:dyDescent="0.25">
      <c r="A15" s="1"/>
      <c r="B15" s="135" t="s">
        <v>130</v>
      </c>
      <c r="C15" s="136"/>
      <c r="D15" s="136"/>
      <c r="E15" s="136"/>
      <c r="F15" s="137"/>
      <c r="G15" s="1"/>
    </row>
    <row r="16" spans="1:7" x14ac:dyDescent="0.25">
      <c r="A16" s="1"/>
      <c r="B16" s="163" t="s">
        <v>224</v>
      </c>
      <c r="C16" s="164"/>
      <c r="D16" s="165"/>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24</v>
      </c>
      <c r="C18" s="130"/>
      <c r="D18" s="131"/>
      <c r="E18" s="9">
        <f>-E16*'Fane 15. Nøgletal'!C31</f>
        <v>0</v>
      </c>
      <c r="F18" s="14" t="s">
        <v>3</v>
      </c>
      <c r="G18" s="1"/>
    </row>
    <row r="19" spans="1:7" x14ac:dyDescent="0.25">
      <c r="A19" s="1"/>
      <c r="B19" s="135" t="s">
        <v>131</v>
      </c>
      <c r="C19" s="136"/>
      <c r="D19" s="137"/>
      <c r="E19" s="12">
        <f>SUM(E16:E18)*(1+'Fane 15. Nøgletal'!C15)^3</f>
        <v>0</v>
      </c>
      <c r="F19" s="13" t="s">
        <v>3</v>
      </c>
      <c r="G19" s="1"/>
    </row>
    <row r="20" spans="1:7" x14ac:dyDescent="0.25">
      <c r="A20" s="1"/>
      <c r="B20" s="1"/>
      <c r="C20" s="1"/>
      <c r="D20" s="1"/>
      <c r="E20" s="1"/>
      <c r="F20" s="1"/>
      <c r="G20" s="1"/>
    </row>
    <row r="21" spans="1:7" ht="15" customHeight="1" x14ac:dyDescent="0.25">
      <c r="A21" s="1"/>
      <c r="B21" s="135" t="s">
        <v>157</v>
      </c>
      <c r="C21" s="136"/>
      <c r="D21" s="136"/>
      <c r="E21" s="136"/>
      <c r="F21" s="137"/>
      <c r="G21" s="1"/>
    </row>
    <row r="22" spans="1:7" x14ac:dyDescent="0.25">
      <c r="A22" s="1"/>
      <c r="B22" s="163" t="s">
        <v>224</v>
      </c>
      <c r="C22" s="164"/>
      <c r="D22" s="165"/>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24</v>
      </c>
      <c r="C24" s="130"/>
      <c r="D24" s="131"/>
      <c r="E24" s="9">
        <f>-E22*'Fane 15. Nøgletal'!C31</f>
        <v>0</v>
      </c>
      <c r="F24" s="14" t="s">
        <v>3</v>
      </c>
      <c r="G24" s="1"/>
    </row>
    <row r="25" spans="1:7" x14ac:dyDescent="0.25">
      <c r="A25" s="1"/>
      <c r="B25" s="135" t="s">
        <v>158</v>
      </c>
      <c r="C25" s="136"/>
      <c r="D25" s="137"/>
      <c r="E25" s="12">
        <f>SUM(E22:E24)*(1+'Fane 15. Nøgletal'!C15)^4</f>
        <v>0</v>
      </c>
      <c r="F25" s="13" t="s">
        <v>3</v>
      </c>
      <c r="G25" s="1"/>
    </row>
    <row r="26" spans="1:7" x14ac:dyDescent="0.25">
      <c r="A26" s="1"/>
      <c r="B26" s="1"/>
      <c r="C26" s="1"/>
      <c r="D26" s="1"/>
      <c r="E26" s="1"/>
      <c r="F26" s="1"/>
      <c r="G26" s="1"/>
    </row>
    <row r="27" spans="1:7" ht="15" customHeight="1" x14ac:dyDescent="0.25">
      <c r="A27" s="1"/>
      <c r="B27" s="135" t="s">
        <v>214</v>
      </c>
      <c r="C27" s="136"/>
      <c r="D27" s="136"/>
      <c r="E27" s="136"/>
      <c r="F27" s="137"/>
      <c r="G27" s="1"/>
    </row>
    <row r="28" spans="1:7" ht="14.25" customHeight="1" x14ac:dyDescent="0.25">
      <c r="A28" s="1"/>
      <c r="B28" s="163" t="s">
        <v>224</v>
      </c>
      <c r="C28" s="164"/>
      <c r="D28" s="165"/>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24</v>
      </c>
      <c r="C30" s="130"/>
      <c r="D30" s="131"/>
      <c r="E30" s="9">
        <f>-E28*'Fane 15. Nøgletal'!C31</f>
        <v>0</v>
      </c>
      <c r="F30" s="14" t="s">
        <v>3</v>
      </c>
      <c r="G30" s="1"/>
    </row>
    <row r="31" spans="1:7" x14ac:dyDescent="0.25">
      <c r="A31" s="1"/>
      <c r="B31" s="135" t="s">
        <v>215</v>
      </c>
      <c r="C31" s="136"/>
      <c r="D31" s="13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6WLBebvyGu7rGO5WRO1n0nJ7/ETtpOONA8OfaqTUpLxXG9M0x4XYF9AtRiDaqWRTbyiGgShhen3SdhY2N6tsg==" saltValue="0ZRFzM3ujlqtl/ACvy+8k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140625" style="2" customWidth="1"/>
    <col min="2" max="2" width="42.5703125" style="2" customWidth="1"/>
    <col min="3" max="3" width="15.5703125" style="2" customWidth="1"/>
    <col min="4" max="4" width="3.28515625" style="2" customWidth="1"/>
    <col min="5" max="5" width="17.140625" style="2" customWidth="1"/>
    <col min="6" max="6" width="3.28515625" style="2" customWidth="1"/>
    <col min="7" max="7" width="2"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259</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132</v>
      </c>
      <c r="C8" s="136"/>
      <c r="D8" s="136"/>
      <c r="E8" s="136"/>
      <c r="F8" s="137"/>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O96appCqhmmGj0HitnBTT7swQ255cMicE+YwC/h1KdC+nBZzjwma1jvozDhJVymaVYHnW2REQCy5VJ7kCQlcuw==" saltValue="LIo0OhfgIteer1B6WPDbI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topLeftCell="A25"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260</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93</v>
      </c>
      <c r="C9" s="136"/>
      <c r="D9" s="136"/>
      <c r="E9" s="136"/>
      <c r="F9" s="13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Up7PtGpWaopwkEEZAv2EnW3KYIUFWalu0Rabj7Ns/967BLpDAwtGuMoJryYOqvgX70SvoTFbgEGjhw6wcuxL9w==" saltValue="UniMfthjpfSKe+AKNwvTr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topLeftCell="A9" zoomScale="85" zoomScaleNormal="100" zoomScalePageLayoutView="85" workbookViewId="0">
      <selection activeCell="B45" sqref="B45"/>
    </sheetView>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48413426.126663588</v>
      </c>
      <c r="D9" s="8" t="s">
        <v>3</v>
      </c>
      <c r="E9" s="1"/>
    </row>
    <row r="10" spans="1:5" ht="17.25" customHeight="1" x14ac:dyDescent="0.25">
      <c r="A10" s="1"/>
      <c r="B10" s="82" t="s">
        <v>39</v>
      </c>
      <c r="C10" s="7">
        <f>'Fane 11.1. Varige tillæg'!C13</f>
        <v>27141.004800000002</v>
      </c>
      <c r="D10" s="8" t="s">
        <v>3</v>
      </c>
      <c r="E10" s="1"/>
    </row>
    <row r="11" spans="1:5" ht="17.25" customHeight="1" x14ac:dyDescent="0.25">
      <c r="A11" s="1"/>
      <c r="B11" s="82" t="s">
        <v>40</v>
      </c>
      <c r="C11" s="9">
        <f>'Fane 11.1. Varige tillæg'!E13</f>
        <v>11260.078800000001</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161131.38479414984</v>
      </c>
      <c r="D16" s="8" t="s">
        <v>3</v>
      </c>
      <c r="E16" s="1"/>
    </row>
    <row r="17" spans="1:5" ht="17.25" customHeight="1" x14ac:dyDescent="0.25">
      <c r="A17" s="1"/>
      <c r="B17" s="82" t="s">
        <v>10</v>
      </c>
      <c r="C17" s="44">
        <f>-SUM(C9,C10:C16)*'Fane 5. Individuelt eff. krav'!G9</f>
        <v>-972259.1719011548</v>
      </c>
      <c r="D17" s="8" t="s">
        <v>3</v>
      </c>
      <c r="E17" s="1"/>
    </row>
    <row r="18" spans="1:5" ht="17.25" customHeight="1" x14ac:dyDescent="0.25">
      <c r="A18" s="1"/>
      <c r="B18" s="82" t="s">
        <v>24</v>
      </c>
      <c r="C18" s="44">
        <f>-'Fane 4.1. Gen. krav - drift'!G45</f>
        <v>-345831.15158961702</v>
      </c>
      <c r="D18" s="8" t="s">
        <v>3</v>
      </c>
      <c r="E18" s="1"/>
    </row>
    <row r="19" spans="1:5" ht="17.25" customHeight="1" x14ac:dyDescent="0.25">
      <c r="A19" s="1"/>
      <c r="B19" s="82" t="s">
        <v>25</v>
      </c>
      <c r="C19" s="44">
        <f>-'Fane 4.2. Gen. krav - anlæg'!G43</f>
        <v>-522297.53847344086</v>
      </c>
      <c r="D19" s="8" t="s">
        <v>3</v>
      </c>
      <c r="E19" s="48"/>
    </row>
    <row r="20" spans="1:5" ht="17.25" customHeight="1" x14ac:dyDescent="0.25">
      <c r="A20" s="1"/>
      <c r="B20" s="88" t="s">
        <v>21</v>
      </c>
      <c r="C20" s="10">
        <f>SUM(C9:C19)</f>
        <v>46772570.73309353</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794404.45770336012</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47566975.190796889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9UBOeHT86jX9e5hnyJpVRCZ0vy5d7GR+COE9TRlTUEa1WCgvVKOnfUhrH9L2WVNuefPWSvST4/K8UDaAkOktQ==" saltValue="xqh09HIaYUctnLhrm7AT1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tabSelected="1" view="pageLayout" topLeftCell="A33"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8" t="s">
        <v>261</v>
      </c>
      <c r="C3" s="128"/>
      <c r="D3" s="1"/>
    </row>
    <row r="4" spans="1:4" ht="25.5" customHeight="1" x14ac:dyDescent="0.25">
      <c r="A4" s="1"/>
      <c r="B4" s="128"/>
      <c r="C4" s="12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HIN/OAG7b6ouSYmZTc2xEIQ6ViM+xAGTDDX6uKKJK2V3F7PiVYXGYj7vGwkqlkVESpOhuNK/R30OlCQd+tu4Gg==" saltValue="dnOzJN6tJd7eLDjdNeSkQ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topLeftCell="A5" zoomScale="90" zoomScaleNormal="100" zoomScalePageLayoutView="90" workbookViewId="0">
      <selection activeCell="B37" sqref="B37"/>
    </sheetView>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46772570.73309353</v>
      </c>
      <c r="D9" s="8" t="s">
        <v>3</v>
      </c>
      <c r="E9" s="1"/>
    </row>
    <row r="10" spans="1:5" ht="15" customHeight="1" x14ac:dyDescent="0.25">
      <c r="A10" s="1"/>
      <c r="B10" s="25" t="s">
        <v>19</v>
      </c>
      <c r="C10" s="7">
        <f>SUM(C9:C9)*'Fane 15. Nøgletal'!C15</f>
        <v>1665103.5180981297</v>
      </c>
      <c r="D10" s="8" t="s">
        <v>3</v>
      </c>
      <c r="E10" s="1"/>
    </row>
    <row r="11" spans="1:5" ht="15" customHeight="1" x14ac:dyDescent="0.25">
      <c r="A11" s="1"/>
      <c r="B11" s="25" t="s">
        <v>10</v>
      </c>
      <c r="C11" s="9">
        <f>-SUM(C9:C10)*'Fane 5. Individuelt eff. krav'!G9</f>
        <v>-968753.48502383323</v>
      </c>
      <c r="D11" s="8" t="s">
        <v>3</v>
      </c>
      <c r="E11" s="1"/>
    </row>
    <row r="12" spans="1:5" ht="15" customHeight="1" x14ac:dyDescent="0.25">
      <c r="A12" s="1"/>
      <c r="B12" s="25" t="s">
        <v>24</v>
      </c>
      <c r="C12" s="9">
        <f>-'Fane 4.1. Gen. krav - drift'!G53</f>
        <v>-350979.88577448326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47117940.880393341</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822685.25639759982</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47940626.136790939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MpOB/PfVJ1wh1JH5NEMstY1LAgfy0KK5LLEu0Ss7gIJd05n8ztLG/C33J21wSDtvJVYCWbdHF+pcZRO2H2wjIg==" saltValue="ONkJSjESK9AbNuAdNalLH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election activeCell="E45" sqref="E45"/>
    </sheetView>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47117940.880393341</v>
      </c>
      <c r="D9" s="8" t="s">
        <v>3</v>
      </c>
      <c r="E9" s="1"/>
    </row>
    <row r="10" spans="1:5" ht="15" customHeight="1" x14ac:dyDescent="0.25">
      <c r="A10" s="1"/>
      <c r="B10" s="25" t="s">
        <v>19</v>
      </c>
      <c r="C10" s="7">
        <f>SUM(C9:C9)*'Fane 15. Nøgletal'!C15</f>
        <v>1677398.6953420029</v>
      </c>
      <c r="D10" s="8" t="s">
        <v>3</v>
      </c>
      <c r="E10" s="1"/>
    </row>
    <row r="11" spans="1:5" ht="15" customHeight="1" x14ac:dyDescent="0.25">
      <c r="A11" s="1"/>
      <c r="B11" s="25" t="s">
        <v>10</v>
      </c>
      <c r="C11" s="9">
        <f>-SUM(C9:C10)*'Fane 5. Individuelt eff. krav'!G9</f>
        <v>-975906.79151470691</v>
      </c>
      <c r="D11" s="8" t="s">
        <v>3</v>
      </c>
      <c r="E11" s="1"/>
    </row>
    <row r="12" spans="1:5" ht="15" customHeight="1" x14ac:dyDescent="0.25">
      <c r="A12" s="1"/>
      <c r="B12" s="25" t="s">
        <v>24</v>
      </c>
      <c r="C12" s="9">
        <f>-'Fane 4.1. Gen. krav - drift'!G58</f>
        <v>-356205.27431389375</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47463227.509906739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851972.85152535432</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48315200.36143209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zAdSUpIUWTQPxzQtYGTtubVSDwOMFuQ3cE2E0jMEzKPkhcrnsxlnQVl4kP+2a0xp3fUe/T2j4VdVSM6c0dk05Q==" saltValue="hQC1fgz6h0XyangTtukzT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47463227.509906739</v>
      </c>
      <c r="D9" s="8" t="s">
        <v>3</v>
      </c>
      <c r="E9" s="1"/>
    </row>
    <row r="10" spans="1:5" ht="15" customHeight="1" x14ac:dyDescent="0.25">
      <c r="A10" s="1"/>
      <c r="B10" s="25" t="s">
        <v>19</v>
      </c>
      <c r="C10" s="7">
        <f>SUM(C9:C9)*'Fane 15. Nøgletal'!C15</f>
        <v>1689690.89935268</v>
      </c>
      <c r="D10" s="8" t="s">
        <v>3</v>
      </c>
      <c r="E10" s="1"/>
    </row>
    <row r="11" spans="1:5" ht="15" customHeight="1" x14ac:dyDescent="0.25">
      <c r="A11" s="1"/>
      <c r="B11" s="25" t="s">
        <v>10</v>
      </c>
      <c r="C11" s="9">
        <f>-SUM(C9:C10)*'Fane 5. Individuelt eff. krav'!G9</f>
        <v>-983058.36818518839</v>
      </c>
      <c r="D11" s="8" t="s">
        <v>3</v>
      </c>
      <c r="E11" s="1"/>
    </row>
    <row r="12" spans="1:5" ht="15" customHeight="1" x14ac:dyDescent="0.25">
      <c r="A12" s="1"/>
      <c r="B12" s="25" t="s">
        <v>24</v>
      </c>
      <c r="C12" s="9">
        <f>-'Fane 4.1. Gen. krav - drift'!G63</f>
        <v>-361508.4584378791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47808351.582636349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882303.08503965707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48690654.667676009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VyZs5eltw8QTLLb8sOmZMjzAhz1GpbiXi46T/T95Ls4okFqj5fDq0oevNQ+WYkvMGHRGQghKUmqlqKgLXLPHg==" saltValue="14xHWGh5xCvi0tqK+CD/j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topLeftCell="A30" zoomScale="99" zoomScaleNormal="100" zoomScalePageLayoutView="99" workbookViewId="0">
      <selection activeCell="B13" sqref="B13:D13"/>
    </sheetView>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191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25" t="s">
        <v>192</v>
      </c>
      <c r="C9" s="126"/>
      <c r="D9" s="127"/>
      <c r="E9" s="7">
        <v>50133521.184664339</v>
      </c>
      <c r="F9" s="8" t="s">
        <v>3</v>
      </c>
      <c r="G9" s="1"/>
    </row>
    <row r="10" spans="1:7" ht="15" customHeight="1" x14ac:dyDescent="0.25">
      <c r="A10" s="1"/>
      <c r="B10" s="129" t="s">
        <v>39</v>
      </c>
      <c r="C10" s="130"/>
      <c r="D10" s="131"/>
      <c r="E10" s="7">
        <v>0</v>
      </c>
      <c r="F10" s="8" t="s">
        <v>3</v>
      </c>
      <c r="G10" s="1"/>
    </row>
    <row r="11" spans="1:7" ht="15" customHeight="1" x14ac:dyDescent="0.25">
      <c r="A11" s="1"/>
      <c r="B11" s="129" t="s">
        <v>40</v>
      </c>
      <c r="C11" s="130"/>
      <c r="D11" s="131"/>
      <c r="E11" s="9">
        <v>0</v>
      </c>
      <c r="F11" s="8" t="s">
        <v>3</v>
      </c>
      <c r="G11" s="1"/>
    </row>
    <row r="12" spans="1:7" ht="15" customHeight="1" x14ac:dyDescent="0.25">
      <c r="A12" s="1"/>
      <c r="B12" s="129" t="s">
        <v>27</v>
      </c>
      <c r="C12" s="130"/>
      <c r="D12" s="131"/>
      <c r="E12" s="9">
        <v>0</v>
      </c>
      <c r="F12" s="8" t="s">
        <v>3</v>
      </c>
      <c r="G12" s="1"/>
    </row>
    <row r="13" spans="1:7" ht="15" customHeight="1" x14ac:dyDescent="0.25">
      <c r="A13" s="1"/>
      <c r="B13" s="125" t="s">
        <v>26</v>
      </c>
      <c r="C13" s="126"/>
      <c r="D13" s="127"/>
      <c r="E13" s="9">
        <v>0</v>
      </c>
      <c r="F13" s="8" t="s">
        <v>3</v>
      </c>
      <c r="G13" s="1"/>
    </row>
    <row r="14" spans="1:7" ht="15" customHeight="1" x14ac:dyDescent="0.25">
      <c r="A14" s="1"/>
      <c r="B14" s="125" t="s">
        <v>29</v>
      </c>
      <c r="C14" s="126"/>
      <c r="D14" s="127"/>
      <c r="E14" s="9">
        <v>0</v>
      </c>
      <c r="F14" s="8" t="s">
        <v>3</v>
      </c>
      <c r="G14" s="1"/>
    </row>
    <row r="15" spans="1:7" ht="15" customHeight="1" x14ac:dyDescent="0.25">
      <c r="A15" s="1"/>
      <c r="B15" s="125" t="s">
        <v>28</v>
      </c>
      <c r="C15" s="126"/>
      <c r="D15" s="127"/>
      <c r="E15" s="9">
        <v>0</v>
      </c>
      <c r="F15" s="8" t="s">
        <v>3</v>
      </c>
      <c r="G15" s="1"/>
    </row>
    <row r="16" spans="1:7" ht="15" customHeight="1" x14ac:dyDescent="0.25">
      <c r="A16" s="1"/>
      <c r="B16" s="125" t="s">
        <v>19</v>
      </c>
      <c r="C16" s="126"/>
      <c r="D16" s="127"/>
      <c r="E16" s="9">
        <f>SUM(E9:E15)*'Fane 15. Nøgletal'!C14</f>
        <v>165440.61990939232</v>
      </c>
      <c r="F16" s="8" t="s">
        <v>3</v>
      </c>
      <c r="G16" s="1"/>
    </row>
    <row r="17" spans="1:7" ht="15" customHeight="1" x14ac:dyDescent="0.25">
      <c r="A17" s="1"/>
      <c r="B17" s="125" t="s">
        <v>10</v>
      </c>
      <c r="C17" s="126"/>
      <c r="D17" s="127"/>
      <c r="E17" s="9">
        <v>-1005979.2360914747</v>
      </c>
      <c r="F17" s="8" t="s">
        <v>3</v>
      </c>
      <c r="G17" s="1"/>
    </row>
    <row r="18" spans="1:7" ht="15" customHeight="1" x14ac:dyDescent="0.25">
      <c r="A18" s="1"/>
      <c r="B18" s="125" t="s">
        <v>24</v>
      </c>
      <c r="C18" s="126"/>
      <c r="D18" s="127"/>
      <c r="E18" s="9">
        <f>-'Fane 4.1. Gen. krav - drift'!G39</f>
        <v>-351156.49692565488</v>
      </c>
      <c r="F18" s="8" t="s">
        <v>3</v>
      </c>
      <c r="G18" s="1"/>
    </row>
    <row r="19" spans="1:7" ht="15" customHeight="1" x14ac:dyDescent="0.25">
      <c r="A19" s="1"/>
      <c r="B19" s="125" t="s">
        <v>25</v>
      </c>
      <c r="C19" s="126"/>
      <c r="D19" s="127"/>
      <c r="E19" s="9">
        <f>-'Fane 4.2. Gen. krav - anlæg'!G37</f>
        <v>-528399.94489301904</v>
      </c>
      <c r="F19" s="8" t="s">
        <v>3</v>
      </c>
      <c r="G19" s="1"/>
    </row>
    <row r="20" spans="1:7" ht="15" customHeight="1" x14ac:dyDescent="0.25">
      <c r="A20" s="1"/>
      <c r="B20" s="54" t="s">
        <v>21</v>
      </c>
      <c r="C20" s="99"/>
      <c r="D20" s="101"/>
      <c r="E20" s="51">
        <f>SUM(E9:E19)</f>
        <v>48413426.126663588</v>
      </c>
      <c r="F20" s="53" t="s">
        <v>3</v>
      </c>
      <c r="G20" s="1"/>
    </row>
    <row r="21" spans="1:7" ht="15" customHeight="1" x14ac:dyDescent="0.25">
      <c r="A21" s="1"/>
      <c r="B21" s="32" t="s">
        <v>12</v>
      </c>
      <c r="C21" s="27"/>
      <c r="D21" s="27"/>
      <c r="E21" s="27"/>
      <c r="F21" s="19"/>
      <c r="G21" s="1"/>
    </row>
    <row r="22" spans="1:7" ht="15" customHeight="1" x14ac:dyDescent="0.25">
      <c r="A22" s="1"/>
      <c r="B22" s="132" t="s">
        <v>12</v>
      </c>
      <c r="C22" s="133"/>
      <c r="D22" s="134"/>
      <c r="E22" s="10">
        <v>495700.49972605007</v>
      </c>
      <c r="F22" s="11" t="s">
        <v>3</v>
      </c>
      <c r="G22" s="1"/>
    </row>
    <row r="23" spans="1:7" ht="15" customHeight="1" x14ac:dyDescent="0.25">
      <c r="A23" s="1"/>
      <c r="B23" s="135" t="s">
        <v>86</v>
      </c>
      <c r="C23" s="136"/>
      <c r="D23" s="137"/>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9" t="s">
        <v>81</v>
      </c>
      <c r="C26" s="130"/>
      <c r="D26" s="131"/>
      <c r="E26" s="9">
        <v>0</v>
      </c>
      <c r="F26" s="8" t="s">
        <v>3</v>
      </c>
      <c r="G26" s="1"/>
    </row>
    <row r="27" spans="1:7" ht="15" customHeight="1" x14ac:dyDescent="0.25">
      <c r="A27" s="1"/>
      <c r="B27" s="129" t="s">
        <v>82</v>
      </c>
      <c r="C27" s="130"/>
      <c r="D27" s="130"/>
      <c r="E27" s="9">
        <v>0</v>
      </c>
      <c r="F27" s="8" t="s">
        <v>3</v>
      </c>
      <c r="G27" s="1"/>
    </row>
    <row r="28" spans="1:7" ht="15" customHeight="1" x14ac:dyDescent="0.25">
      <c r="A28" s="1"/>
      <c r="B28" s="138" t="s">
        <v>87</v>
      </c>
      <c r="C28" s="139"/>
      <c r="D28" s="139"/>
      <c r="E28" s="39">
        <v>0</v>
      </c>
      <c r="F28" s="11" t="s">
        <v>3</v>
      </c>
      <c r="G28" s="1"/>
    </row>
    <row r="29" spans="1:7" ht="15" customHeight="1" x14ac:dyDescent="0.25">
      <c r="A29" s="1"/>
      <c r="B29" s="32" t="s">
        <v>143</v>
      </c>
      <c r="C29" s="32"/>
      <c r="D29" s="32"/>
      <c r="E29" s="27"/>
      <c r="F29" s="19"/>
      <c r="G29" s="1"/>
    </row>
    <row r="30" spans="1:7" ht="15" customHeight="1" x14ac:dyDescent="0.25">
      <c r="A30" s="1"/>
      <c r="B30" s="132" t="s">
        <v>142</v>
      </c>
      <c r="C30" s="133"/>
      <c r="D30" s="133"/>
      <c r="E30" s="39">
        <v>0</v>
      </c>
      <c r="F30" s="11" t="s">
        <v>3</v>
      </c>
      <c r="G30" s="1"/>
    </row>
    <row r="31" spans="1:7" x14ac:dyDescent="0.25">
      <c r="A31" s="1"/>
      <c r="B31" s="32" t="s">
        <v>123</v>
      </c>
      <c r="C31" s="27"/>
      <c r="D31" s="27"/>
      <c r="E31" s="27"/>
      <c r="F31" s="19"/>
      <c r="G31" s="1"/>
    </row>
    <row r="32" spans="1:7" ht="15.4" customHeight="1" x14ac:dyDescent="0.25">
      <c r="A32" s="1"/>
      <c r="B32" s="132" t="s">
        <v>123</v>
      </c>
      <c r="C32" s="133"/>
      <c r="D32" s="134"/>
      <c r="E32" s="10">
        <v>0</v>
      </c>
      <c r="F32" s="11" t="s">
        <v>3</v>
      </c>
      <c r="G32" s="1"/>
    </row>
    <row r="33" spans="1:7" ht="15.4" customHeight="1" x14ac:dyDescent="0.25">
      <c r="A33" s="1"/>
      <c r="B33" s="135" t="s">
        <v>175</v>
      </c>
      <c r="C33" s="136"/>
      <c r="D33" s="136"/>
      <c r="E33" s="136"/>
      <c r="F33" s="137"/>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48909126.626389638</v>
      </c>
      <c r="F35" s="52" t="s">
        <v>3</v>
      </c>
      <c r="G35" s="1"/>
    </row>
    <row r="36" spans="1:7" ht="27" customHeight="1" x14ac:dyDescent="0.25">
      <c r="A36" s="1"/>
      <c r="B36" s="125" t="s">
        <v>222</v>
      </c>
      <c r="C36" s="126"/>
      <c r="D36" s="126"/>
      <c r="E36" s="126"/>
      <c r="F36" s="12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mCzLgeudV84PStcOht9LnU2uBw9/EGnANWOoD1vYBgz3zE4XtSUHQnicJUYHpPOrOb+hfguZTUR+GlEHGYhieQ==" saltValue="6HBCGg+FiqdkMZJqhZEju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topLeftCell="A57" zoomScale="90" zoomScaleNormal="100" zoomScalePageLayoutView="90" workbookViewId="0"/>
  </sheetViews>
  <sheetFormatPr defaultColWidth="9.140625" defaultRowHeight="15" x14ac:dyDescent="0.25"/>
  <cols>
    <col min="1" max="1" width="1.7109375" style="2" customWidth="1"/>
    <col min="2" max="5" width="9.140625" style="2"/>
    <col min="6" max="6" width="26.140625" style="2" customWidth="1"/>
    <col min="7" max="7" width="16.28515625" style="2" customWidth="1"/>
    <col min="8" max="8" width="3.42578125" style="2" customWidth="1"/>
    <col min="9" max="9" width="1.5703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8" t="s">
        <v>109</v>
      </c>
      <c r="C2" s="128"/>
      <c r="D2" s="128"/>
      <c r="E2" s="128"/>
      <c r="F2" s="128"/>
      <c r="G2" s="128"/>
      <c r="H2" s="128"/>
      <c r="I2" s="1"/>
    </row>
    <row r="3" spans="1:9" ht="28.5" customHeight="1" x14ac:dyDescent="0.25">
      <c r="A3" s="1"/>
      <c r="B3" s="128"/>
      <c r="C3" s="128"/>
      <c r="D3" s="128"/>
      <c r="E3" s="128"/>
      <c r="F3" s="128"/>
      <c r="G3" s="128"/>
      <c r="H3" s="128"/>
      <c r="I3" s="1"/>
    </row>
    <row r="4" spans="1:9" x14ac:dyDescent="0.25">
      <c r="A4" s="1"/>
      <c r="B4" s="135" t="s">
        <v>52</v>
      </c>
      <c r="C4" s="136"/>
      <c r="D4" s="136"/>
      <c r="E4" s="136"/>
      <c r="F4" s="136"/>
      <c r="G4" s="136"/>
      <c r="H4" s="137"/>
      <c r="I4" s="1"/>
    </row>
    <row r="5" spans="1:9" x14ac:dyDescent="0.25">
      <c r="A5" s="1"/>
      <c r="B5" s="140" t="s">
        <v>41</v>
      </c>
      <c r="C5" s="141"/>
      <c r="D5" s="141"/>
      <c r="E5" s="141"/>
      <c r="F5" s="142"/>
      <c r="G5" s="76">
        <v>17435364.801369194</v>
      </c>
      <c r="H5" s="14" t="s">
        <v>3</v>
      </c>
      <c r="I5" s="1"/>
    </row>
    <row r="6" spans="1:9" x14ac:dyDescent="0.25">
      <c r="A6" s="1"/>
      <c r="B6" s="125" t="s">
        <v>120</v>
      </c>
      <c r="C6" s="126"/>
      <c r="D6" s="126"/>
      <c r="E6" s="126"/>
      <c r="F6" s="127"/>
      <c r="G6" s="77">
        <v>0</v>
      </c>
      <c r="H6" s="14" t="s">
        <v>3</v>
      </c>
      <c r="I6" s="1"/>
    </row>
    <row r="7" spans="1:9" x14ac:dyDescent="0.25">
      <c r="A7" s="1"/>
      <c r="B7" s="140" t="s">
        <v>42</v>
      </c>
      <c r="C7" s="141"/>
      <c r="D7" s="141"/>
      <c r="E7" s="141"/>
      <c r="F7" s="142"/>
      <c r="G7" s="76">
        <f>SUM(G5:G6)*'Fane 15. Nøgletal'!C31</f>
        <v>348707.29602738388</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5" t="s">
        <v>53</v>
      </c>
      <c r="C10" s="136"/>
      <c r="D10" s="136"/>
      <c r="E10" s="136"/>
      <c r="F10" s="136"/>
      <c r="G10" s="143"/>
      <c r="H10" s="137"/>
      <c r="I10" s="1"/>
    </row>
    <row r="11" spans="1:9" x14ac:dyDescent="0.25">
      <c r="A11" s="1"/>
      <c r="B11" s="140" t="s">
        <v>43</v>
      </c>
      <c r="C11" s="141"/>
      <c r="D11" s="141"/>
      <c r="E11" s="141"/>
      <c r="F11" s="142"/>
      <c r="G11" s="76">
        <f>(G5-G7)*(1+'Fane 15. Nøgletal'!C10)</f>
        <v>17385674.011685293</v>
      </c>
      <c r="H11" s="14" t="s">
        <v>3</v>
      </c>
      <c r="I11" s="1"/>
    </row>
    <row r="12" spans="1:9" ht="15" customHeight="1" x14ac:dyDescent="0.25">
      <c r="A12" s="1"/>
      <c r="B12" s="140" t="s">
        <v>121</v>
      </c>
      <c r="C12" s="141"/>
      <c r="D12" s="141"/>
      <c r="E12" s="141"/>
      <c r="F12" s="142"/>
      <c r="G12" s="77">
        <v>-9790.8203842979583</v>
      </c>
      <c r="H12" s="14" t="s">
        <v>3</v>
      </c>
      <c r="I12" s="1"/>
    </row>
    <row r="13" spans="1:9" x14ac:dyDescent="0.25">
      <c r="A13" s="1"/>
      <c r="B13" s="125" t="s">
        <v>118</v>
      </c>
      <c r="C13" s="126"/>
      <c r="D13" s="126"/>
      <c r="E13" s="126"/>
      <c r="F13" s="127"/>
      <c r="G13" s="77">
        <v>0</v>
      </c>
      <c r="H13" s="14" t="s">
        <v>3</v>
      </c>
      <c r="I13" s="1"/>
    </row>
    <row r="14" spans="1:9" x14ac:dyDescent="0.25">
      <c r="A14" s="1"/>
      <c r="B14" s="147" t="s">
        <v>44</v>
      </c>
      <c r="C14" s="148"/>
      <c r="D14" s="148"/>
      <c r="E14" s="148"/>
      <c r="F14" s="149"/>
      <c r="G14" s="77">
        <v>0</v>
      </c>
      <c r="H14" s="14" t="s">
        <v>3</v>
      </c>
      <c r="I14" s="1"/>
    </row>
    <row r="15" spans="1:9" x14ac:dyDescent="0.25">
      <c r="A15" s="1"/>
      <c r="B15" s="140" t="s">
        <v>45</v>
      </c>
      <c r="C15" s="141"/>
      <c r="D15" s="141"/>
      <c r="E15" s="141"/>
      <c r="F15" s="142"/>
      <c r="G15" s="76">
        <f>SUM(G11:G14)*'Fane 15. Nøgletal'!C31</f>
        <v>347517.66382601991</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5" t="s">
        <v>54</v>
      </c>
      <c r="C18" s="136"/>
      <c r="D18" s="136"/>
      <c r="E18" s="136"/>
      <c r="F18" s="136"/>
      <c r="G18" s="143"/>
      <c r="H18" s="137"/>
      <c r="I18" s="1"/>
    </row>
    <row r="19" spans="1:9" x14ac:dyDescent="0.25">
      <c r="A19" s="1"/>
      <c r="B19" s="140" t="s">
        <v>46</v>
      </c>
      <c r="C19" s="141"/>
      <c r="D19" s="141"/>
      <c r="E19" s="141"/>
      <c r="F19" s="142"/>
      <c r="G19" s="76">
        <f>(SUM(G11:G12,G14)-(G15))*(1+'Fane 15. Nøgletal'!C10)</f>
        <v>17326361.924205791</v>
      </c>
      <c r="H19" s="14" t="s">
        <v>3</v>
      </c>
      <c r="I19" s="1"/>
    </row>
    <row r="20" spans="1:9" x14ac:dyDescent="0.25">
      <c r="A20" s="1"/>
      <c r="B20" s="147" t="s">
        <v>47</v>
      </c>
      <c r="C20" s="148"/>
      <c r="D20" s="148"/>
      <c r="E20" s="148"/>
      <c r="F20" s="149"/>
      <c r="G20" s="77">
        <v>0</v>
      </c>
      <c r="H20" s="14" t="s">
        <v>3</v>
      </c>
      <c r="I20" s="1"/>
    </row>
    <row r="21" spans="1:9" x14ac:dyDescent="0.25">
      <c r="A21" s="1"/>
      <c r="B21" s="140" t="s">
        <v>48</v>
      </c>
      <c r="C21" s="141"/>
      <c r="D21" s="141"/>
      <c r="E21" s="141"/>
      <c r="F21" s="142"/>
      <c r="G21" s="76">
        <f>SUM(G19:G20)*'Fane 15. Nøgletal'!C31</f>
        <v>346527.23848411581</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5" t="s">
        <v>55</v>
      </c>
      <c r="C24" s="136"/>
      <c r="D24" s="136"/>
      <c r="E24" s="136"/>
      <c r="F24" s="136"/>
      <c r="G24" s="143"/>
      <c r="H24" s="137"/>
      <c r="I24" s="1"/>
    </row>
    <row r="25" spans="1:9" x14ac:dyDescent="0.25">
      <c r="A25" s="1"/>
      <c r="B25" s="140" t="s">
        <v>49</v>
      </c>
      <c r="C25" s="141"/>
      <c r="D25" s="141"/>
      <c r="E25" s="141"/>
      <c r="F25" s="142"/>
      <c r="G25" s="76">
        <f>(G19+G20-G21)*(1+'Fane 15. Nøgletal'!C12)</f>
        <v>17314337.429030396</v>
      </c>
      <c r="H25" s="14" t="s">
        <v>3</v>
      </c>
      <c r="I25" s="1"/>
    </row>
    <row r="26" spans="1:9" x14ac:dyDescent="0.25">
      <c r="A26" s="1"/>
      <c r="B26" s="147" t="s">
        <v>50</v>
      </c>
      <c r="C26" s="148"/>
      <c r="D26" s="148"/>
      <c r="E26" s="148"/>
      <c r="F26" s="149"/>
      <c r="G26" s="77">
        <v>0</v>
      </c>
      <c r="H26" s="14" t="s">
        <v>3</v>
      </c>
      <c r="I26" s="1"/>
    </row>
    <row r="27" spans="1:9" x14ac:dyDescent="0.25">
      <c r="A27" s="1"/>
      <c r="B27" s="140" t="s">
        <v>51</v>
      </c>
      <c r="C27" s="141"/>
      <c r="D27" s="141"/>
      <c r="E27" s="141"/>
      <c r="F27" s="142"/>
      <c r="G27" s="76">
        <f>(G25+G26)*'Fane 15. Nøgletal'!C31</f>
        <v>346286.74858060793</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5" t="s">
        <v>58</v>
      </c>
      <c r="C30" s="136"/>
      <c r="D30" s="136"/>
      <c r="E30" s="136"/>
      <c r="F30" s="136"/>
      <c r="G30" s="143"/>
      <c r="H30" s="137"/>
      <c r="I30" s="1"/>
    </row>
    <row r="31" spans="1:9" x14ac:dyDescent="0.25">
      <c r="A31" s="1"/>
      <c r="B31" s="140" t="s">
        <v>59</v>
      </c>
      <c r="C31" s="141"/>
      <c r="D31" s="141"/>
      <c r="E31" s="141"/>
      <c r="F31" s="142"/>
      <c r="G31" s="76">
        <f>(G25+G26-G27)*(1+'Fane 15. Nøgletal'!C12)</f>
        <v>17302321.27885465</v>
      </c>
      <c r="H31" s="14" t="s">
        <v>3</v>
      </c>
      <c r="I31" s="1"/>
    </row>
    <row r="32" spans="1:9" x14ac:dyDescent="0.25">
      <c r="A32" s="1"/>
      <c r="B32" s="140" t="s">
        <v>137</v>
      </c>
      <c r="C32" s="141"/>
      <c r="D32" s="141"/>
      <c r="E32" s="141"/>
      <c r="F32" s="142"/>
      <c r="G32" s="76">
        <v>554897.70084168005</v>
      </c>
      <c r="H32" s="14" t="s">
        <v>3</v>
      </c>
      <c r="I32" s="1"/>
    </row>
    <row r="33" spans="1:9" x14ac:dyDescent="0.25">
      <c r="A33" s="1"/>
      <c r="B33" s="140" t="s">
        <v>60</v>
      </c>
      <c r="C33" s="141"/>
      <c r="D33" s="141"/>
      <c r="E33" s="141"/>
      <c r="F33" s="142"/>
      <c r="G33" s="76">
        <f>(G31+G32)*'Fane 15. Nøgletal'!C31</f>
        <v>357144.3795939266</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5" t="s">
        <v>160</v>
      </c>
      <c r="C36" s="136"/>
      <c r="D36" s="136"/>
      <c r="E36" s="136"/>
      <c r="F36" s="136"/>
      <c r="G36" s="143"/>
      <c r="H36" s="137"/>
      <c r="I36" s="1"/>
    </row>
    <row r="37" spans="1:9" x14ac:dyDescent="0.25">
      <c r="A37" s="1"/>
      <c r="B37" s="140" t="s">
        <v>79</v>
      </c>
      <c r="C37" s="141"/>
      <c r="D37" s="141"/>
      <c r="E37" s="141"/>
      <c r="F37" s="142"/>
      <c r="G37" s="76">
        <f>(G31+G32-G33)*(1+'Fane 15. Nøgletal'!C14)</f>
        <v>17557824.846282743</v>
      </c>
      <c r="H37" s="14" t="s">
        <v>3</v>
      </c>
      <c r="I37" s="1"/>
    </row>
    <row r="38" spans="1:9" x14ac:dyDescent="0.25">
      <c r="A38" s="1"/>
      <c r="B38" s="140" t="s">
        <v>164</v>
      </c>
      <c r="C38" s="141"/>
      <c r="D38" s="141"/>
      <c r="E38" s="141"/>
      <c r="F38" s="142"/>
      <c r="G38" s="76">
        <v>0</v>
      </c>
      <c r="H38" s="14" t="s">
        <v>3</v>
      </c>
      <c r="I38" s="1"/>
    </row>
    <row r="39" spans="1:9" x14ac:dyDescent="0.25">
      <c r="A39" s="1"/>
      <c r="B39" s="140" t="s">
        <v>162</v>
      </c>
      <c r="C39" s="141"/>
      <c r="D39" s="141"/>
      <c r="E39" s="141"/>
      <c r="F39" s="142"/>
      <c r="G39" s="76">
        <f>(G37+G38)*'Fane 15. Nøgletal'!C31</f>
        <v>351156.49692565488</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5" t="s">
        <v>161</v>
      </c>
      <c r="C42" s="136"/>
      <c r="D42" s="136"/>
      <c r="E42" s="136"/>
      <c r="F42" s="136"/>
      <c r="G42" s="143"/>
      <c r="H42" s="137"/>
      <c r="I42" s="1"/>
    </row>
    <row r="43" spans="1:9" x14ac:dyDescent="0.25">
      <c r="A43" s="1"/>
      <c r="B43" s="140" t="s">
        <v>228</v>
      </c>
      <c r="C43" s="141"/>
      <c r="D43" s="141"/>
      <c r="E43" s="141"/>
      <c r="F43" s="142"/>
      <c r="G43" s="76">
        <f>(G37+G38-G39)*(1+'Fane 15. Nøgletal'!C14)</f>
        <v>17263450.354909968</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28107.224570880004</v>
      </c>
      <c r="H44" s="14" t="s">
        <v>3</v>
      </c>
      <c r="I44" s="1"/>
    </row>
    <row r="45" spans="1:9" x14ac:dyDescent="0.25">
      <c r="A45" s="1"/>
      <c r="B45" s="140" t="s">
        <v>163</v>
      </c>
      <c r="C45" s="141"/>
      <c r="D45" s="141"/>
      <c r="E45" s="141"/>
      <c r="F45" s="142"/>
      <c r="G45" s="76">
        <f>SUM(G43:G44)*'Fane 15. Nøgletal'!C31</f>
        <v>345831.15158961702</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5" t="s">
        <v>241</v>
      </c>
      <c r="C51" s="136"/>
      <c r="D51" s="136"/>
      <c r="E51" s="136"/>
      <c r="F51" s="136"/>
      <c r="G51" s="143"/>
      <c r="H51" s="137"/>
      <c r="I51" s="1"/>
    </row>
    <row r="52" spans="1:9" x14ac:dyDescent="0.25">
      <c r="A52" s="1"/>
      <c r="B52" s="140" t="s">
        <v>227</v>
      </c>
      <c r="C52" s="141"/>
      <c r="D52" s="141"/>
      <c r="E52" s="141"/>
      <c r="F52" s="142"/>
      <c r="G52" s="76">
        <f>(G43+G44-G45)*(1+'Fane 15. Nøgletal'!C15)</f>
        <v>17548994.288724162</v>
      </c>
      <c r="H52" s="14" t="s">
        <v>3</v>
      </c>
      <c r="I52" s="1"/>
    </row>
    <row r="53" spans="1:9" x14ac:dyDescent="0.25">
      <c r="A53" s="1"/>
      <c r="B53" s="140" t="s">
        <v>138</v>
      </c>
      <c r="C53" s="141"/>
      <c r="D53" s="141"/>
      <c r="E53" s="141"/>
      <c r="F53" s="142"/>
      <c r="G53" s="76">
        <f>(G52)*'Fane 15. Nøgletal'!C31</f>
        <v>350979.88577448326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5" t="s">
        <v>150</v>
      </c>
      <c r="C56" s="136"/>
      <c r="D56" s="136"/>
      <c r="E56" s="136"/>
      <c r="F56" s="136"/>
      <c r="G56" s="143"/>
      <c r="H56" s="137"/>
      <c r="I56" s="1"/>
    </row>
    <row r="57" spans="1:9" x14ac:dyDescent="0.25">
      <c r="A57" s="1"/>
      <c r="B57" s="91" t="s">
        <v>151</v>
      </c>
      <c r="C57" s="92"/>
      <c r="D57" s="92"/>
      <c r="E57" s="92"/>
      <c r="F57" s="93"/>
      <c r="G57" s="76">
        <f>(G52-G53)*(1+'Fane 15. Nøgletal'!C15)</f>
        <v>17810263.715694688</v>
      </c>
      <c r="H57" s="14" t="s">
        <v>3</v>
      </c>
      <c r="I57" s="1"/>
    </row>
    <row r="58" spans="1:9" x14ac:dyDescent="0.25">
      <c r="A58" s="1"/>
      <c r="B58" s="91" t="s">
        <v>152</v>
      </c>
      <c r="C58" s="92"/>
      <c r="D58" s="92"/>
      <c r="E58" s="92"/>
      <c r="F58" s="93"/>
      <c r="G58" s="76">
        <f>(G57)*'Fane 15. Nøgletal'!C31</f>
        <v>356205.27431389375</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5" t="s">
        <v>193</v>
      </c>
      <c r="C61" s="136"/>
      <c r="D61" s="136"/>
      <c r="E61" s="136"/>
      <c r="F61" s="136"/>
      <c r="G61" s="143"/>
      <c r="H61" s="137"/>
      <c r="I61" s="1"/>
    </row>
    <row r="62" spans="1:9" x14ac:dyDescent="0.25">
      <c r="A62" s="1"/>
      <c r="B62" s="91" t="s">
        <v>194</v>
      </c>
      <c r="C62" s="92"/>
      <c r="D62" s="92"/>
      <c r="E62" s="92"/>
      <c r="F62" s="93"/>
      <c r="G62" s="76">
        <f>(G57-G58)*(1+'Fane 15. Nøgletal'!C15)</f>
        <v>18075422.921893954</v>
      </c>
      <c r="H62" s="14" t="s">
        <v>3</v>
      </c>
      <c r="I62" s="1"/>
    </row>
    <row r="63" spans="1:9" x14ac:dyDescent="0.25">
      <c r="A63" s="1"/>
      <c r="B63" s="91" t="s">
        <v>195</v>
      </c>
      <c r="C63" s="92"/>
      <c r="D63" s="92"/>
      <c r="E63" s="92"/>
      <c r="F63" s="93"/>
      <c r="G63" s="76">
        <f>(G62)*'Fane 15. Nøgletal'!C31</f>
        <v>361508.4584378791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EYyy7oLxGJJcBkTf0u0XBgiVxQjF7+J/nkQCHvhbnk57FMDe8FSL861uDRBHN9WysYlw3gEkoDveZO3DUA4dxQ==" saltValue="jKZ+lsTRxlSRx3v4IJ3Ilw=="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topLeftCell="A45" zoomScale="87" zoomScaleNormal="100" zoomScalePageLayoutView="87" workbookViewId="0"/>
  </sheetViews>
  <sheetFormatPr defaultColWidth="9.140625" defaultRowHeight="15" x14ac:dyDescent="0.25"/>
  <cols>
    <col min="1" max="1" width="2.140625" style="2" customWidth="1"/>
    <col min="2" max="5" width="9.140625" style="2"/>
    <col min="6" max="6" width="28.5703125" style="2" customWidth="1"/>
    <col min="7" max="7" width="14.140625" style="2" customWidth="1"/>
    <col min="8" max="8" width="3.28515625" style="2" customWidth="1"/>
    <col min="9" max="9" width="2.28515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5" t="s">
        <v>56</v>
      </c>
      <c r="C4" s="136"/>
      <c r="D4" s="136"/>
      <c r="E4" s="136"/>
      <c r="F4" s="136"/>
      <c r="G4" s="136"/>
      <c r="H4" s="137"/>
      <c r="I4" s="1"/>
    </row>
    <row r="5" spans="1:9" x14ac:dyDescent="0.25">
      <c r="A5" s="1"/>
      <c r="B5" s="140" t="s">
        <v>61</v>
      </c>
      <c r="C5" s="141"/>
      <c r="D5" s="141"/>
      <c r="E5" s="141"/>
      <c r="F5" s="142"/>
      <c r="G5" s="76">
        <v>34281390.485455699</v>
      </c>
      <c r="H5" s="14" t="s">
        <v>3</v>
      </c>
      <c r="I5" s="1"/>
    </row>
    <row r="6" spans="1:9" x14ac:dyDescent="0.25">
      <c r="A6" s="1"/>
      <c r="B6" s="140" t="s">
        <v>57</v>
      </c>
      <c r="C6" s="141"/>
      <c r="D6" s="141"/>
      <c r="E6" s="141"/>
      <c r="F6" s="142"/>
      <c r="G6" s="76">
        <f>G5*'Fane 15. Nøgletal'!C20</f>
        <v>311960.65341764688</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5" t="s">
        <v>62</v>
      </c>
      <c r="C9" s="136"/>
      <c r="D9" s="136"/>
      <c r="E9" s="136"/>
      <c r="F9" s="136"/>
      <c r="G9" s="143"/>
      <c r="H9" s="137"/>
      <c r="I9" s="1"/>
    </row>
    <row r="10" spans="1:9" x14ac:dyDescent="0.25">
      <c r="A10" s="1"/>
      <c r="B10" s="140" t="s">
        <v>63</v>
      </c>
      <c r="C10" s="141"/>
      <c r="D10" s="141"/>
      <c r="E10" s="141"/>
      <c r="F10" s="142"/>
      <c r="G10" s="76">
        <f>(G5-G6)*(1+'Fane 15. Nøgletal'!C10)</f>
        <v>34563894.854098722</v>
      </c>
      <c r="H10" s="14" t="s">
        <v>3</v>
      </c>
      <c r="I10" s="1"/>
    </row>
    <row r="11" spans="1:9" x14ac:dyDescent="0.25">
      <c r="A11" s="1"/>
      <c r="B11" s="140" t="s">
        <v>122</v>
      </c>
      <c r="C11" s="141"/>
      <c r="D11" s="141"/>
      <c r="E11" s="141"/>
      <c r="F11" s="142"/>
      <c r="G11" s="76">
        <v>890556.02083197457</v>
      </c>
      <c r="H11" s="14" t="s">
        <v>3</v>
      </c>
      <c r="I11" s="1"/>
    </row>
    <row r="12" spans="1:9" x14ac:dyDescent="0.25">
      <c r="A12" s="1"/>
      <c r="B12" s="147" t="s">
        <v>64</v>
      </c>
      <c r="C12" s="148"/>
      <c r="D12" s="148"/>
      <c r="E12" s="148"/>
      <c r="F12" s="149"/>
      <c r="G12" s="77">
        <v>0</v>
      </c>
      <c r="H12" s="14" t="s">
        <v>3</v>
      </c>
      <c r="I12" s="1"/>
    </row>
    <row r="13" spans="1:9" x14ac:dyDescent="0.25">
      <c r="A13" s="1"/>
      <c r="B13" s="140" t="s">
        <v>65</v>
      </c>
      <c r="C13" s="141"/>
      <c r="D13" s="141"/>
      <c r="E13" s="141"/>
      <c r="F13" s="142"/>
      <c r="G13" s="76">
        <f>SUM(G10:G12)*'Fane 15. Nøgletal'!C21</f>
        <v>627543.78048627335</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5" t="s">
        <v>66</v>
      </c>
      <c r="C16" s="136"/>
      <c r="D16" s="136"/>
      <c r="E16" s="136"/>
      <c r="F16" s="136"/>
      <c r="G16" s="143"/>
      <c r="H16" s="137"/>
      <c r="I16" s="1"/>
    </row>
    <row r="17" spans="1:9" x14ac:dyDescent="0.25">
      <c r="A17" s="1"/>
      <c r="B17" s="140" t="s">
        <v>67</v>
      </c>
      <c r="C17" s="141"/>
      <c r="D17" s="141"/>
      <c r="E17" s="141"/>
      <c r="F17" s="142"/>
      <c r="G17" s="76">
        <f>(SUM(G10:G12)-G13)*(1+'Fane 15. Nøgletal'!C10)</f>
        <v>35436377.968597203</v>
      </c>
      <c r="H17" s="14" t="s">
        <v>3</v>
      </c>
      <c r="I17" s="1"/>
    </row>
    <row r="18" spans="1:9" x14ac:dyDescent="0.25">
      <c r="A18" s="1"/>
      <c r="B18" s="147" t="s">
        <v>68</v>
      </c>
      <c r="C18" s="148"/>
      <c r="D18" s="148"/>
      <c r="E18" s="148"/>
      <c r="F18" s="149"/>
      <c r="G18" s="76">
        <v>467681.76249225991</v>
      </c>
      <c r="H18" s="14" t="s">
        <v>3</v>
      </c>
      <c r="I18" s="1"/>
    </row>
    <row r="19" spans="1:9" x14ac:dyDescent="0.25">
      <c r="A19" s="1"/>
      <c r="B19" s="140" t="s">
        <v>69</v>
      </c>
      <c r="C19" s="141"/>
      <c r="D19" s="141"/>
      <c r="E19" s="141"/>
      <c r="F19" s="142"/>
      <c r="G19" s="76">
        <f>G17*'Fane 15. Nøgletal'!C21+G18*'Fane 15. Nøgletal'!C22</f>
        <v>631292.72137785319</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5" t="s">
        <v>70</v>
      </c>
      <c r="C22" s="136"/>
      <c r="D22" s="136"/>
      <c r="E22" s="136"/>
      <c r="F22" s="136"/>
      <c r="G22" s="143"/>
      <c r="H22" s="137"/>
      <c r="I22" s="1"/>
    </row>
    <row r="23" spans="1:9" x14ac:dyDescent="0.25">
      <c r="A23" s="1"/>
      <c r="B23" s="140" t="s">
        <v>71</v>
      </c>
      <c r="C23" s="141"/>
      <c r="D23" s="141"/>
      <c r="E23" s="141"/>
      <c r="F23" s="142"/>
      <c r="G23" s="76">
        <f>(G17+G18-G19)*(1+'Fane 15. Nøgletal'!C12)</f>
        <v>35967640.519802935</v>
      </c>
      <c r="H23" s="14" t="s">
        <v>3</v>
      </c>
      <c r="I23" s="1"/>
    </row>
    <row r="24" spans="1:9" x14ac:dyDescent="0.25">
      <c r="A24" s="1"/>
      <c r="B24" s="147" t="s">
        <v>72</v>
      </c>
      <c r="C24" s="148"/>
      <c r="D24" s="148"/>
      <c r="E24" s="148"/>
      <c r="F24" s="149"/>
      <c r="G24" s="76">
        <v>0</v>
      </c>
      <c r="H24" s="14" t="s">
        <v>3</v>
      </c>
      <c r="I24" s="1"/>
    </row>
    <row r="25" spans="1:9" x14ac:dyDescent="0.25">
      <c r="A25" s="1"/>
      <c r="B25" s="140" t="s">
        <v>73</v>
      </c>
      <c r="C25" s="141"/>
      <c r="D25" s="141"/>
      <c r="E25" s="141"/>
      <c r="F25" s="142"/>
      <c r="G25" s="76">
        <f>(G23+G24)*'Fane 15. Nøgletal'!C23</f>
        <v>1021480.9907624035</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5" t="s">
        <v>74</v>
      </c>
      <c r="C28" s="136"/>
      <c r="D28" s="136"/>
      <c r="E28" s="136"/>
      <c r="F28" s="136"/>
      <c r="G28" s="143"/>
      <c r="H28" s="137"/>
      <c r="I28" s="1"/>
    </row>
    <row r="29" spans="1:9" x14ac:dyDescent="0.25">
      <c r="A29" s="1"/>
      <c r="B29" s="140" t="s">
        <v>75</v>
      </c>
      <c r="C29" s="141"/>
      <c r="D29" s="141"/>
      <c r="E29" s="141"/>
      <c r="F29" s="142"/>
      <c r="G29" s="76">
        <f>(G23+G24-G25)*(1+'Fane 15. Nøgletal'!C12)</f>
        <v>35634598.871762633</v>
      </c>
      <c r="H29" s="14" t="s">
        <v>3</v>
      </c>
      <c r="I29" s="1"/>
    </row>
    <row r="30" spans="1:9" x14ac:dyDescent="0.25">
      <c r="A30" s="1"/>
      <c r="B30" s="140" t="s">
        <v>139</v>
      </c>
      <c r="C30" s="141"/>
      <c r="D30" s="141"/>
      <c r="E30" s="141"/>
      <c r="F30" s="142"/>
      <c r="G30" s="76">
        <v>989913.96646380005</v>
      </c>
      <c r="H30" s="14" t="s">
        <v>3</v>
      </c>
      <c r="I30" s="1"/>
    </row>
    <row r="31" spans="1:9" x14ac:dyDescent="0.25">
      <c r="A31" s="1"/>
      <c r="B31" s="140" t="s">
        <v>76</v>
      </c>
      <c r="C31" s="141"/>
      <c r="D31" s="141"/>
      <c r="E31" s="141"/>
      <c r="F31" s="142"/>
      <c r="G31" s="76">
        <f>G29*'Fane 15. Nøgletal'!C23+G30*'Fane 15. Nøgletal'!C24</f>
        <v>1039245.2420358133</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5" t="s">
        <v>165</v>
      </c>
      <c r="C34" s="136"/>
      <c r="D34" s="136"/>
      <c r="E34" s="136"/>
      <c r="F34" s="136"/>
      <c r="G34" s="143"/>
      <c r="H34" s="137"/>
      <c r="I34" s="1"/>
    </row>
    <row r="35" spans="1:9" x14ac:dyDescent="0.25">
      <c r="A35" s="1"/>
      <c r="B35" s="140" t="s">
        <v>78</v>
      </c>
      <c r="C35" s="141"/>
      <c r="D35" s="141"/>
      <c r="E35" s="141"/>
      <c r="F35" s="142"/>
      <c r="G35" s="76">
        <f>(G29+G30-G31)*(1+'Fane 15. Nøgletal'!C14)</f>
        <v>35702698.979258046</v>
      </c>
      <c r="H35" s="14" t="s">
        <v>3</v>
      </c>
      <c r="I35" s="1"/>
    </row>
    <row r="36" spans="1:9" x14ac:dyDescent="0.25">
      <c r="A36" s="1"/>
      <c r="B36" s="140" t="s">
        <v>167</v>
      </c>
      <c r="C36" s="141"/>
      <c r="D36" s="141"/>
      <c r="E36" s="141"/>
      <c r="F36" s="142"/>
      <c r="G36" s="76">
        <v>0</v>
      </c>
      <c r="H36" s="14" t="s">
        <v>3</v>
      </c>
      <c r="I36" s="1"/>
    </row>
    <row r="37" spans="1:9" x14ac:dyDescent="0.25">
      <c r="A37" s="1"/>
      <c r="B37" s="140" t="s">
        <v>166</v>
      </c>
      <c r="C37" s="141"/>
      <c r="D37" s="141"/>
      <c r="E37" s="141"/>
      <c r="F37" s="142"/>
      <c r="G37" s="76">
        <f>(G35+G36)*'Fane 15. Nøgletal'!C25</f>
        <v>528399.94489301904</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5" t="s">
        <v>221</v>
      </c>
      <c r="C40" s="136"/>
      <c r="D40" s="136"/>
      <c r="E40" s="136"/>
      <c r="F40" s="136"/>
      <c r="G40" s="143"/>
      <c r="H40" s="137"/>
      <c r="I40" s="1"/>
    </row>
    <row r="41" spans="1:9" x14ac:dyDescent="0.25">
      <c r="A41" s="1"/>
      <c r="B41" s="140" t="s">
        <v>77</v>
      </c>
      <c r="C41" s="141"/>
      <c r="D41" s="141"/>
      <c r="E41" s="141"/>
      <c r="F41" s="142"/>
      <c r="G41" s="76">
        <f>(G35+G36-G37)*(1+'Fane 15. Nøgletal'!C14)</f>
        <v>35290374.221178435</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11660.937605280002</v>
      </c>
      <c r="H42" s="14" t="s">
        <v>3</v>
      </c>
      <c r="I42" s="1"/>
    </row>
    <row r="43" spans="1:9" x14ac:dyDescent="0.25">
      <c r="A43" s="1"/>
      <c r="B43" s="140" t="s">
        <v>168</v>
      </c>
      <c r="C43" s="141"/>
      <c r="D43" s="141"/>
      <c r="E43" s="141"/>
      <c r="F43" s="142"/>
      <c r="G43" s="76">
        <f>(G41)*'Fane 15. Nøgletal'!C25+G42*'Fane 15. Nøgletal'!C26</f>
        <v>522297.53847344086</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5" t="s">
        <v>242</v>
      </c>
      <c r="C52" s="136"/>
      <c r="D52" s="136"/>
      <c r="E52" s="136"/>
      <c r="F52" s="136"/>
      <c r="G52" s="143"/>
      <c r="H52" s="137"/>
      <c r="I52" s="1"/>
    </row>
    <row r="53" spans="1:9" x14ac:dyDescent="0.25">
      <c r="A53" s="1"/>
      <c r="B53" s="140" t="s">
        <v>140</v>
      </c>
      <c r="C53" s="141"/>
      <c r="D53" s="141"/>
      <c r="E53" s="141"/>
      <c r="F53" s="142"/>
      <c r="G53" s="76">
        <f>(G41+G42-G43)*(1+'Fane 15. Nøgletal'!C15)</f>
        <v>36017896.279593319</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5" t="s">
        <v>153</v>
      </c>
      <c r="C57" s="136"/>
      <c r="D57" s="136"/>
      <c r="E57" s="136"/>
      <c r="F57" s="136"/>
      <c r="G57" s="143"/>
      <c r="H57" s="137"/>
      <c r="I57" s="1"/>
    </row>
    <row r="58" spans="1:9" x14ac:dyDescent="0.25">
      <c r="A58" s="1"/>
      <c r="B58" s="140" t="s">
        <v>173</v>
      </c>
      <c r="C58" s="141"/>
      <c r="D58" s="141"/>
      <c r="E58" s="141"/>
      <c r="F58" s="142"/>
      <c r="G58" s="76">
        <f>(G53-G54)*(1+'Fane 15. Nøgletal'!C15)</f>
        <v>37300133.387146845</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5" t="s">
        <v>196</v>
      </c>
      <c r="C62" s="136"/>
      <c r="D62" s="136"/>
      <c r="E62" s="136"/>
      <c r="F62" s="136"/>
      <c r="G62" s="143"/>
      <c r="H62" s="137"/>
      <c r="I62" s="1"/>
    </row>
    <row r="63" spans="1:9" x14ac:dyDescent="0.25">
      <c r="A63" s="1"/>
      <c r="B63" s="140" t="s">
        <v>197</v>
      </c>
      <c r="C63" s="141"/>
      <c r="D63" s="141"/>
      <c r="E63" s="141"/>
      <c r="F63" s="142"/>
      <c r="G63" s="76">
        <f>(G58-G59)*(1+'Fane 15. Nøgletal'!C15)</f>
        <v>38628018.135729276</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1uxTxIBmsyJEXgTCNB2rjgDfDo0WDCBGXlZvrTeFtAHqR6i7ork9JLlhuLsHVxzlAth4MDUQEYK09kd++K2g0A==" saltValue="RfYz7E5clcLNtxMyNQVrnQ=="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topLeftCell="A17" zoomScaleNormal="100" workbookViewId="0">
      <selection activeCell="D20" sqref="D20"/>
    </sheetView>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0" t="s">
        <v>154</v>
      </c>
      <c r="C9" s="141"/>
      <c r="D9" s="141"/>
      <c r="E9" s="141"/>
      <c r="F9" s="142"/>
      <c r="G9" s="35">
        <v>0.02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gUgG72e6v7xmtMk0k/VAbgTFtg7JGJcBotktlhzZybY3He0hPCQZmoWNISrQu57OBQGf7oV+uPy2bySHJ+jzKA==" saltValue="h+nyWa+yzqyDcbbrZZBRC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2022-12-01T08:53:03Z</dcterms:modified>
</cp:coreProperties>
</file>