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vendborg Spildevand AS (S091)\ØR2022\"/>
    </mc:Choice>
  </mc:AlternateContent>
  <bookViews>
    <workbookView xWindow="3105" yWindow="998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3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3" i="37" s="1"/>
  <c r="C14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3" i="37" s="1"/>
  <c r="E14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<sst xmlns="http://schemas.openxmlformats.org/spreadsheetml/2006/main" count="708" uniqueCount="287">
  <si>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</si>
  <si>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</si>
  <si>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</si>
  <si>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</si>
  <si>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</si>
  <si>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</si>
  <si>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</si>
  <si>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</si>
  <si>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</si>
  <si>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</si>
  <si>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</si>
  <si>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</si>
  <si>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</si>
  <si>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</si>
  <si>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</si>
  <si>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</si>
  <si>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</si>
  <si>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</si>
  <si>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</si>
  <si>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</si>
  <si>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</si>
  <si>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</si>
  <si>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</si>
  <si>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</si>
  <si>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</si>
  <si>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</si>
  <si>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</si>
  <si>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</si>
  <si>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</si>
  <si>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</si>
  <si>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</si>
  <si>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</si>
  <si>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</si>
  <si>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</si>
  <si>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</si>
  <si>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</si>
  <si>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</si>
  <si>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</si>
  <si>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</si>
  <si>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</si>
  <si>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</si>
  <si>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</si>
  <si>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</si>
  <si>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</si>
  <si>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</si>
  <si>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</si>
  <si>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</si>
  <si>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</si>
  <si>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</si>
  <si>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</si>
  <si>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</si>
  <si>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</si>
  <si>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</si>
  <si>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</si>
  <si>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</si>
  <si>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</si>
  <si>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</si>
  <si>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</si>
  <si>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</si>
  <si>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</si>
  <si>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</si>
  <si>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</si>
  <si>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</si>
  <si>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</si>
  <si>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</si>
  <si>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</si>
  <si>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</si>
  <si>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</si>
  <si>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</si>
  <si>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</si>
  <si>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</si>
  <si>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</si>
  <si>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</si>
  <si>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</si>
  <si>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</si>
  <si>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</si>
  <si>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</si>
  <si>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</si>
  <si>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</si>
  <si>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</si>
  <si>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</si>
  <si>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</si>
  <si>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</si>
  <si>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</si>
  <si>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</si>
  <si>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</si>
  <si>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</si>
  <si>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</si>
  <si>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</si>
  <si>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</si>
  <si>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</si>
  <si>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</si>
  <si>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</si>
  <si>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</si>
  <si>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</si>
  <si>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</si>
  <si>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</si>
  <si>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</si>
  <si>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</si>
  <si>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</si>
  <si>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</si>
  <si>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</si>
  <si>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</si>
  <si>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</si>
  <si>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</si>
  <si>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</si>
  <si>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</si>
  <si>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</si>
  <si>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</si>
  <si>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</si>
  <si>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</si>
  <si>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</si>
  <si>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</si>
  <si>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</si>
  <si>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</si>
  <si>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</si>
  <si>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</si>
  <si>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</si>
  <si>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</si>
  <si>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</si>
  <si>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</si>
  <si>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</si>
  <si>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</si>
  <si>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</si>
  <si>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</si>
  <si>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</si>
  <si>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</si>
  <si>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</si>
  <si>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</si>
  <si>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</si>
  <si>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</si>
  <si>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</si>
  <si>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</si>
  <si>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</si>
  <si>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</si>
  <si>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</si>
  <si>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</si>
  <si>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</si>
  <si>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</si>
  <si>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</si>
  <si>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</si>
  <si>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</si>
  <si>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</si>
  <si>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</si>
  <si>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</si>
  <si>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</si>
  <si>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</si>
  <si>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</si>
  <si>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</si>
  <si>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</si>
  <si>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</si>
  <si>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</si>
  <si>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</si>
  <si>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</si>
  <si>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</si>
  <si>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</si>
  <si>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</si>
  <si>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</si>
  <si>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</si>
  <si>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</si>
  <si>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</si>
  <si>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</si>
  <si>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</si>
  <si>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</si>
  <si>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</si>
  <si>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</si>
  <si>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</si>
  <si>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</si>
  <si>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</si>
  <si>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</si>
  <si>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</si>
  <si>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</si>
  <si>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</si>
  <si>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</si>
  <si>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</si>
  <si>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</si>
  <si>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</si>
  <si>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</si>
  <si>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</si>
  <si>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</si>
  <si>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</si>
  <si>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</si>
  <si>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</si>
  <si>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</si>
  <si>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</si>
  <si>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</si>
  <si>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</si>
  <si>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</si>
  <si>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</si>
  <si>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</si>
  <si>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</si>
  <si>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</si>
  <si>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</si>
  <si>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</si>
  <si>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</si>
  <si>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</si>
  <si>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</si>
  <si>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</si>
  <si>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</si>
  <si>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</si>
  <si>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</si>
  <si>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</si>
  <si>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</si>
  <si>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</si>
  <si>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</si>
  <si>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</si>
  <si>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</si>
  <si>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</si>
  <si>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</si>
  <si>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</si>
  <si>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</si>
  <si>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</si>
  <si>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</si>
  <si>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</si>
  <si>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</si>
  <si>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</si>
  <si>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</si>
  <si>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</si>
  <si>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</si>
  <si>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</si>
  <si>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</si>
  <si>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</si>
  <si>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</si>
  <si>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</si>
  <si>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</si>
  <si>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</si>
  <si>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</si>
  <si>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</si>
  <si>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</si>
  <si>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</si>
  <si>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</si>
  <si>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</si>
  <si>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</si>
  <si>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</si>
  <si>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</si>
  <si>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</si>
  <si>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</si>
  <si>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</si>
  <si>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</si>
  <si>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</si>
  <si>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</si>
  <si>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</si>
  <si>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</si>
  <si>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</si>
  <si>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</si>
  <si>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</si>
  <si>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</si>
  <si>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</si>
  <si>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</si>
  <si>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</si>
  <si>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</si>
  <si>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</si>
  <si>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</si>
  <si>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</si>
  <si>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</si>
  <si>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</si>
  <si>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</si>
  <si>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</si>
  <si>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</si>
  <si>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</si>
  <si>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</si>
  <si>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</si>
  <si>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</si>
  <si>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</si>
  <si>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</si>
  <si>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</si>
  <si>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</si>
  <si>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</si>
  <si>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</si>
  <si>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</si>
  <si>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</si>
  <si>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</si>
  <si>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</si>
  <si>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</si>
  <si>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</si>
  <si>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</si>
  <si>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</si>
  <si>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</si>
  <si>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Flytning af forsyningsledninger</t>
  </si>
  <si>
    <t>Udvidelse af forsyningsområdet</t>
  </si>
  <si>
    <t>Aflastning af Egebjerg syd Renseanlæg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</si>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</sst>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6640625" style="2" customWidth="1"/>
    <col min="6" max="6" width="11.531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4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5">
      <c r="A8" s="1"/>
      <c r="B8" s="1"/>
      <c r="C8" s="4"/>
      <c r="D8" s="80" t="s">
        <v>285</v>
      </c>
      <c r="E8" s="80"/>
      <c r="F8" s="80"/>
      <c r="G8" s="80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4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4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4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4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4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4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4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4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4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4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4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4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4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4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4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4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4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Bm9+mhpqMBo9WlAZUA/7x1cIct8WZD00h2nwA+5s/ypaXefD0Jh1HnUmcKNtVzmkQzLlX+pywvdozTFi1xgSA==" saltValue="AlAk4HqTKwE8An62vhwdh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332031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7" t="s">
        <v>132</v>
      </c>
      <c r="C3" s="87"/>
      <c r="D3" s="87"/>
      <c r="E3" s="1"/>
      <c r="F3" s="1"/>
    </row>
    <row r="4" spans="1:6" ht="15" customHeight="1" x14ac:dyDescent="0.45">
      <c r="A4" s="1"/>
      <c r="B4" s="87"/>
      <c r="C4" s="87"/>
      <c r="D4" s="87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208</v>
      </c>
      <c r="C8" s="96"/>
      <c r="D8" s="97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x14ac:dyDescent="0.45">
      <c r="A10" s="1"/>
      <c r="B10" s="64" t="s">
        <v>262</v>
      </c>
      <c r="C10" s="9">
        <v>1320645</v>
      </c>
      <c r="D10" s="14" t="s">
        <v>3</v>
      </c>
      <c r="E10" s="1"/>
      <c r="F10" s="1"/>
    </row>
    <row r="11" spans="1:6" x14ac:dyDescent="0.45">
      <c r="A11" s="1"/>
      <c r="B11" s="64" t="s">
        <v>263</v>
      </c>
      <c r="C11" s="9">
        <v>91645</v>
      </c>
      <c r="D11" s="14" t="s">
        <v>3</v>
      </c>
      <c r="E11" s="1"/>
      <c r="F11" s="1"/>
    </row>
    <row r="12" spans="1:6" x14ac:dyDescent="0.45">
      <c r="A12" s="1"/>
      <c r="B12" s="64" t="s">
        <v>264</v>
      </c>
      <c r="C12" s="9">
        <v>309390</v>
      </c>
      <c r="D12" s="14" t="s">
        <v>3</v>
      </c>
      <c r="E12" s="1"/>
      <c r="F12" s="1"/>
    </row>
    <row r="13" spans="1:6" x14ac:dyDescent="0.45">
      <c r="A13" s="1"/>
      <c r="B13" s="38" t="s">
        <v>209</v>
      </c>
      <c r="C13" s="12">
        <f>SUM(C10:C12)</f>
        <v>1721680</v>
      </c>
      <c r="D13" s="13" t="s">
        <v>3</v>
      </c>
      <c r="E13" s="1"/>
      <c r="F13" s="1"/>
    </row>
    <row r="14" spans="1:6" x14ac:dyDescent="0.45">
      <c r="A14" s="1"/>
      <c r="B14" s="38" t="s">
        <v>210</v>
      </c>
      <c r="C14" s="12">
        <f>C13*(1+'Fane 14. Nøgletal'!C14)^2</f>
        <v>1733061.8370952003</v>
      </c>
      <c r="D14" s="13" t="s">
        <v>3</v>
      </c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95" t="s">
        <v>142</v>
      </c>
      <c r="C17" s="96"/>
      <c r="D17" s="97"/>
      <c r="E17" s="1"/>
      <c r="F17" s="1"/>
    </row>
    <row r="18" spans="1:6" x14ac:dyDescent="0.45">
      <c r="A18" s="1"/>
      <c r="B18" s="64" t="s">
        <v>116</v>
      </c>
      <c r="C18" s="9">
        <v>0</v>
      </c>
      <c r="D18" s="14" t="s">
        <v>3</v>
      </c>
      <c r="E18" s="1"/>
      <c r="F18" s="1"/>
    </row>
    <row r="19" spans="1:6" x14ac:dyDescent="0.45">
      <c r="A19" s="1"/>
      <c r="B19" s="64" t="s">
        <v>117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4" t="s">
        <v>154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4" t="s">
        <v>211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95"/>
      <c r="C22" s="96"/>
      <c r="D22" s="97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95" t="s">
        <v>115</v>
      </c>
      <c r="C25" s="96"/>
      <c r="D25" s="97"/>
      <c r="E25" s="1"/>
      <c r="F25" s="1"/>
    </row>
    <row r="26" spans="1:6" x14ac:dyDescent="0.45">
      <c r="A26" s="1"/>
      <c r="B26" s="64" t="s">
        <v>116</v>
      </c>
      <c r="C26" s="9">
        <v>0</v>
      </c>
      <c r="D26" s="14" t="s">
        <v>3</v>
      </c>
      <c r="E26" s="1"/>
      <c r="F26" s="1"/>
    </row>
    <row r="27" spans="1:6" x14ac:dyDescent="0.45">
      <c r="A27" s="1"/>
      <c r="B27" s="64" t="s">
        <v>117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4" t="s">
        <v>154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4" t="s">
        <v>211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95"/>
      <c r="C30" s="96"/>
      <c r="D30" s="97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s1UPXbdo/omnIV6cLLXvz2ja7DgPB9D40IOvdROMrlS2kc0Tr1+Y5SMIQgcJOHWXpaqAuPYbjvFrcYi4C9awDg==" saltValue="93dqji3y6wdpFSV5+B++HA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86328125" style="2" customWidth="1"/>
    <col min="5" max="5" width="12.332031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ht="15" customHeight="1" x14ac:dyDescent="0.45">
      <c r="A5" s="1"/>
      <c r="B5" s="60"/>
      <c r="C5" s="60"/>
      <c r="D5" s="60"/>
      <c r="E5" s="60"/>
      <c r="F5" s="60"/>
      <c r="G5" s="1"/>
    </row>
    <row r="6" spans="1:7" ht="15" customHeight="1" x14ac:dyDescent="0.45">
      <c r="A6" s="1"/>
      <c r="B6" s="60"/>
      <c r="C6" s="60"/>
      <c r="D6" s="60"/>
      <c r="E6" s="60"/>
      <c r="F6" s="60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266</v>
      </c>
      <c r="C8" s="96"/>
      <c r="D8" s="96"/>
      <c r="E8" s="96"/>
      <c r="F8" s="97"/>
      <c r="G8" s="1"/>
    </row>
    <row r="9" spans="1:7" x14ac:dyDescent="0.45">
      <c r="A9" s="1"/>
      <c r="B9" s="104" t="s">
        <v>267</v>
      </c>
      <c r="C9" s="105"/>
      <c r="D9" s="106"/>
      <c r="E9" s="9">
        <v>25107099.552074805</v>
      </c>
      <c r="F9" s="14" t="s">
        <v>3</v>
      </c>
      <c r="G9" s="1"/>
    </row>
    <row r="10" spans="1:7" x14ac:dyDescent="0.45">
      <c r="A10" s="1"/>
      <c r="B10" s="104" t="s">
        <v>268</v>
      </c>
      <c r="C10" s="105"/>
      <c r="D10" s="106"/>
      <c r="E10" s="9">
        <v>29624892.183171928</v>
      </c>
      <c r="F10" s="14" t="s">
        <v>3</v>
      </c>
      <c r="G10" s="1"/>
    </row>
    <row r="11" spans="1:7" x14ac:dyDescent="0.45">
      <c r="A11" s="1"/>
      <c r="B11" s="104" t="s">
        <v>269</v>
      </c>
      <c r="C11" s="105"/>
      <c r="D11" s="106"/>
      <c r="E11" s="9">
        <v>29624892.183171928</v>
      </c>
      <c r="F11" s="14" t="s">
        <v>3</v>
      </c>
      <c r="G11" s="1"/>
    </row>
    <row r="12" spans="1:7" x14ac:dyDescent="0.45">
      <c r="A12" s="1"/>
      <c r="B12" s="104" t="s">
        <v>270</v>
      </c>
      <c r="C12" s="105"/>
      <c r="D12" s="106"/>
      <c r="E12" s="9">
        <v>16052376.058768153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8" t="s">
        <v>271</v>
      </c>
      <c r="C14" s="99"/>
      <c r="D14" s="99"/>
      <c r="E14" s="99"/>
      <c r="F14" s="100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272</v>
      </c>
      <c r="C16" s="96"/>
      <c r="D16" s="96"/>
      <c r="E16" s="96"/>
      <c r="F16" s="97"/>
      <c r="G16" s="1"/>
    </row>
    <row r="17" spans="1:7" x14ac:dyDescent="0.45">
      <c r="A17" s="1"/>
      <c r="B17" s="104" t="s">
        <v>273</v>
      </c>
      <c r="C17" s="105"/>
      <c r="D17" s="106"/>
      <c r="E17" s="9">
        <v>0</v>
      </c>
      <c r="F17" s="14" t="s">
        <v>3</v>
      </c>
      <c r="G17" s="1"/>
    </row>
    <row r="18" spans="1:7" x14ac:dyDescent="0.45">
      <c r="A18" s="1"/>
      <c r="B18" s="104" t="s">
        <v>274</v>
      </c>
      <c r="C18" s="105"/>
      <c r="D18" s="106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8" t="s">
        <v>275</v>
      </c>
      <c r="C20" s="99"/>
      <c r="D20" s="99"/>
      <c r="E20" s="99"/>
      <c r="F20" s="100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5" t="s">
        <v>213</v>
      </c>
      <c r="C22" s="56"/>
      <c r="D22" s="56"/>
      <c r="E22" s="56"/>
      <c r="F22" s="57"/>
      <c r="G22" s="1"/>
    </row>
    <row r="23" spans="1:7" x14ac:dyDescent="0.45">
      <c r="A23" s="1"/>
      <c r="B23" s="61" t="s">
        <v>214</v>
      </c>
      <c r="C23" s="62"/>
      <c r="D23" s="63"/>
      <c r="E23" s="9">
        <v>108626439.06151244</v>
      </c>
      <c r="F23" s="14" t="s">
        <v>3</v>
      </c>
      <c r="G23" s="1"/>
    </row>
    <row r="24" spans="1:7" x14ac:dyDescent="0.45">
      <c r="A24" s="1"/>
      <c r="B24" s="61" t="s">
        <v>215</v>
      </c>
      <c r="C24" s="62"/>
      <c r="D24" s="63"/>
      <c r="E24" s="9">
        <v>98493708</v>
      </c>
      <c r="F24" s="14" t="s">
        <v>3</v>
      </c>
      <c r="G24" s="1"/>
    </row>
    <row r="25" spans="1:7" x14ac:dyDescent="0.4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45">
      <c r="A26" s="1"/>
      <c r="B26" s="58" t="s">
        <v>276</v>
      </c>
      <c r="C26" s="59"/>
      <c r="D26" s="66"/>
      <c r="E26" s="48">
        <f>E23-(E24-E25)</f>
        <v>10132731.06151244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5" t="s">
        <v>186</v>
      </c>
      <c r="C30" s="96"/>
      <c r="D30" s="96"/>
      <c r="E30" s="96"/>
      <c r="F30" s="97"/>
      <c r="G30" s="1"/>
    </row>
    <row r="31" spans="1:7" x14ac:dyDescent="0.45">
      <c r="A31" s="1"/>
      <c r="B31" s="116" t="s">
        <v>283</v>
      </c>
      <c r="C31" s="117"/>
      <c r="D31" s="118"/>
      <c r="E31" s="9">
        <v>0</v>
      </c>
      <c r="F31" s="14"/>
      <c r="G31" s="1"/>
    </row>
    <row r="32" spans="1:7" x14ac:dyDescent="0.4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45">
      <c r="A34" s="1"/>
      <c r="B34" s="119" t="s">
        <v>188</v>
      </c>
      <c r="C34" s="119"/>
      <c r="D34" s="119"/>
      <c r="E34" s="10">
        <f>E32/E33</f>
        <v>0</v>
      </c>
      <c r="F34" s="17" t="s">
        <v>3</v>
      </c>
      <c r="G34" s="1"/>
    </row>
    <row r="35" spans="1:7" x14ac:dyDescent="0.45">
      <c r="A35" s="1"/>
      <c r="B35" s="120"/>
      <c r="C35" s="121"/>
      <c r="D35" s="121"/>
      <c r="E35" s="121"/>
      <c r="F35" s="122"/>
      <c r="G35" s="1"/>
    </row>
    <row r="36" spans="1:7" ht="75" customHeight="1" x14ac:dyDescent="0.45">
      <c r="A36" s="1"/>
      <c r="B36" s="98" t="s">
        <v>282</v>
      </c>
      <c r="C36" s="99"/>
      <c r="D36" s="99"/>
      <c r="E36" s="99"/>
      <c r="F36" s="100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g894xgd1Hv2KobMLBGPZK4Qz3sZiWyg7MUgBnHYZW+JlZdXl9WOidXSre7sU0gT4pRImEKqwgt3VL0SEfXROCw==" saltValue="ur+2AuPRc2+u+gKiUlfXug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53125" style="2" customWidth="1"/>
    <col min="5" max="5" width="12.66406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5" t="s">
        <v>217</v>
      </c>
      <c r="C9" s="96"/>
      <c r="D9" s="96"/>
      <c r="E9" s="96"/>
      <c r="F9" s="97"/>
      <c r="G9" s="1"/>
    </row>
    <row r="10" spans="1:7" x14ac:dyDescent="0.4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4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45">
      <c r="A12" s="1"/>
      <c r="B12" s="101" t="s">
        <v>119</v>
      </c>
      <c r="C12" s="102"/>
      <c r="D12" s="123"/>
      <c r="E12" s="10">
        <f>E11-E10</f>
        <v>0</v>
      </c>
      <c r="F12" s="11" t="s">
        <v>3</v>
      </c>
      <c r="G12" s="1"/>
    </row>
    <row r="13" spans="1:7" x14ac:dyDescent="0.45">
      <c r="A13" s="1"/>
      <c r="B13" s="95" t="s">
        <v>109</v>
      </c>
      <c r="C13" s="96"/>
      <c r="D13" s="96"/>
      <c r="E13" s="96"/>
      <c r="F13" s="97"/>
      <c r="G13" s="1"/>
    </row>
    <row r="14" spans="1:7" x14ac:dyDescent="0.4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45">
      <c r="A15" s="1"/>
      <c r="B15" s="98" t="s">
        <v>220</v>
      </c>
      <c r="C15" s="99"/>
      <c r="D15" s="100"/>
      <c r="E15" s="9">
        <v>0</v>
      </c>
      <c r="F15" s="8" t="s">
        <v>3</v>
      </c>
      <c r="G15" s="1"/>
    </row>
    <row r="16" spans="1:7" x14ac:dyDescent="0.45">
      <c r="A16" s="1"/>
      <c r="B16" s="101" t="s">
        <v>119</v>
      </c>
      <c r="C16" s="102"/>
      <c r="D16" s="123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glshLemYtp7GEFjWFl1XQkm3lZdz5tZjOvtWgqUN23M0vnnvyV01kltNfvipd/XMelLOll43efZL+YUKa7MYIg==" saltValue="XLvzm74FSPbH2lzTiC7I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6640625" style="2" customWidth="1"/>
    <col min="2" max="2" width="22.53125" style="2" customWidth="1"/>
    <col min="3" max="3" width="8.33203125" style="2" customWidth="1"/>
    <col min="4" max="6" width="10.6640625" style="2" customWidth="1"/>
    <col min="7" max="7" width="11.1328125" style="2" customWidth="1"/>
    <col min="8" max="8" width="3.332031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7" t="s">
        <v>284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5" t="s">
        <v>179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MjeRxnTLn4NbxVinM2AyCoxRDK0gY7OskcCHsFfTslYtDx9LPmutWhjlbpKjt0qQpuo35iPTicB+LMO2aUtWQ==" saltValue="SI8JLym1gstdiv0/Wfry1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47" t="s">
        <v>278</v>
      </c>
      <c r="C11" s="22">
        <v>0</v>
      </c>
      <c r="D11" s="14" t="s">
        <v>3</v>
      </c>
      <c r="E11" s="9">
        <v>49266</v>
      </c>
      <c r="F11" s="14" t="s">
        <v>3</v>
      </c>
      <c r="G11" s="1"/>
    </row>
    <row r="12" spans="1:7" x14ac:dyDescent="0.45">
      <c r="A12" s="1"/>
      <c r="B12" s="25" t="s">
        <v>279</v>
      </c>
      <c r="C12" s="22">
        <v>512852</v>
      </c>
      <c r="D12" s="14" t="s">
        <v>3</v>
      </c>
      <c r="E12" s="9">
        <v>85714</v>
      </c>
      <c r="F12" s="14" t="s">
        <v>3</v>
      </c>
      <c r="G12" s="1"/>
    </row>
    <row r="13" spans="1:7" x14ac:dyDescent="0.45">
      <c r="A13" s="1"/>
      <c r="B13" s="38" t="s">
        <v>163</v>
      </c>
      <c r="C13" s="12">
        <f>SUM(C10:C12)</f>
        <v>512852</v>
      </c>
      <c r="D13" s="13" t="s">
        <v>3</v>
      </c>
      <c r="E13" s="12">
        <f>SUM(E10:E12)</f>
        <v>134980</v>
      </c>
      <c r="F13" s="13" t="s">
        <v>3</v>
      </c>
      <c r="G13" s="1"/>
    </row>
    <row r="14" spans="1:7" x14ac:dyDescent="0.45">
      <c r="A14" s="1"/>
      <c r="B14" s="38" t="s">
        <v>222</v>
      </c>
      <c r="C14" s="12">
        <f>C13*(1+'Fane 14. Nøgletal'!C14)</f>
        <v>514544.41160000005</v>
      </c>
      <c r="D14" s="13" t="s">
        <v>3</v>
      </c>
      <c r="E14" s="12">
        <f>E13*(1+'Fane 14. Nøgletal'!C14)</f>
        <v>135425.43400000001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uHk8agfbc6TK/EFvVpWAWjE9SIWq2QJmbOZZD/1ko9jIb5P0cPPzlRwz6sX09iVT+tuE8XKKrXsGAknYEjNs5g==" saltValue="5Cu/ijqo/OFZ93HQPAHlZ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46484375" style="2" bestFit="1" customWidth="1"/>
    <col min="5" max="5" width="17.6640625" style="2" bestFit="1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112</v>
      </c>
      <c r="C8" s="96"/>
      <c r="D8" s="96"/>
      <c r="E8" s="96"/>
      <c r="F8" s="97"/>
      <c r="G8" s="1"/>
    </row>
    <row r="9" spans="1:7" x14ac:dyDescent="0.4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45">
      <c r="A10" s="1"/>
      <c r="B10" s="25" t="s">
        <v>280</v>
      </c>
      <c r="C10" s="22">
        <v>526891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526891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-10537.82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-10537.82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509159.24970527046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113</v>
      </c>
      <c r="C16" s="96"/>
      <c r="D16" s="96"/>
      <c r="E16" s="96"/>
      <c r="F16" s="97"/>
      <c r="G16" s="1"/>
    </row>
    <row r="17" spans="1:7" x14ac:dyDescent="0.4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4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166</v>
      </c>
      <c r="C24" s="96"/>
      <c r="D24" s="96"/>
      <c r="E24" s="96"/>
      <c r="F24" s="97"/>
      <c r="G24" s="1"/>
    </row>
    <row r="25" spans="1:7" x14ac:dyDescent="0.4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4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224</v>
      </c>
      <c r="C32" s="96"/>
      <c r="D32" s="96"/>
      <c r="E32" s="96"/>
      <c r="F32" s="97"/>
      <c r="G32" s="1"/>
    </row>
    <row r="33" spans="1:7" x14ac:dyDescent="0.4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4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2I9adrwvPZAbiHSxyk6qT0iN4x+4aY6MeXY56ZkkWEwMVu+Aln6QjNANZJud1pU6IqEzCHscHoFqKLo/Bu1cJw==" saltValue="yLHhCk9gM0YvnnznfkkD3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03"/>
      <c r="C5" s="103"/>
      <c r="D5" s="103"/>
      <c r="E5" s="103"/>
      <c r="F5" s="10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103</v>
      </c>
      <c r="C8" s="96"/>
      <c r="D8" s="96"/>
      <c r="E8" s="96"/>
      <c r="F8" s="97"/>
      <c r="G8" s="1"/>
    </row>
    <row r="9" spans="1:7" x14ac:dyDescent="0.4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45">
      <c r="A10" s="1"/>
      <c r="B10" s="89" t="s">
        <v>10</v>
      </c>
      <c r="C10" s="90"/>
      <c r="D10" s="91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89" t="s">
        <v>26</v>
      </c>
      <c r="C11" s="90"/>
      <c r="D11" s="91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5" t="s">
        <v>105</v>
      </c>
      <c r="C12" s="96"/>
      <c r="D12" s="97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4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45">
      <c r="A16" s="1"/>
      <c r="B16" s="89" t="s">
        <v>10</v>
      </c>
      <c r="C16" s="90"/>
      <c r="D16" s="91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89" t="s">
        <v>26</v>
      </c>
      <c r="C17" s="90"/>
      <c r="D17" s="91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5" t="s">
        <v>106</v>
      </c>
      <c r="C18" s="96"/>
      <c r="D18" s="97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4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45">
      <c r="A22" s="1"/>
      <c r="B22" s="89" t="s">
        <v>10</v>
      </c>
      <c r="C22" s="90"/>
      <c r="D22" s="91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89" t="s">
        <v>26</v>
      </c>
      <c r="C23" s="90"/>
      <c r="D23" s="91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5" t="s">
        <v>156</v>
      </c>
      <c r="C24" s="96"/>
      <c r="D24" s="97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4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45">
      <c r="A28" s="1"/>
      <c r="B28" s="89" t="s">
        <v>10</v>
      </c>
      <c r="C28" s="90"/>
      <c r="D28" s="91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89" t="s">
        <v>26</v>
      </c>
      <c r="C29" s="90"/>
      <c r="D29" s="91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5" t="s">
        <v>228</v>
      </c>
      <c r="C30" s="96"/>
      <c r="D30" s="97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EsHX/zWRfMIs6lCARBaYEvdN7YbdEL1PbxL1ccNnivtoGYa0xghwUN2xrfNdxn0mWkeG4ZyFkCnZV9dTgbTRpw==" saltValue="TJf+COUyaYXyehZl3VIFx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46484375" style="2" customWidth="1"/>
    <col min="2" max="2" width="36.46484375" style="2" customWidth="1"/>
    <col min="3" max="3" width="15.53125" style="2" customWidth="1"/>
    <col min="4" max="4" width="3.33203125" style="2" customWidth="1"/>
    <col min="5" max="5" width="17.1328125" style="2" customWidth="1"/>
    <col min="6" max="6" width="3.332031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XSHQXzaaJj8qQDtWTEf8IngwhIquIok95Ubpy1Qb5eF7lrjQ1+RQH1xlQRN38oOwGZKRFBu7of9YQ7k9o8pk2Q==" saltValue="Wd/i66nn1HoITgxfOwxnT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46484375" style="2" customWidth="1"/>
    <col min="3" max="3" width="15.6640625" style="2" customWidth="1"/>
    <col min="4" max="4" width="3.33203125" style="2" customWidth="1"/>
    <col min="5" max="5" width="18.4648437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108</v>
      </c>
      <c r="C14" s="96"/>
      <c r="D14" s="96"/>
      <c r="E14" s="96"/>
      <c r="F14" s="97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169</v>
      </c>
      <c r="C20" s="96"/>
      <c r="D20" s="96"/>
      <c r="E20" s="96"/>
      <c r="F20" s="97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231</v>
      </c>
      <c r="C26" s="96"/>
      <c r="D26" s="96"/>
      <c r="E26" s="96"/>
      <c r="F26" s="97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ZpGqaGQiPIYLhpGk+LdLo35WbNG4cXMdNzj76fCRmIyEvnKHuO1SfhJUHMK8RjEY+pKLzXlQL4PtmMjlR0okSg==" saltValue="fGhqS5061P4ibhnOU8kpP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46484375" style="2" customWidth="1"/>
    <col min="3" max="3" width="6.33203125" style="2" customWidth="1"/>
    <col min="4" max="4" width="12.332031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3" t="s">
        <v>189</v>
      </c>
      <c r="C3" s="103"/>
      <c r="D3" s="1"/>
    </row>
    <row r="4" spans="1:4" ht="25.5" customHeight="1" x14ac:dyDescent="0.45">
      <c r="A4" s="1"/>
      <c r="B4" s="103"/>
      <c r="C4" s="10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4" t="s">
        <v>137</v>
      </c>
      <c r="C9" s="26">
        <v>1.2699999999999999E-2</v>
      </c>
      <c r="D9" s="1"/>
    </row>
    <row r="10" spans="1:4" x14ac:dyDescent="0.45">
      <c r="A10" s="1"/>
      <c r="B10" s="64" t="s">
        <v>138</v>
      </c>
      <c r="C10" s="26">
        <v>1.7500000000000002E-2</v>
      </c>
      <c r="D10" s="1"/>
    </row>
    <row r="11" spans="1:4" x14ac:dyDescent="0.45">
      <c r="A11" s="1"/>
      <c r="B11" s="64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4" t="s">
        <v>253</v>
      </c>
      <c r="C14" s="50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4" t="s">
        <v>139</v>
      </c>
      <c r="C19" s="23">
        <v>9.1000000000000004E-3</v>
      </c>
      <c r="D19" s="1"/>
    </row>
    <row r="20" spans="1:4" x14ac:dyDescent="0.45">
      <c r="A20" s="1"/>
      <c r="B20" s="64" t="s">
        <v>190</v>
      </c>
      <c r="C20" s="23">
        <v>1.77E-2</v>
      </c>
      <c r="D20" s="1"/>
    </row>
    <row r="21" spans="1:4" x14ac:dyDescent="0.45">
      <c r="A21" s="1"/>
      <c r="B21" s="64" t="s">
        <v>191</v>
      </c>
      <c r="C21" s="23">
        <v>8.6999999999999994E-3</v>
      </c>
      <c r="D21" s="1"/>
    </row>
    <row r="22" spans="1:4" x14ac:dyDescent="0.45">
      <c r="A22" s="1"/>
      <c r="B22" s="64" t="s">
        <v>140</v>
      </c>
      <c r="C22" s="41">
        <v>2.8400000000000002E-2</v>
      </c>
      <c r="D22" s="1"/>
    </row>
    <row r="23" spans="1:4" x14ac:dyDescent="0.45">
      <c r="A23" s="1"/>
      <c r="B23" s="64" t="s">
        <v>192</v>
      </c>
      <c r="C23" s="41">
        <v>2.75E-2</v>
      </c>
      <c r="D23" s="1"/>
    </row>
    <row r="24" spans="1:4" x14ac:dyDescent="0.45">
      <c r="A24" s="1"/>
      <c r="B24" s="64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4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PPmZ7d+C8jg0vbSDJ2j9mfbH6+wJ/cFpDmO4O2SXWM1zrAPKrq3EnmfCq9+tvBgaUZ+mGnW62beLIw/a3w6PbQ==" saltValue="XH6S+yfhu+wM5pnyAxzrZ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3125" style="2" customWidth="1"/>
    <col min="2" max="2" width="58.53125" style="2" customWidth="1"/>
    <col min="3" max="3" width="12.53125" style="2" customWidth="1"/>
    <col min="4" max="4" width="2.86328125" style="2" bestFit="1" customWidth="1"/>
    <col min="5" max="5" width="6.33203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194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104112858.49954183</v>
      </c>
      <c r="D9" s="8" t="s">
        <v>3</v>
      </c>
      <c r="E9" s="1"/>
    </row>
    <row r="10" spans="1:5" ht="17.100000000000001" customHeight="1" x14ac:dyDescent="0.45">
      <c r="A10" s="1"/>
      <c r="B10" s="52" t="s">
        <v>43</v>
      </c>
      <c r="C10" s="7">
        <f>'Fane 10.1. Varige tillæg'!C14</f>
        <v>514544.41160000005</v>
      </c>
      <c r="D10" s="8" t="s">
        <v>3</v>
      </c>
      <c r="E10" s="1"/>
    </row>
    <row r="11" spans="1:5" ht="17.100000000000001" customHeight="1" x14ac:dyDescent="0.45">
      <c r="A11" s="1"/>
      <c r="B11" s="52" t="s">
        <v>44</v>
      </c>
      <c r="C11" s="9">
        <f>'Fane 10.1. Varige tillæg'!E14</f>
        <v>135425.43400000001</v>
      </c>
      <c r="D11" s="8" t="s">
        <v>3</v>
      </c>
      <c r="E11" s="1"/>
    </row>
    <row r="12" spans="1:5" ht="17.100000000000001" customHeight="1" x14ac:dyDescent="0.4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2" t="s">
        <v>20</v>
      </c>
      <c r="C16" s="9">
        <f>SUM(C9:C15)*'Fane 14. Nøgletal'!C14</f>
        <v>345717.33353896806</v>
      </c>
      <c r="D16" s="8" t="s">
        <v>3</v>
      </c>
      <c r="E16" s="1"/>
    </row>
    <row r="17" spans="1:5" ht="17.100000000000001" customHeight="1" x14ac:dyDescent="0.45">
      <c r="A17" s="1"/>
      <c r="B17" s="52" t="s">
        <v>10</v>
      </c>
      <c r="C17" s="9">
        <f>-SUM(C9:C16)*'Fane 5. Individuelt eff. krav'!G12</f>
        <v>-2102170.9135736157</v>
      </c>
      <c r="D17" s="8" t="s">
        <v>3</v>
      </c>
      <c r="E17" s="1"/>
    </row>
    <row r="18" spans="1:5" ht="17.100000000000001" customHeight="1" x14ac:dyDescent="0.45">
      <c r="A18" s="1"/>
      <c r="B18" s="52" t="s">
        <v>26</v>
      </c>
      <c r="C18" s="9">
        <f>-'Fane 4.1. Gen. krav - drift'!G40</f>
        <v>-680547.04817563458</v>
      </c>
      <c r="D18" s="8" t="s">
        <v>3</v>
      </c>
      <c r="E18" s="1"/>
    </row>
    <row r="19" spans="1:5" ht="17.100000000000001" customHeight="1" x14ac:dyDescent="0.45">
      <c r="A19" s="1"/>
      <c r="B19" s="52" t="s">
        <v>27</v>
      </c>
      <c r="C19" s="9">
        <f>-'Fane 4.2. Gen. krav - anlæg'!G37</f>
        <v>-1216859.7202997629</v>
      </c>
      <c r="D19" s="8" t="s">
        <v>3</v>
      </c>
      <c r="E19" s="1"/>
    </row>
    <row r="20" spans="1:5" ht="17.100000000000001" customHeight="1" x14ac:dyDescent="0.45">
      <c r="A20" s="1"/>
      <c r="B20" s="58" t="s">
        <v>22</v>
      </c>
      <c r="C20" s="10">
        <f>SUM(C9:C19)</f>
        <v>101108967.99663177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omk.'!C14+'Fane 6. Ikke-påvirkelige omk.'!C18+'Fane 6. Ikke-påvirkelige omk.'!C26</f>
        <v>1733061.8370952003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8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2" t="s">
        <v>89</v>
      </c>
      <c r="C26" s="9">
        <f>'Fane 10.2. Engangstillæg'!C14</f>
        <v>509159.24970527046</v>
      </c>
      <c r="D26" s="8" t="s">
        <v>3</v>
      </c>
      <c r="E26" s="1"/>
    </row>
    <row r="27" spans="1:5" ht="15" customHeight="1" x14ac:dyDescent="0.4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8" t="s">
        <v>95</v>
      </c>
      <c r="C28" s="10">
        <f>SUM(C26:C27)</f>
        <v>509159.24970527046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286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103351189.08343224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BdFZeSofsuxk50Mvo/Ki7pjuXhxIB2b8bsjRmjAAO/QI32NX8CxzE8+8vldbG27yLwI5xR5xg6Xg081z3itdA==" saltValue="3XdtH2KSbZBVk8/rBWwZM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33203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196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101108967.99663177</v>
      </c>
      <c r="D9" s="8" t="s">
        <v>3</v>
      </c>
      <c r="E9" s="1"/>
    </row>
    <row r="10" spans="1:5" ht="15" customHeight="1" x14ac:dyDescent="0.4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333659.59438888484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-2028852.5518204132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-669136.99636592204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-1202806.4020875765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97541831.640746757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1738780.9411576146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286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99280612.581904367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Wt3PN0UPhcylTTbY/66Vc7z+8YkpCEccqUZF4zT7H6D3RGf04JDYWFJ3yKU/ej6raPC7I1h90P0k02BDB0Mpzw==" saltValue="7oLT+e6krnwhCglc7JVKi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197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97541831.640746757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321888.04441446433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-1957274.3937032244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-657918.24548485107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-1188915.3833988914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94059611.662574261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1744518.9182634349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95804130.580837697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c4/vbg4K/NwmQ6bmtcbJ/mNZTKNL4Q+BwXc3TIXs84cHN+GRZOI5IcrCeDGHhv0Q3G35qjTkTWaffQcIeXmrNA==" saltValue="no2GGKPh4W2di37RU+5Fq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3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198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94059611.662574261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310396.71848649508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-1887400.1676212151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-646887.58818105212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-1175184.7898624791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90660535.835396007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1750275.8306937043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92410811.666089714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dE6m6SIYXWHr4Nyf+4j82s+eCXbaVEaByFjll+V2AaysoeMrYUU3x2PnyVwsgPeWwwL2NoMmzgPMGdCV2knzgA==" saltValue="Z/DR4CV7rmPd/wsZCT9WG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33203125" style="2" customWidth="1"/>
    <col min="3" max="3" width="12" style="2" customWidth="1"/>
    <col min="4" max="4" width="31.6640625" style="2" customWidth="1"/>
    <col min="5" max="5" width="10.86328125" style="2" customWidth="1"/>
    <col min="6" max="6" width="3.531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277</v>
      </c>
      <c r="C8" s="32"/>
      <c r="D8" s="32"/>
      <c r="E8" s="32"/>
      <c r="F8" s="20"/>
      <c r="G8" s="1"/>
    </row>
    <row r="9" spans="1:7" ht="15" customHeight="1" x14ac:dyDescent="0.45">
      <c r="A9" s="1"/>
      <c r="B9" s="98" t="s">
        <v>25</v>
      </c>
      <c r="C9" s="99"/>
      <c r="D9" s="100"/>
      <c r="E9" s="7">
        <v>106567812.53194976</v>
      </c>
      <c r="F9" s="8" t="s">
        <v>3</v>
      </c>
      <c r="G9" s="1"/>
    </row>
    <row r="10" spans="1:7" ht="15" customHeight="1" x14ac:dyDescent="0.45">
      <c r="A10" s="1"/>
      <c r="B10" s="89" t="s">
        <v>43</v>
      </c>
      <c r="C10" s="90"/>
      <c r="D10" s="91"/>
      <c r="E10" s="7">
        <v>66944.883600000001</v>
      </c>
      <c r="F10" s="8" t="s">
        <v>3</v>
      </c>
      <c r="G10" s="1"/>
    </row>
    <row r="11" spans="1:7" ht="15" customHeight="1" x14ac:dyDescent="0.45">
      <c r="A11" s="1"/>
      <c r="B11" s="89" t="s">
        <v>44</v>
      </c>
      <c r="C11" s="90"/>
      <c r="D11" s="91"/>
      <c r="E11" s="9">
        <v>630172.43940000003</v>
      </c>
      <c r="F11" s="8" t="s">
        <v>3</v>
      </c>
      <c r="G11" s="1"/>
    </row>
    <row r="12" spans="1:7" ht="15" customHeight="1" x14ac:dyDescent="0.4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4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4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4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45">
      <c r="A16" s="1"/>
      <c r="B16" s="98" t="s">
        <v>20</v>
      </c>
      <c r="C16" s="99"/>
      <c r="D16" s="100"/>
      <c r="E16" s="9">
        <v>2107890.73822001</v>
      </c>
      <c r="F16" s="8" t="s">
        <v>3</v>
      </c>
      <c r="G16" s="1"/>
    </row>
    <row r="17" spans="1:7" ht="15" customHeight="1" x14ac:dyDescent="0.45">
      <c r="A17" s="1"/>
      <c r="B17" s="98" t="s">
        <v>10</v>
      </c>
      <c r="C17" s="99"/>
      <c r="D17" s="100"/>
      <c r="E17" s="9">
        <v>-2187456.4118633955</v>
      </c>
      <c r="F17" s="8" t="s">
        <v>3</v>
      </c>
      <c r="G17" s="1"/>
    </row>
    <row r="18" spans="1:7" ht="15" customHeight="1" x14ac:dyDescent="0.45">
      <c r="A18" s="1"/>
      <c r="B18" s="98" t="s">
        <v>26</v>
      </c>
      <c r="C18" s="99"/>
      <c r="D18" s="100"/>
      <c r="E18" s="9">
        <f>-'Fane 4.1. Gen. krav - drift'!G34</f>
        <v>-681650.75659758388</v>
      </c>
      <c r="F18" s="8" t="s">
        <v>3</v>
      </c>
      <c r="G18" s="1"/>
    </row>
    <row r="19" spans="1:7" ht="15" customHeight="1" x14ac:dyDescent="0.45">
      <c r="A19" s="1"/>
      <c r="B19" s="98" t="s">
        <v>27</v>
      </c>
      <c r="C19" s="99"/>
      <c r="D19" s="100"/>
      <c r="E19" s="9">
        <f>-'Fane 4.2. Gen. krav - anlæg'!G31</f>
        <v>-2390854.925166944</v>
      </c>
      <c r="F19" s="8" t="s">
        <v>3</v>
      </c>
      <c r="G19" s="1"/>
    </row>
    <row r="20" spans="1:7" ht="15" customHeight="1" x14ac:dyDescent="0.45">
      <c r="A20" s="1"/>
      <c r="B20" s="58" t="s">
        <v>22</v>
      </c>
      <c r="C20" s="59"/>
      <c r="D20" s="66"/>
      <c r="E20" s="10">
        <f>SUM(E9:E19)</f>
        <v>104112858.49954183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2" t="s">
        <v>13</v>
      </c>
      <c r="C22" s="93"/>
      <c r="D22" s="94"/>
      <c r="E22" s="10">
        <v>1943483.08737744</v>
      </c>
      <c r="F22" s="11" t="s">
        <v>3</v>
      </c>
      <c r="G22" s="1"/>
    </row>
    <row r="23" spans="1:7" ht="15" customHeight="1" x14ac:dyDescent="0.4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45">
      <c r="A24" s="1"/>
      <c r="B24" s="58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9" t="s">
        <v>89</v>
      </c>
      <c r="C26" s="90"/>
      <c r="D26" s="91"/>
      <c r="E26" s="9">
        <v>685466.20501128002</v>
      </c>
      <c r="F26" s="8" t="s">
        <v>3</v>
      </c>
      <c r="G26" s="1"/>
    </row>
    <row r="27" spans="1:7" ht="15" customHeight="1" x14ac:dyDescent="0.4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45">
      <c r="A28" s="1"/>
      <c r="B28" s="101" t="s">
        <v>95</v>
      </c>
      <c r="C28" s="102"/>
      <c r="D28" s="102"/>
      <c r="E28" s="45">
        <v>658047.55681082886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2" t="s">
        <v>185</v>
      </c>
      <c r="C30" s="93"/>
      <c r="D30" s="93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5" customHeight="1" x14ac:dyDescent="0.45">
      <c r="A32" s="1"/>
      <c r="B32" s="92" t="s">
        <v>148</v>
      </c>
      <c r="C32" s="93"/>
      <c r="D32" s="94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106714389.1437301</v>
      </c>
      <c r="F33" s="13" t="s">
        <v>3</v>
      </c>
      <c r="G33" s="1"/>
    </row>
    <row r="34" spans="1:7" ht="27" customHeight="1" x14ac:dyDescent="0.45">
      <c r="A34" s="1"/>
      <c r="B34" s="98" t="s">
        <v>252</v>
      </c>
      <c r="C34" s="99"/>
      <c r="D34" s="99"/>
      <c r="E34" s="99"/>
      <c r="F34" s="100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W/tBVkC7oCQqMkLvsTXrRcBWO6PKyUkA7wslyUWVXqi/Mj5rgBZ6sGo0vFYLnJD0BElrc6vdn1knBe3sCQqnVQ==" saltValue="5VYcnP4agVFDfYw3cjq/wg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4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104" t="s">
        <v>45</v>
      </c>
      <c r="C6" s="105"/>
      <c r="D6" s="105"/>
      <c r="E6" s="105"/>
      <c r="F6" s="106"/>
      <c r="G6" s="24">
        <v>34257024.709994838</v>
      </c>
      <c r="H6" s="14" t="s">
        <v>3</v>
      </c>
      <c r="I6" s="1"/>
    </row>
    <row r="7" spans="1:9" x14ac:dyDescent="0.45">
      <c r="A7" s="1"/>
      <c r="B7" s="98" t="s">
        <v>145</v>
      </c>
      <c r="C7" s="99"/>
      <c r="D7" s="99"/>
      <c r="E7" s="99"/>
      <c r="F7" s="100"/>
      <c r="G7" s="68">
        <v>0</v>
      </c>
      <c r="H7" s="14" t="s">
        <v>3</v>
      </c>
      <c r="I7" s="1"/>
    </row>
    <row r="8" spans="1:9" x14ac:dyDescent="0.45">
      <c r="A8" s="1"/>
      <c r="B8" s="104" t="s">
        <v>46</v>
      </c>
      <c r="C8" s="105"/>
      <c r="D8" s="105"/>
      <c r="E8" s="105"/>
      <c r="F8" s="106"/>
      <c r="G8" s="24">
        <f>SUM(G6:G7)*'Fane 14. Nøgletal'!C29</f>
        <v>685140.49419989681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4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34159392.189571358</v>
      </c>
      <c r="H12" s="14" t="s">
        <v>3</v>
      </c>
      <c r="I12" s="1"/>
    </row>
    <row r="13" spans="1:9" ht="15" customHeight="1" x14ac:dyDescent="0.45">
      <c r="A13" s="1"/>
      <c r="B13" s="104" t="s">
        <v>146</v>
      </c>
      <c r="C13" s="105"/>
      <c r="D13" s="105"/>
      <c r="E13" s="105"/>
      <c r="F13" s="106"/>
      <c r="G13" s="68">
        <v>0</v>
      </c>
      <c r="H13" s="14" t="s">
        <v>3</v>
      </c>
      <c r="I13" s="1"/>
    </row>
    <row r="14" spans="1:9" x14ac:dyDescent="0.45">
      <c r="A14" s="1"/>
      <c r="B14" s="98" t="s">
        <v>143</v>
      </c>
      <c r="C14" s="99"/>
      <c r="D14" s="99"/>
      <c r="E14" s="99"/>
      <c r="F14" s="100"/>
      <c r="G14" s="68">
        <v>0</v>
      </c>
      <c r="H14" s="14" t="s">
        <v>3</v>
      </c>
      <c r="I14" s="1"/>
    </row>
    <row r="15" spans="1:9" x14ac:dyDescent="0.45">
      <c r="A15" s="1"/>
      <c r="B15" s="107" t="s">
        <v>48</v>
      </c>
      <c r="C15" s="108"/>
      <c r="D15" s="108"/>
      <c r="E15" s="108"/>
      <c r="F15" s="109"/>
      <c r="G15" s="68">
        <v>0</v>
      </c>
      <c r="H15" s="14" t="s">
        <v>3</v>
      </c>
      <c r="I15" s="1"/>
    </row>
    <row r="16" spans="1:9" x14ac:dyDescent="0.4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683187.84379142721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4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34062037.921831079</v>
      </c>
      <c r="H20" s="14" t="s">
        <v>3</v>
      </c>
      <c r="I20" s="1"/>
    </row>
    <row r="21" spans="1:9" x14ac:dyDescent="0.45">
      <c r="A21" s="1"/>
      <c r="B21" s="107" t="s">
        <v>51</v>
      </c>
      <c r="C21" s="108"/>
      <c r="D21" s="108"/>
      <c r="E21" s="108"/>
      <c r="F21" s="109"/>
      <c r="G21" s="68">
        <v>0</v>
      </c>
      <c r="H21" s="14" t="s">
        <v>3</v>
      </c>
      <c r="I21" s="1"/>
    </row>
    <row r="22" spans="1:9" x14ac:dyDescent="0.4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681240.75843662163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4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34038398.867513329</v>
      </c>
      <c r="H26" s="14" t="s">
        <v>3</v>
      </c>
      <c r="I26" s="1"/>
    </row>
    <row r="27" spans="1:9" x14ac:dyDescent="0.45">
      <c r="A27" s="1"/>
      <c r="B27" s="107" t="s">
        <v>54</v>
      </c>
      <c r="C27" s="108"/>
      <c r="D27" s="108"/>
      <c r="E27" s="108"/>
      <c r="F27" s="109"/>
      <c r="G27" s="68">
        <v>0</v>
      </c>
      <c r="H27" s="14" t="s">
        <v>3</v>
      </c>
      <c r="I27" s="1"/>
    </row>
    <row r="28" spans="1:9" x14ac:dyDescent="0.4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680767.97735026653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4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34014776.218699276</v>
      </c>
      <c r="H32" s="14" t="s">
        <v>3</v>
      </c>
      <c r="I32" s="1"/>
    </row>
    <row r="33" spans="1:9" x14ac:dyDescent="0.45">
      <c r="A33" s="1"/>
      <c r="B33" s="104" t="s">
        <v>171</v>
      </c>
      <c r="C33" s="105"/>
      <c r="D33" s="105"/>
      <c r="E33" s="105"/>
      <c r="F33" s="106"/>
      <c r="G33" s="24">
        <v>67761.611179920001</v>
      </c>
      <c r="H33" s="14" t="s">
        <v>3</v>
      </c>
      <c r="I33" s="1"/>
    </row>
    <row r="34" spans="1:9" x14ac:dyDescent="0.4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681650.75659758388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4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33511110.000623446</v>
      </c>
      <c r="H38" s="14" t="s">
        <v>3</v>
      </c>
      <c r="I38" s="1"/>
    </row>
    <row r="39" spans="1:9" x14ac:dyDescent="0.45">
      <c r="A39" s="1"/>
      <c r="B39" s="104" t="s">
        <v>236</v>
      </c>
      <c r="C39" s="105"/>
      <c r="D39" s="105"/>
      <c r="E39" s="105"/>
      <c r="F39" s="106"/>
      <c r="G39" s="24">
        <f>SUM('Fane 2.1. Økonomisk ramme 2022'!C10,'Fane 2.1. Økonomisk ramme 2022'!C12,'Fane 2.1. Økonomisk ramme 2022'!C14)*(1+'Fane 14. Nøgletal'!C14)</f>
        <v>516242.40815828007</v>
      </c>
      <c r="H39" s="14" t="s">
        <v>3</v>
      </c>
      <c r="I39" s="1"/>
    </row>
    <row r="40" spans="1:9" x14ac:dyDescent="0.4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680547.04817563458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4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33456849.818296101</v>
      </c>
      <c r="H44" s="14" t="s">
        <v>3</v>
      </c>
      <c r="I44" s="1"/>
    </row>
    <row r="45" spans="1:9" x14ac:dyDescent="0.45">
      <c r="A45" s="1"/>
      <c r="B45" s="110" t="s">
        <v>237</v>
      </c>
      <c r="C45" s="111"/>
      <c r="D45" s="111"/>
      <c r="E45" s="111"/>
      <c r="F45" s="112"/>
      <c r="G45" s="24">
        <f>G39*(1+'Fane 14. Nøgletal'!C14)</f>
        <v>517946.00810520246</v>
      </c>
      <c r="H45" s="14" t="s">
        <v>3</v>
      </c>
      <c r="I45" s="1"/>
    </row>
    <row r="46" spans="1:9" x14ac:dyDescent="0.45">
      <c r="A46" s="1"/>
      <c r="B46" s="104" t="s">
        <v>97</v>
      </c>
      <c r="C46" s="105"/>
      <c r="D46" s="105"/>
      <c r="E46" s="105"/>
      <c r="F46" s="106"/>
      <c r="G46" s="68">
        <v>0</v>
      </c>
      <c r="H46" s="14" t="s">
        <v>3</v>
      </c>
      <c r="I46" s="1"/>
    </row>
    <row r="47" spans="1:9" x14ac:dyDescent="0.4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669136.99636592204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32895912.27424255</v>
      </c>
      <c r="H53" s="14" t="s">
        <v>3</v>
      </c>
      <c r="I53" s="1"/>
    </row>
    <row r="54" spans="1:9" x14ac:dyDescent="0.45">
      <c r="A54" s="1"/>
      <c r="B54" s="104" t="s">
        <v>174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657918.24548485107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5" t="s">
        <v>201</v>
      </c>
      <c r="C58" s="56"/>
      <c r="D58" s="56"/>
      <c r="E58" s="56"/>
      <c r="F58" s="56"/>
      <c r="G58" s="56"/>
      <c r="H58" s="57"/>
      <c r="I58" s="1"/>
    </row>
    <row r="59" spans="1:9" x14ac:dyDescent="0.45">
      <c r="A59" s="1"/>
      <c r="B59" s="61" t="s">
        <v>202</v>
      </c>
      <c r="C59" s="62"/>
      <c r="D59" s="62"/>
      <c r="E59" s="62"/>
      <c r="F59" s="63"/>
      <c r="G59" s="24">
        <f>(G53+G54-G55)*(1+'Fane 14. Nøgletal'!C14)</f>
        <v>32344379.409052603</v>
      </c>
      <c r="H59" s="14" t="s">
        <v>3</v>
      </c>
      <c r="I59" s="1"/>
    </row>
    <row r="60" spans="1:9" x14ac:dyDescent="0.45">
      <c r="A60" s="1"/>
      <c r="B60" s="61" t="s">
        <v>203</v>
      </c>
      <c r="C60" s="62"/>
      <c r="D60" s="62"/>
      <c r="E60" s="62"/>
      <c r="F60" s="63"/>
      <c r="G60" s="68">
        <v>0</v>
      </c>
      <c r="H60" s="14" t="s">
        <v>3</v>
      </c>
      <c r="I60" s="1"/>
    </row>
    <row r="61" spans="1:9" x14ac:dyDescent="0.45">
      <c r="A61" s="1"/>
      <c r="B61" s="61" t="s">
        <v>204</v>
      </c>
      <c r="C61" s="62"/>
      <c r="D61" s="62"/>
      <c r="E61" s="62"/>
      <c r="F61" s="63"/>
      <c r="G61" s="24">
        <f>(G59+G60)*'Fane 14. Nøgletal'!C29</f>
        <v>646887.58818105212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iamAgFX4y+airY9LhJeMYDOhUOWvfgQbFX9KD7qVEvBRsj9mHrMeUf2wBvm+QUC23CwrFEnj61pXwnIS+tJvGQ==" saltValue="G565Fn2o5Msb4JiwZuerOg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4.25" customHeight="1" x14ac:dyDescent="0.4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4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4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4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104" t="s">
        <v>65</v>
      </c>
      <c r="C5" s="105"/>
      <c r="D5" s="105"/>
      <c r="E5" s="105"/>
      <c r="F5" s="106"/>
      <c r="G5" s="24">
        <v>81255641.046817631</v>
      </c>
      <c r="H5" s="14" t="s">
        <v>3</v>
      </c>
      <c r="I5" s="1"/>
    </row>
    <row r="6" spans="1:9" x14ac:dyDescent="0.45">
      <c r="A6" s="1"/>
      <c r="B6" s="104" t="s">
        <v>61</v>
      </c>
      <c r="C6" s="105"/>
      <c r="D6" s="105"/>
      <c r="E6" s="105"/>
      <c r="F6" s="106"/>
      <c r="G6" s="24">
        <f>G5*'Fane 14. Nøgletal'!C19</f>
        <v>739426.33352604043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81925248.470774189</v>
      </c>
      <c r="H10" s="14" t="s">
        <v>3</v>
      </c>
      <c r="I10" s="1"/>
    </row>
    <row r="11" spans="1:9" x14ac:dyDescent="0.45">
      <c r="A11" s="1"/>
      <c r="B11" s="104" t="s">
        <v>147</v>
      </c>
      <c r="C11" s="105"/>
      <c r="D11" s="105"/>
      <c r="E11" s="105"/>
      <c r="F11" s="106"/>
      <c r="G11" s="24">
        <v>423360.57462455169</v>
      </c>
      <c r="H11" s="14" t="s">
        <v>3</v>
      </c>
      <c r="I11" s="1"/>
    </row>
    <row r="12" spans="1:9" x14ac:dyDescent="0.45">
      <c r="A12" s="1"/>
      <c r="B12" s="107" t="s">
        <v>68</v>
      </c>
      <c r="C12" s="108"/>
      <c r="D12" s="108"/>
      <c r="E12" s="108"/>
      <c r="F12" s="109"/>
      <c r="G12" s="68">
        <v>0</v>
      </c>
      <c r="H12" s="14" t="s">
        <v>3</v>
      </c>
      <c r="I12" s="1"/>
    </row>
    <row r="13" spans="1:9" x14ac:dyDescent="0.4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1457570.3801035578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82306631.841937855</v>
      </c>
      <c r="H17" s="14" t="s">
        <v>3</v>
      </c>
      <c r="I17" s="1"/>
    </row>
    <row r="18" spans="1:9" x14ac:dyDescent="0.45">
      <c r="A18" s="1"/>
      <c r="B18" s="107" t="s">
        <v>72</v>
      </c>
      <c r="C18" s="108"/>
      <c r="D18" s="108"/>
      <c r="E18" s="108"/>
      <c r="F18" s="109"/>
      <c r="G18" s="24">
        <v>891737.52126983984</v>
      </c>
      <c r="H18" s="14" t="s">
        <v>3</v>
      </c>
      <c r="I18" s="1"/>
    </row>
    <row r="19" spans="1:9" x14ac:dyDescent="0.4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1464585.5000373477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83343939.405274808</v>
      </c>
      <c r="H23" s="14" t="s">
        <v>3</v>
      </c>
      <c r="I23" s="1"/>
    </row>
    <row r="24" spans="1:9" x14ac:dyDescent="0.45">
      <c r="A24" s="1"/>
      <c r="B24" s="107" t="s">
        <v>76</v>
      </c>
      <c r="C24" s="108"/>
      <c r="D24" s="108"/>
      <c r="E24" s="108"/>
      <c r="F24" s="109"/>
      <c r="G24" s="24">
        <v>1004468.9182208704</v>
      </c>
      <c r="H24" s="14" t="s">
        <v>3</v>
      </c>
      <c r="I24" s="1"/>
    </row>
    <row r="25" spans="1:9" x14ac:dyDescent="0.4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2395494.7963872775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83567385.923592433</v>
      </c>
      <c r="H29" s="14" t="s">
        <v>3</v>
      </c>
      <c r="I29" s="1"/>
    </row>
    <row r="30" spans="1:9" x14ac:dyDescent="0.45">
      <c r="A30" s="1"/>
      <c r="B30" s="104" t="s">
        <v>176</v>
      </c>
      <c r="C30" s="105"/>
      <c r="D30" s="105"/>
      <c r="E30" s="105"/>
      <c r="F30" s="106"/>
      <c r="G30" s="24">
        <v>637860.54316067998</v>
      </c>
      <c r="H30" s="14" t="s">
        <v>3</v>
      </c>
      <c r="I30" s="1"/>
    </row>
    <row r="31" spans="1:9" x14ac:dyDescent="0.4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2390854.925166944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82084379.033673406</v>
      </c>
      <c r="H35" s="14" t="s">
        <v>3</v>
      </c>
      <c r="I35" s="1"/>
    </row>
    <row r="36" spans="1:9" x14ac:dyDescent="0.45">
      <c r="A36" s="1"/>
      <c r="B36" s="104" t="s">
        <v>240</v>
      </c>
      <c r="C36" s="105"/>
      <c r="D36" s="105"/>
      <c r="E36" s="105"/>
      <c r="F36" s="106"/>
      <c r="G36" s="24">
        <f>SUM('Fane 2.1. Økonomisk ramme 2022'!C11,'Fane 2.1. Økonomisk ramme 2022'!C13,'Fane 2.1. Økonomisk ramme 2022'!C15)*(1+'Fane 14. Nøgletal'!C14)</f>
        <v>135872.33793220003</v>
      </c>
      <c r="H36" s="14" t="s">
        <v>3</v>
      </c>
      <c r="I36" s="1"/>
    </row>
    <row r="37" spans="1:9" x14ac:dyDescent="0.4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1216859.7202997629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81270702.843755156</v>
      </c>
      <c r="H41" s="14" t="s">
        <v>3</v>
      </c>
      <c r="I41" s="1"/>
    </row>
    <row r="42" spans="1:9" x14ac:dyDescent="0.45">
      <c r="A42" s="1"/>
      <c r="B42" s="47" t="s">
        <v>242</v>
      </c>
      <c r="C42" s="62"/>
      <c r="D42" s="62"/>
      <c r="E42" s="62"/>
      <c r="F42" s="63"/>
      <c r="G42" s="24">
        <f>G36*(1+'Fane 14. Nøgletal'!C14)</f>
        <v>136320.71664737631</v>
      </c>
      <c r="H42" s="14" t="s">
        <v>3</v>
      </c>
      <c r="I42" s="1"/>
    </row>
    <row r="43" spans="1:9" x14ac:dyDescent="0.45">
      <c r="A43" s="1"/>
      <c r="B43" s="104" t="s">
        <v>101</v>
      </c>
      <c r="C43" s="105"/>
      <c r="D43" s="105"/>
      <c r="E43" s="105"/>
      <c r="F43" s="106"/>
      <c r="G43" s="68">
        <v>0</v>
      </c>
      <c r="H43" s="14" t="s">
        <v>3</v>
      </c>
      <c r="I43" s="1"/>
    </row>
    <row r="44" spans="1:9" x14ac:dyDescent="0.4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1202806.4020875765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80332120.499925092</v>
      </c>
      <c r="H53" s="14" t="s">
        <v>3</v>
      </c>
      <c r="I53" s="1"/>
    </row>
    <row r="54" spans="1:9" x14ac:dyDescent="0.45">
      <c r="A54" s="1"/>
      <c r="B54" s="104" t="s">
        <v>183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1188915.3833988914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4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79404377.693410739</v>
      </c>
      <c r="H59" s="14" t="s">
        <v>3</v>
      </c>
      <c r="I59" s="1"/>
    </row>
    <row r="60" spans="1:9" x14ac:dyDescent="0.45">
      <c r="A60" s="1"/>
      <c r="B60" s="104" t="s">
        <v>256</v>
      </c>
      <c r="C60" s="105"/>
      <c r="D60" s="105"/>
      <c r="E60" s="105"/>
      <c r="F60" s="106"/>
      <c r="G60" s="68">
        <v>0</v>
      </c>
      <c r="H60" s="14" t="s">
        <v>3</v>
      </c>
      <c r="I60" s="1"/>
    </row>
    <row r="61" spans="1:9" x14ac:dyDescent="0.4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1175184.7898624791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Pddu+qUg6Oh5Dhv74OLLkHBprL44W7ksari/p9jjV+o05cect6pvUX71cdTHq17QmtqWFH4mOTsZrECcKWzN/A==" saltValue="WgnerZTTI4Pf/I8qLfDb9w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33203125" style="2" customWidth="1"/>
    <col min="8" max="8" width="3.332031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104" t="s">
        <v>243</v>
      </c>
      <c r="C9" s="105"/>
      <c r="D9" s="105"/>
      <c r="E9" s="105"/>
      <c r="F9" s="106"/>
      <c r="G9" s="23">
        <v>1.4894372371914892E-2</v>
      </c>
      <c r="H9" s="14"/>
      <c r="I9" s="1"/>
    </row>
    <row r="10" spans="1:9" x14ac:dyDescent="0.45">
      <c r="A10" s="1"/>
      <c r="B10" s="104" t="s">
        <v>86</v>
      </c>
      <c r="C10" s="105"/>
      <c r="D10" s="105"/>
      <c r="E10" s="105"/>
      <c r="F10" s="106"/>
      <c r="G10" s="23">
        <v>0.02</v>
      </c>
      <c r="H10" s="14"/>
      <c r="I10" s="1"/>
    </row>
    <row r="11" spans="1:9" x14ac:dyDescent="0.45">
      <c r="A11" s="1"/>
      <c r="B11" s="104" t="s">
        <v>87</v>
      </c>
      <c r="C11" s="105"/>
      <c r="D11" s="105"/>
      <c r="E11" s="105"/>
      <c r="F11" s="106"/>
      <c r="G11" s="41">
        <v>0.02</v>
      </c>
      <c r="H11" s="14"/>
      <c r="I11" s="1"/>
    </row>
    <row r="12" spans="1:9" x14ac:dyDescent="0.45">
      <c r="A12" s="1"/>
      <c r="B12" s="104" t="s">
        <v>206</v>
      </c>
      <c r="C12" s="105"/>
      <c r="D12" s="105"/>
      <c r="E12" s="105"/>
      <c r="F12" s="106"/>
      <c r="G12" s="41">
        <v>0.02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4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BRpdz0h/qVp5ySstkVAR+rAm9k9ceQKNvE4kO7yeC9NuObR3IyWhaSWxkdX9/v8G4uk6BDZyBoyA7Iu66Yo6wA==" saltValue="Se8tnzOU/PhLt/nEGLi3D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2021-09-09T10:08:31Z</dcterms:modified>
</cp:coreProperties>
</file>