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Gladsaxe AS (S029)\ØR2025\"/>
    </mc:Choice>
  </mc:AlternateContent>
  <xr:revisionPtr revIDLastSave="0" documentId="13_ncr:1_{8B58C954-39D9-4283-B097-B848F000B97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l="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<sst xmlns="http://schemas.openxmlformats.org/spreadsheetml/2006/main" count="554" uniqueCount="239">
  <si>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</si>
  <si>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</si>
  <si>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</si>
  <si>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</si>
  <si>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</si>
  <si>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</si>
  <si>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</si>
  <si>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</si>
  <si>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</si>
  <si>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</si>
  <si>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</si>
  <si>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</si>
  <si>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</si>
  <si>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</si>
  <si>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</si>
  <si>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</si>
  <si>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</si>
  <si>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</si>
  <si>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</si>
  <si>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</si>
  <si>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</si>
  <si>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</si>
  <si>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</si>
  <si>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</si>
  <si>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</si>
  <si>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</si>
  <si>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</si>
  <si>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</si>
  <si>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</si>
  <si>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</si>
  <si>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</si>
  <si>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</si>
  <si>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</si>
  <si>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</si>
  <si>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</si>
  <si>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</si>
  <si>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</si>
  <si>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</si>
  <si>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</si>
  <si>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</si>
  <si>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</si>
  <si>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</si>
  <si>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</si>
  <si>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</si>
  <si>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</si>
  <si>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</si>
  <si>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</si>
  <si>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</si>
  <si>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</si>
  <si>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</si>
  <si>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</si>
  <si>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</si>
  <si>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</si>
  <si>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</si>
  <si>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</si>
  <si>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</si>
  <si>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</si>
  <si>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</si>
  <si>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</si>
  <si>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</si>
  <si>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</si>
  <si>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</si>
  <si>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</si>
  <si>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</si>
  <si>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</si>
  <si>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</si>
  <si>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</si>
  <si>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</si>
  <si>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</si>
  <si>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</si>
  <si>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</si>
  <si>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</si>
  <si>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</si>
  <si>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</si>
  <si>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</si>
  <si>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</si>
  <si>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</si>
  <si>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</si>
  <si>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</si>
  <si>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</si>
  <si>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</si>
  <si>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</si>
  <si>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</si>
  <si>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</si>
  <si>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</si>
  <si>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</si>
  <si>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</si>
  <si>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</si>
  <si>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</si>
  <si>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</si>
  <si>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</si>
  <si>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</si>
  <si>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</si>
  <si>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</si>
  <si>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</si>
  <si>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</si>
  <si>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</si>
  <si>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</si>
  <si>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</si>
  <si>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</si>
  <si>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</si>
  <si>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</si>
  <si>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</si>
  <si>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</si>
  <si>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</si>
  <si>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</si>
  <si>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</si>
  <si>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</si>
  <si>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</si>
  <si>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</si>
  <si>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</si>
  <si>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</si>
  <si>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</si>
  <si>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</si>
  <si>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</si>
  <si>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</si>
  <si>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</si>
  <si>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</si>
  <si>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</si>
  <si>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</si>
  <si>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</si>
  <si>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</si>
  <si>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</si>
  <si>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</si>
  <si>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</si>
  <si>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</si>
  <si>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</si>
  <si>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</si>
  <si>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</si>
  <si>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</si>
  <si>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</si>
  <si>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</si>
  <si>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</si>
  <si>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</si>
  <si>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</si>
  <si>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</si>
  <si>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</si>
  <si>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</si>
  <si>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</si>
  <si>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</si>
  <si>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</si>
  <si>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</si>
  <si>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</si>
  <si>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</si>
  <si>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</si>
  <si>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</si>
  <si>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</si>
  <si>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</si>
  <si>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</si>
  <si>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</si>
  <si>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</si>
  <si>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</si>
  <si>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</si>
  <si>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</si>
  <si>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</si>
  <si>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</si>
  <si>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</si>
  <si>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</si>
  <si>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</si>
  <si>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</si>
  <si>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</si>
  <si>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</si>
  <si>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</si>
  <si>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</si>
  <si>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</si>
  <si>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</si>
  <si>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</si>
  <si>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</si>
  <si>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</si>
  <si>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</si>
  <si>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</si>
  <si>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</si>
  <si>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</si>
  <si>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</si>
  <si>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</si>
  <si>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</si>
  <si>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</si>
  <si>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</si>
  <si>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</si>
  <si>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</si>
  <si>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</si>
  <si>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</si>
  <si>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</si>
  <si>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</si>
  <si>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</si>
  <si>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</si>
  <si>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</si>
  <si>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</si>
  <si>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</si>
  <si>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</si>
  <si>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</si>
  <si>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</si>
  <si>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</si>
  <si>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</si>
  <si>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</si>
  <si>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</si>
  <si>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</si>
  <si>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</si>
  <si>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</si>
  <si>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</si>
  <si>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</si>
  <si>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</si>
  <si>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</si>
  <si>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</si>
  <si>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</si>
  <si>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</si>
  <si>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</si>
  <si>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</si>
  <si>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</si>
  <si>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</si>
  <si>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</si>
  <si>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</si>
  <si>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</si>
  <si>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</si>
  <si>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</si>
  <si>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</si>
  <si>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</si>
  <si>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</si>
  <si>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</si>
  <si>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</si>
  <si>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</si>
  <si>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</si>
  <si>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</si>
  <si>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</si>
  <si>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</si>
  <si>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</si>
  <si>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</si>
  <si>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</si>
  <si>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Ejendomsskatter</t>
  </si>
  <si>
    <t>Gebyr til Miljøstyrelsen</t>
  </si>
  <si>
    <t>Til statusmeddelelse for 2025</t>
  </si>
  <si>
    <t>Harrestrup Å driftssager</t>
  </si>
  <si>
    <t>Ignition</t>
  </si>
  <si>
    <t>Kagsåkvarteret - fortsættelse</t>
  </si>
  <si>
    <t>Letbanen Buddingevej og Ringvej - Ledningsomlægning 2023</t>
  </si>
  <si>
    <t>Ledningsomlægning ved Børnehuset Egedammen fort.</t>
  </si>
  <si>
    <t>Bagsværdlund overtagelse privatanlæg</t>
  </si>
  <si>
    <t>Kloak på Granvej</t>
  </si>
  <si>
    <t>Periodevise driftsomkostninger (Rektorsøen)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</si>
</sst>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66" fontId="8" fillId="8" borderId="2" xfId="1" quotePrefix="1" applyNumberFormat="1" applyFont="1" applyFill="1" applyBorder="1" applyAlignment="1" applyProtection="1">
      <alignment horizontal="righ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3"/>
    </row>
    <row r="7" spans="1:7" ht="15" customHeight="1" x14ac:dyDescent="0.25">
      <c r="A7" s="1"/>
      <c r="B7" s="3"/>
      <c r="C7" s="88"/>
      <c r="D7" s="88"/>
      <c r="E7" s="88"/>
      <c r="F7" s="88"/>
      <c r="G7" s="3"/>
    </row>
    <row r="8" spans="1:7" ht="15.75" x14ac:dyDescent="0.25">
      <c r="A8" s="1"/>
      <c r="B8" s="4"/>
      <c r="C8" s="96" t="s">
        <v>230</v>
      </c>
      <c r="D8" s="96"/>
      <c r="E8" s="96"/>
      <c r="F8" s="96"/>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5" t="s">
        <v>5</v>
      </c>
      <c r="D11" s="95"/>
      <c r="E11" s="95"/>
      <c r="F11" s="95"/>
      <c r="G11" s="5"/>
    </row>
    <row r="12" spans="1:7" x14ac:dyDescent="0.25">
      <c r="A12" s="1"/>
      <c r="B12" s="1"/>
      <c r="C12" s="1"/>
      <c r="D12" s="1"/>
      <c r="E12" s="1"/>
      <c r="F12" s="1"/>
      <c r="G12" s="5"/>
    </row>
    <row r="13" spans="1:7" x14ac:dyDescent="0.25">
      <c r="A13" s="1"/>
      <c r="B13" s="6" t="s">
        <v>6</v>
      </c>
      <c r="C13" s="100" t="s">
        <v>127</v>
      </c>
      <c r="D13" s="101"/>
      <c r="E13" s="101"/>
      <c r="F13" s="102"/>
      <c r="G13" s="5"/>
    </row>
    <row r="14" spans="1:7" x14ac:dyDescent="0.25">
      <c r="A14" s="1"/>
      <c r="B14" s="6" t="s">
        <v>16</v>
      </c>
      <c r="C14" s="85" t="s">
        <v>186</v>
      </c>
      <c r="D14" s="86"/>
      <c r="E14" s="86"/>
      <c r="F14" s="87"/>
      <c r="G14" s="5"/>
    </row>
    <row r="15" spans="1:7" x14ac:dyDescent="0.25">
      <c r="A15" s="1"/>
      <c r="B15" s="6" t="s">
        <v>30</v>
      </c>
      <c r="C15" s="85" t="s">
        <v>149</v>
      </c>
      <c r="D15" s="86"/>
      <c r="E15" s="86"/>
      <c r="F15" s="87"/>
      <c r="G15" s="5"/>
    </row>
    <row r="16" spans="1:7" x14ac:dyDescent="0.25">
      <c r="A16" s="1"/>
      <c r="B16" s="6" t="s">
        <v>31</v>
      </c>
      <c r="C16" s="85" t="s">
        <v>151</v>
      </c>
      <c r="D16" s="86"/>
      <c r="E16" s="86"/>
      <c r="F16" s="87"/>
      <c r="G16" s="5"/>
    </row>
    <row r="17" spans="1:8" x14ac:dyDescent="0.25">
      <c r="A17" s="1"/>
      <c r="B17" s="6" t="s">
        <v>61</v>
      </c>
      <c r="C17" s="85" t="s">
        <v>152</v>
      </c>
      <c r="D17" s="86"/>
      <c r="E17" s="86"/>
      <c r="F17" s="87"/>
      <c r="G17" s="5"/>
    </row>
    <row r="18" spans="1:8" x14ac:dyDescent="0.25">
      <c r="A18" s="1"/>
      <c r="B18" s="6" t="s">
        <v>53</v>
      </c>
      <c r="C18" s="97" t="s">
        <v>45</v>
      </c>
      <c r="D18" s="98"/>
      <c r="E18" s="98"/>
      <c r="F18" s="99"/>
      <c r="G18" s="5"/>
    </row>
    <row r="19" spans="1:8" x14ac:dyDescent="0.25">
      <c r="A19" s="1"/>
      <c r="B19" s="6" t="s">
        <v>54</v>
      </c>
      <c r="C19" s="97" t="s">
        <v>46</v>
      </c>
      <c r="D19" s="98"/>
      <c r="E19" s="98"/>
      <c r="F19" s="99"/>
      <c r="G19" s="5"/>
    </row>
    <row r="20" spans="1:8" x14ac:dyDescent="0.25">
      <c r="A20" s="1"/>
      <c r="B20" s="6" t="s">
        <v>7</v>
      </c>
      <c r="C20" s="97" t="s">
        <v>10</v>
      </c>
      <c r="D20" s="98"/>
      <c r="E20" s="98"/>
      <c r="F20" s="99"/>
      <c r="G20" s="5"/>
    </row>
    <row r="21" spans="1:8" x14ac:dyDescent="0.25">
      <c r="A21" s="1"/>
      <c r="B21" s="6" t="s">
        <v>55</v>
      </c>
      <c r="C21" s="89" t="s">
        <v>12</v>
      </c>
      <c r="D21" s="90"/>
      <c r="E21" s="90"/>
      <c r="F21" s="91"/>
      <c r="G21" s="5"/>
    </row>
    <row r="22" spans="1:8" x14ac:dyDescent="0.25">
      <c r="A22" s="1"/>
      <c r="B22" s="6" t="s">
        <v>39</v>
      </c>
      <c r="C22" s="92" t="s">
        <v>153</v>
      </c>
      <c r="D22" s="93"/>
      <c r="E22" s="93"/>
      <c r="F22" s="94"/>
      <c r="G22" s="5"/>
    </row>
    <row r="23" spans="1:8" x14ac:dyDescent="0.25">
      <c r="A23" s="1"/>
      <c r="B23" s="6" t="s">
        <v>8</v>
      </c>
      <c r="C23" s="92" t="s">
        <v>112</v>
      </c>
      <c r="D23" s="93"/>
      <c r="E23" s="93"/>
      <c r="F23" s="94"/>
      <c r="G23" s="5"/>
    </row>
    <row r="24" spans="1:8" x14ac:dyDescent="0.25">
      <c r="A24" s="1"/>
      <c r="B24" s="6" t="s">
        <v>9</v>
      </c>
      <c r="C24" s="92" t="s">
        <v>154</v>
      </c>
      <c r="D24" s="93"/>
      <c r="E24" s="93"/>
      <c r="F24" s="94"/>
      <c r="G24" s="5"/>
    </row>
    <row r="25" spans="1:8" x14ac:dyDescent="0.25">
      <c r="A25" s="1"/>
      <c r="B25" s="6" t="s">
        <v>97</v>
      </c>
      <c r="C25" s="92" t="s">
        <v>91</v>
      </c>
      <c r="D25" s="93"/>
      <c r="E25" s="93"/>
      <c r="F25" s="94"/>
      <c r="G25" s="1"/>
    </row>
    <row r="26" spans="1:8" x14ac:dyDescent="0.25">
      <c r="A26" s="1"/>
      <c r="B26" s="6" t="s">
        <v>98</v>
      </c>
      <c r="C26" s="92" t="s">
        <v>40</v>
      </c>
      <c r="D26" s="93"/>
      <c r="E26" s="93"/>
      <c r="F26" s="94"/>
      <c r="G26" s="1"/>
    </row>
    <row r="27" spans="1:8" x14ac:dyDescent="0.25">
      <c r="A27" s="1"/>
      <c r="B27" s="6" t="s">
        <v>99</v>
      </c>
      <c r="C27" s="92" t="s">
        <v>41</v>
      </c>
      <c r="D27" s="93"/>
      <c r="E27" s="93"/>
      <c r="F27" s="94"/>
      <c r="G27" s="1"/>
    </row>
    <row r="28" spans="1:8" x14ac:dyDescent="0.25">
      <c r="A28" s="1"/>
      <c r="B28" s="6" t="s">
        <v>15</v>
      </c>
      <c r="C28" s="92" t="s">
        <v>42</v>
      </c>
      <c r="D28" s="93"/>
      <c r="E28" s="93"/>
      <c r="F28" s="94"/>
      <c r="G28" s="1"/>
      <c r="H28" s="2" t="s">
        <v>150</v>
      </c>
    </row>
    <row r="29" spans="1:8" x14ac:dyDescent="0.25">
      <c r="A29" s="1"/>
      <c r="B29" s="6" t="s">
        <v>33</v>
      </c>
      <c r="C29" s="92" t="s">
        <v>68</v>
      </c>
      <c r="D29" s="93"/>
      <c r="E29" s="93"/>
      <c r="F29" s="94"/>
      <c r="G29" s="1"/>
    </row>
    <row r="30" spans="1:8" x14ac:dyDescent="0.25">
      <c r="A30" s="1"/>
      <c r="B30" s="6" t="s">
        <v>34</v>
      </c>
      <c r="C30" s="92" t="s">
        <v>32</v>
      </c>
      <c r="D30" s="93"/>
      <c r="E30" s="93"/>
      <c r="F30" s="94"/>
      <c r="G30" s="1"/>
    </row>
    <row r="31" spans="1:8" x14ac:dyDescent="0.25">
      <c r="A31" s="1"/>
      <c r="B31" s="6" t="s">
        <v>100</v>
      </c>
      <c r="C31" s="103" t="s">
        <v>52</v>
      </c>
      <c r="D31" s="104"/>
      <c r="E31" s="104"/>
      <c r="F31" s="105"/>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QGmgm90zJ4uMyAQqcmHih3i9ahILbDQSglmYywSFiI8e6LHrfYi9YO/z0QzwFxYcz4Mlftcd/1Fr1RaKMXrv0Q==" saltValue="XPwz1oFzxtEdaqzNfqBqL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58</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0" t="s">
        <v>165</v>
      </c>
      <c r="C8" s="111"/>
      <c r="D8" s="112"/>
      <c r="E8" s="1"/>
    </row>
    <row r="9" spans="1:5" ht="15" customHeight="1" x14ac:dyDescent="0.25">
      <c r="A9" s="1"/>
      <c r="B9" s="27" t="s">
        <v>28</v>
      </c>
      <c r="C9" s="67" t="s">
        <v>166</v>
      </c>
      <c r="D9" s="11"/>
      <c r="E9" s="1"/>
    </row>
    <row r="10" spans="1:5" ht="15" customHeight="1" x14ac:dyDescent="0.25">
      <c r="A10" s="1"/>
      <c r="B10" s="73" t="s">
        <v>226</v>
      </c>
      <c r="C10" s="74">
        <v>110402</v>
      </c>
      <c r="D10" s="14" t="s">
        <v>3</v>
      </c>
      <c r="E10" s="1"/>
    </row>
    <row r="11" spans="1:5" ht="15" customHeight="1" x14ac:dyDescent="0.25">
      <c r="A11" s="1"/>
      <c r="B11" s="73" t="s">
        <v>227</v>
      </c>
      <c r="C11" s="74">
        <v>30897882</v>
      </c>
      <c r="D11" s="14" t="s">
        <v>3</v>
      </c>
      <c r="E11" s="1"/>
    </row>
    <row r="12" spans="1:5" x14ac:dyDescent="0.25">
      <c r="A12" s="1"/>
      <c r="B12" s="73" t="s">
        <v>228</v>
      </c>
      <c r="C12" s="74">
        <v>470858</v>
      </c>
      <c r="D12" s="14" t="s">
        <v>3</v>
      </c>
      <c r="E12" s="1"/>
    </row>
    <row r="13" spans="1:5" x14ac:dyDescent="0.25">
      <c r="A13" s="1"/>
      <c r="B13" s="73" t="s">
        <v>229</v>
      </c>
      <c r="C13" s="74">
        <v>10785</v>
      </c>
      <c r="D13" s="14" t="s">
        <v>3</v>
      </c>
      <c r="E13" s="1"/>
    </row>
    <row r="14" spans="1:5" x14ac:dyDescent="0.25">
      <c r="A14" s="1"/>
      <c r="B14" s="73"/>
      <c r="C14" s="74"/>
      <c r="D14" s="14" t="s">
        <v>3</v>
      </c>
      <c r="E14" s="1"/>
    </row>
    <row r="15" spans="1:5" x14ac:dyDescent="0.25">
      <c r="A15" s="1"/>
      <c r="B15" s="73"/>
      <c r="C15" s="74"/>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167</v>
      </c>
      <c r="C20" s="12">
        <f>SUM(C10:C19)</f>
        <v>31489927</v>
      </c>
      <c r="D20" s="13" t="s">
        <v>3</v>
      </c>
      <c r="E20" s="1"/>
    </row>
    <row r="21" spans="1:5" x14ac:dyDescent="0.25">
      <c r="A21" s="1"/>
      <c r="B21" s="33" t="s">
        <v>168</v>
      </c>
      <c r="C21" s="12">
        <f>C20*(1+'Fane 15. Nøgletal'!C10)^2</f>
        <v>35803911.277414627</v>
      </c>
      <c r="D21" s="13" t="s">
        <v>3</v>
      </c>
      <c r="E21" s="1"/>
    </row>
    <row r="22" spans="1:5" x14ac:dyDescent="0.25">
      <c r="A22" s="1"/>
      <c r="B22" s="16"/>
      <c r="C22" s="15"/>
      <c r="D22" s="15"/>
      <c r="E22" s="1"/>
    </row>
    <row r="23" spans="1:5" x14ac:dyDescent="0.25">
      <c r="A23" s="1"/>
      <c r="B23" s="16"/>
      <c r="C23" s="15"/>
      <c r="D23" s="15"/>
      <c r="E23" s="1"/>
    </row>
    <row r="24" spans="1:5" x14ac:dyDescent="0.25">
      <c r="A24" s="1"/>
      <c r="B24" s="110" t="s">
        <v>60</v>
      </c>
      <c r="C24" s="111"/>
      <c r="D24" s="112"/>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10"/>
      <c r="C29" s="111"/>
      <c r="D29" s="112"/>
      <c r="E29" s="1"/>
    </row>
    <row r="30" spans="1:5" x14ac:dyDescent="0.25">
      <c r="A30" s="1"/>
      <c r="B30" s="1"/>
      <c r="C30" s="1"/>
      <c r="D30" s="1"/>
      <c r="E30" s="1"/>
    </row>
    <row r="31" spans="1:5" x14ac:dyDescent="0.25">
      <c r="A31" s="1"/>
      <c r="B31" s="1"/>
      <c r="C31" s="1"/>
      <c r="D31" s="1"/>
      <c r="E31" s="1"/>
    </row>
    <row r="32" spans="1:5" x14ac:dyDescent="0.25">
      <c r="A32" s="1"/>
      <c r="B32" s="110" t="s">
        <v>47</v>
      </c>
      <c r="C32" s="111"/>
      <c r="D32" s="112"/>
      <c r="E32" s="1"/>
    </row>
    <row r="33" spans="1:5" x14ac:dyDescent="0.25">
      <c r="A33" s="1"/>
      <c r="B33" s="37" t="s">
        <v>72</v>
      </c>
      <c r="C33" s="9">
        <v>262579</v>
      </c>
      <c r="D33" s="14" t="s">
        <v>3</v>
      </c>
      <c r="E33" s="1"/>
    </row>
    <row r="34" spans="1:5" x14ac:dyDescent="0.25">
      <c r="A34" s="1"/>
      <c r="B34" s="37" t="s">
        <v>83</v>
      </c>
      <c r="C34" s="9">
        <v>262580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10"/>
      <c r="C37" s="111"/>
      <c r="D37" s="112"/>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pGDiwfpTLrZg0t9hxt2q70V1SiPceL1f+zWoN8N5vRZF3L/4hff9cpjkWyRLMPOi6dfKT5GhegwwuzRlDZnRKg==" saltValue="kre3AQT1rnNOHraIAl1tb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7"/>
      <c r="C6" s="77"/>
      <c r="D6" s="77"/>
      <c r="E6" s="1"/>
    </row>
    <row r="7" spans="1:5" x14ac:dyDescent="0.25">
      <c r="A7" s="1"/>
      <c r="B7" s="1"/>
      <c r="C7" s="1"/>
      <c r="D7" s="1"/>
      <c r="E7" s="1"/>
    </row>
    <row r="8" spans="1:5" x14ac:dyDescent="0.25">
      <c r="A8" s="1"/>
      <c r="B8" s="110" t="s">
        <v>77</v>
      </c>
      <c r="C8" s="111"/>
      <c r="D8" s="112"/>
      <c r="E8" s="1"/>
    </row>
    <row r="9" spans="1:5" x14ac:dyDescent="0.25">
      <c r="A9" s="1"/>
      <c r="B9" s="65" t="s">
        <v>204</v>
      </c>
      <c r="C9" s="9">
        <v>1046687.8294540346</v>
      </c>
      <c r="D9" s="14" t="s">
        <v>3</v>
      </c>
      <c r="E9" s="1"/>
    </row>
    <row r="10" spans="1:5" x14ac:dyDescent="0.25">
      <c r="A10" s="1"/>
      <c r="B10" s="33"/>
      <c r="C10" s="28"/>
      <c r="D10" s="19"/>
      <c r="E10" s="1"/>
    </row>
    <row r="11" spans="1:5" ht="53.25" customHeight="1" x14ac:dyDescent="0.25">
      <c r="A11" s="1"/>
      <c r="B11" s="121" t="s">
        <v>212</v>
      </c>
      <c r="C11" s="122"/>
      <c r="D11" s="123"/>
      <c r="E11" s="1"/>
    </row>
    <row r="12" spans="1:5" x14ac:dyDescent="0.25">
      <c r="A12" s="1"/>
      <c r="B12" s="1"/>
      <c r="C12" s="1"/>
      <c r="D12" s="1"/>
      <c r="E12" s="1"/>
    </row>
    <row r="13" spans="1:5" x14ac:dyDescent="0.25">
      <c r="A13" s="1"/>
      <c r="B13" s="110" t="s">
        <v>78</v>
      </c>
      <c r="C13" s="111"/>
      <c r="D13" s="112"/>
      <c r="E13" s="1"/>
    </row>
    <row r="14" spans="1:5" x14ac:dyDescent="0.25">
      <c r="A14" s="1"/>
      <c r="B14" s="65" t="s">
        <v>202</v>
      </c>
      <c r="C14" s="9">
        <v>-1106261.5426455066</v>
      </c>
      <c r="D14" s="14" t="s">
        <v>3</v>
      </c>
      <c r="E14" s="1"/>
    </row>
    <row r="15" spans="1:5" x14ac:dyDescent="0.25">
      <c r="A15" s="1"/>
      <c r="B15" s="65" t="s">
        <v>203</v>
      </c>
      <c r="C15" s="9">
        <v>-1106261.5426455066</v>
      </c>
      <c r="D15" s="14" t="s">
        <v>3</v>
      </c>
      <c r="E15" s="1"/>
    </row>
    <row r="16" spans="1:5" x14ac:dyDescent="0.25">
      <c r="A16" s="1"/>
      <c r="B16" s="33"/>
      <c r="C16" s="28"/>
      <c r="D16" s="19"/>
      <c r="E16" s="1"/>
    </row>
    <row r="17" spans="1:5" ht="29.25" customHeight="1" x14ac:dyDescent="0.25">
      <c r="A17" s="1"/>
      <c r="B17" s="121" t="s">
        <v>121</v>
      </c>
      <c r="C17" s="122"/>
      <c r="D17" s="123"/>
      <c r="E17" s="1"/>
    </row>
    <row r="18" spans="1:5" x14ac:dyDescent="0.25">
      <c r="A18" s="1"/>
      <c r="B18" s="1"/>
      <c r="C18" s="1"/>
      <c r="D18" s="1"/>
      <c r="E18" s="1"/>
    </row>
    <row r="19" spans="1:5" x14ac:dyDescent="0.25">
      <c r="A19" s="1"/>
      <c r="B19" s="78" t="s">
        <v>205</v>
      </c>
      <c r="C19" s="79"/>
      <c r="D19" s="80"/>
      <c r="E19" s="1"/>
    </row>
    <row r="20" spans="1:5" x14ac:dyDescent="0.25">
      <c r="A20" s="1"/>
      <c r="B20" s="65" t="s">
        <v>206</v>
      </c>
      <c r="C20" s="9">
        <v>95831772.805011541</v>
      </c>
      <c r="D20" s="14" t="s">
        <v>3</v>
      </c>
      <c r="E20" s="1"/>
    </row>
    <row r="21" spans="1:5" x14ac:dyDescent="0.25">
      <c r="A21" s="1"/>
      <c r="B21" s="65" t="s">
        <v>207</v>
      </c>
      <c r="C21" s="9">
        <v>96286296</v>
      </c>
      <c r="D21" s="14" t="s">
        <v>3</v>
      </c>
      <c r="E21" s="1"/>
    </row>
    <row r="22" spans="1:5" x14ac:dyDescent="0.25">
      <c r="A22" s="1"/>
      <c r="B22" s="65" t="s">
        <v>29</v>
      </c>
      <c r="C22" s="9">
        <v>0</v>
      </c>
      <c r="D22" s="14" t="s">
        <v>3</v>
      </c>
      <c r="E22" s="1"/>
    </row>
    <row r="23" spans="1:5" x14ac:dyDescent="0.25">
      <c r="A23" s="1"/>
      <c r="B23" s="84" t="s">
        <v>208</v>
      </c>
      <c r="C23" s="57">
        <f>C20-C21-C22</f>
        <v>-454523.19498845935</v>
      </c>
      <c r="D23" s="17" t="s">
        <v>3</v>
      </c>
      <c r="E23" s="1"/>
    </row>
    <row r="24" spans="1:5" x14ac:dyDescent="0.25">
      <c r="A24" s="1"/>
      <c r="B24" s="33"/>
      <c r="C24" s="28"/>
      <c r="D24" s="19"/>
      <c r="E24" s="1"/>
    </row>
    <row r="25" spans="1:5" x14ac:dyDescent="0.25">
      <c r="A25" s="1"/>
      <c r="B25" s="1"/>
      <c r="C25" s="1"/>
      <c r="D25" s="1"/>
      <c r="E25" s="1"/>
    </row>
    <row r="26" spans="1:5" x14ac:dyDescent="0.25">
      <c r="A26" s="1"/>
      <c r="B26" s="110" t="s">
        <v>209</v>
      </c>
      <c r="C26" s="111"/>
      <c r="D26" s="112"/>
      <c r="E26" s="1"/>
    </row>
    <row r="27" spans="1:5" x14ac:dyDescent="0.25">
      <c r="A27" s="1"/>
      <c r="B27" s="84" t="s">
        <v>210</v>
      </c>
      <c r="C27" s="57">
        <f>IF(AND(C15&lt;0,C23&gt;0,ABS(SUM(C14:C15))&lt;C23),ABS(C14),IF(AND(C15&lt;0,C23&gt;0,ABS(SUM(C14:C15))&gt;C23),SUM(C14,C23),C15))</f>
        <v>-1106261.5426455066</v>
      </c>
      <c r="D27" s="17" t="s">
        <v>3</v>
      </c>
      <c r="E27" s="1"/>
    </row>
    <row r="28" spans="1:5" x14ac:dyDescent="0.25">
      <c r="A28" s="1"/>
      <c r="B28" s="110"/>
      <c r="C28" s="111"/>
      <c r="D28" s="112"/>
      <c r="E28" s="1"/>
    </row>
    <row r="29" spans="1:5" x14ac:dyDescent="0.25">
      <c r="A29" s="1"/>
      <c r="B29" s="1"/>
      <c r="C29" s="1"/>
      <c r="D29" s="1"/>
      <c r="E29" s="1"/>
    </row>
    <row r="30" spans="1:5" x14ac:dyDescent="0.25">
      <c r="A30" s="1"/>
      <c r="B30" s="110" t="s">
        <v>211</v>
      </c>
      <c r="C30" s="111"/>
      <c r="D30" s="112"/>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8"/>
      <c r="C34" s="119"/>
      <c r="D34" s="120"/>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2EEFRO0vOtoIikgnEiDU4faDwc4mDLHf06+KUabMJTEh5CN0aw5LUwmEAwRE+5mQ745WxDkPFi6Z25YrD6Ok4Q==" saltValue="RWmUT5f8cO9lidoxciAWe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10" t="s">
        <v>120</v>
      </c>
      <c r="C8" s="111"/>
      <c r="D8" s="112"/>
      <c r="E8" s="1"/>
    </row>
    <row r="9" spans="1:5" ht="15" customHeight="1" x14ac:dyDescent="0.25">
      <c r="A9" s="1"/>
      <c r="B9" s="124" t="s">
        <v>102</v>
      </c>
      <c r="C9" s="125"/>
      <c r="D9" s="126"/>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8"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0A3VYJD9p+bkDhKy9dhj0aKMA25eHK1sT7KTjNXFZQn+sQFCTc1h81oB2xUhLw0TXkzwIERcCe+ftUmVb4Dsw==" saltValue="1jG4QTobf6oFddgAjKreT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0" t="s">
        <v>171</v>
      </c>
      <c r="C8" s="111"/>
      <c r="D8" s="112"/>
      <c r="E8" s="1"/>
    </row>
    <row r="9" spans="1:5" ht="26.25" x14ac:dyDescent="0.25">
      <c r="A9" s="1"/>
      <c r="B9" s="81" t="s">
        <v>215</v>
      </c>
      <c r="C9" s="7">
        <v>0</v>
      </c>
      <c r="D9" s="8" t="s">
        <v>3</v>
      </c>
      <c r="E9" s="1"/>
    </row>
    <row r="10" spans="1:5" ht="14.25" customHeight="1" x14ac:dyDescent="0.25">
      <c r="A10" s="1"/>
      <c r="B10" s="65" t="s">
        <v>172</v>
      </c>
      <c r="C10" s="7">
        <v>0</v>
      </c>
      <c r="D10" s="8" t="s">
        <v>3</v>
      </c>
      <c r="E10" s="1"/>
    </row>
    <row r="11" spans="1:5" ht="14.25" customHeight="1" x14ac:dyDescent="0.25">
      <c r="A11" s="1"/>
      <c r="B11" s="84" t="s">
        <v>48</v>
      </c>
      <c r="C11" s="10">
        <f>C10-C9</f>
        <v>0</v>
      </c>
      <c r="D11" s="11" t="s">
        <v>3</v>
      </c>
      <c r="E11" s="1"/>
    </row>
    <row r="12" spans="1:5" ht="14.25" customHeight="1" x14ac:dyDescent="0.25">
      <c r="A12" s="1"/>
      <c r="B12" s="110" t="s">
        <v>217</v>
      </c>
      <c r="C12" s="111"/>
      <c r="D12" s="112"/>
      <c r="E12" s="1"/>
    </row>
    <row r="13" spans="1:5" ht="26.25" x14ac:dyDescent="0.25">
      <c r="A13" s="1"/>
      <c r="B13" s="81" t="s">
        <v>216</v>
      </c>
      <c r="C13" s="7">
        <v>0</v>
      </c>
      <c r="D13" s="8" t="s">
        <v>3</v>
      </c>
      <c r="E13" s="1"/>
    </row>
    <row r="14" spans="1:5" ht="14.25" customHeight="1" x14ac:dyDescent="0.25">
      <c r="A14" s="1"/>
      <c r="B14" s="65" t="s">
        <v>173</v>
      </c>
      <c r="C14" s="7">
        <v>0</v>
      </c>
      <c r="D14" s="8" t="s">
        <v>3</v>
      </c>
      <c r="E14" s="1"/>
    </row>
    <row r="15" spans="1:5" ht="14.25" customHeight="1" x14ac:dyDescent="0.25">
      <c r="A15" s="1"/>
      <c r="B15" s="84"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jUfgyogrMLGhyk3fcjDTe0QMsk2ADkKlDSsvXmMYybl+A1a8OKPmALpqzrDfZhhhyc2Gkb/rpZfZgfE1PaJzg==" saltValue="6kimn5vnJOfXu5HILheR+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113</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0" t="s">
        <v>86</v>
      </c>
      <c r="C8" s="111"/>
      <c r="D8" s="111"/>
      <c r="E8" s="111"/>
      <c r="F8" s="111"/>
      <c r="G8" s="111"/>
      <c r="H8" s="111"/>
      <c r="I8" s="111"/>
      <c r="J8" s="111"/>
      <c r="K8" s="112"/>
      <c r="L8" s="1"/>
    </row>
    <row r="9" spans="1:12" ht="39.75" customHeight="1" x14ac:dyDescent="0.25">
      <c r="A9" s="1"/>
      <c r="B9" s="18" t="s">
        <v>0</v>
      </c>
      <c r="C9" s="18" t="s">
        <v>1</v>
      </c>
      <c r="D9" s="127" t="s">
        <v>96</v>
      </c>
      <c r="E9" s="128"/>
      <c r="F9" s="127" t="s">
        <v>2</v>
      </c>
      <c r="G9" s="128"/>
      <c r="H9" s="127" t="s">
        <v>95</v>
      </c>
      <c r="I9" s="128"/>
      <c r="J9" s="127" t="s">
        <v>26</v>
      </c>
      <c r="K9" s="128"/>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8" t="s">
        <v>219</v>
      </c>
      <c r="C11" s="79"/>
      <c r="D11" s="80"/>
      <c r="E11" s="80"/>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jluhYRfhZTai0gqdVDCwmmIaR1NcInkRnMiHdcKHM9Lbj4ydkaA6KH26z9nvE5uiPCeTFxV6+mLaC45ClUKydQ==" saltValue="hTyvSD9+hd6uEjOgsA7MU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114</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2" t="s">
        <v>17</v>
      </c>
      <c r="C9" s="84" t="s">
        <v>11</v>
      </c>
      <c r="D9" s="83"/>
      <c r="E9" s="84"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231</v>
      </c>
      <c r="C11" s="21">
        <v>136662</v>
      </c>
      <c r="D11" s="14" t="s">
        <v>3</v>
      </c>
      <c r="E11" s="9">
        <v>0</v>
      </c>
      <c r="F11" s="14" t="s">
        <v>3</v>
      </c>
      <c r="G11" s="1"/>
    </row>
    <row r="12" spans="1:7" x14ac:dyDescent="0.25">
      <c r="A12" s="1"/>
      <c r="B12" s="24" t="s">
        <v>232</v>
      </c>
      <c r="C12" s="21">
        <v>10335</v>
      </c>
      <c r="D12" s="14" t="s">
        <v>3</v>
      </c>
      <c r="E12" s="9">
        <v>185208</v>
      </c>
      <c r="F12" s="14" t="s">
        <v>3</v>
      </c>
      <c r="G12" s="1"/>
    </row>
    <row r="13" spans="1:7" x14ac:dyDescent="0.25">
      <c r="A13" s="1"/>
      <c r="B13" s="24" t="s">
        <v>233</v>
      </c>
      <c r="C13" s="21">
        <v>0</v>
      </c>
      <c r="D13" s="14" t="s">
        <v>3</v>
      </c>
      <c r="E13" s="9">
        <v>78100</v>
      </c>
      <c r="F13" s="14" t="s">
        <v>3</v>
      </c>
      <c r="G13" s="1"/>
    </row>
    <row r="14" spans="1:7" x14ac:dyDescent="0.25">
      <c r="A14" s="1"/>
      <c r="B14" s="24" t="s">
        <v>234</v>
      </c>
      <c r="C14" s="21">
        <v>0</v>
      </c>
      <c r="D14" s="14" t="s">
        <v>3</v>
      </c>
      <c r="E14" s="9">
        <v>485056</v>
      </c>
      <c r="F14" s="14" t="s">
        <v>3</v>
      </c>
      <c r="G14" s="1"/>
    </row>
    <row r="15" spans="1:7" x14ac:dyDescent="0.25">
      <c r="A15" s="1"/>
      <c r="B15" s="24" t="s">
        <v>235</v>
      </c>
      <c r="C15" s="21">
        <v>0</v>
      </c>
      <c r="D15" s="14" t="s">
        <v>3</v>
      </c>
      <c r="E15" s="9">
        <v>2649</v>
      </c>
      <c r="F15" s="14" t="s">
        <v>3</v>
      </c>
      <c r="G15" s="1"/>
    </row>
    <row r="16" spans="1:7" x14ac:dyDescent="0.25">
      <c r="A16" s="1"/>
      <c r="B16" s="24" t="s">
        <v>236</v>
      </c>
      <c r="C16" s="21">
        <v>0</v>
      </c>
      <c r="D16" s="14" t="s">
        <v>3</v>
      </c>
      <c r="E16" s="9">
        <v>120468</v>
      </c>
      <c r="F16" s="14" t="s">
        <v>3</v>
      </c>
      <c r="G16" s="1"/>
    </row>
    <row r="17" spans="1:7" x14ac:dyDescent="0.25">
      <c r="A17" s="1"/>
      <c r="B17" s="24" t="s">
        <v>237</v>
      </c>
      <c r="C17" s="21">
        <v>104097</v>
      </c>
      <c r="D17" s="14" t="s">
        <v>3</v>
      </c>
      <c r="E17" s="9">
        <v>56998</v>
      </c>
      <c r="F17" s="14" t="s">
        <v>3</v>
      </c>
      <c r="G17" s="1"/>
    </row>
    <row r="18" spans="1:7" x14ac:dyDescent="0.25">
      <c r="A18" s="1"/>
      <c r="B18" s="24" t="s">
        <v>238</v>
      </c>
      <c r="C18" s="21">
        <v>138888</v>
      </c>
      <c r="D18" s="14" t="s">
        <v>3</v>
      </c>
      <c r="E18" s="9">
        <v>0</v>
      </c>
      <c r="F18" s="14" t="s">
        <v>3</v>
      </c>
      <c r="G18" s="1"/>
    </row>
    <row r="19" spans="1:7" x14ac:dyDescent="0.25">
      <c r="A19" s="1"/>
      <c r="B19" s="33" t="s">
        <v>139</v>
      </c>
      <c r="C19" s="12">
        <f>SUM(C10:C18)</f>
        <v>389982</v>
      </c>
      <c r="D19" s="13" t="s">
        <v>3</v>
      </c>
      <c r="E19" s="12">
        <f>SUM(E10:E18)</f>
        <v>928479</v>
      </c>
      <c r="F19" s="13" t="s">
        <v>3</v>
      </c>
      <c r="G19" s="1"/>
    </row>
    <row r="20" spans="1:7" x14ac:dyDescent="0.25">
      <c r="A20" s="1"/>
      <c r="B20" s="33" t="s">
        <v>175</v>
      </c>
      <c r="C20" s="12">
        <f>C19*(1+'Fane 15. Nøgletal'!C10)</f>
        <v>415837.80660000001</v>
      </c>
      <c r="D20" s="13" t="s">
        <v>3</v>
      </c>
      <c r="E20" s="12">
        <f>E19*(1+'Fane 15. Nøgletal'!C10)</f>
        <v>990037.15769999998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Xh7i+/xA50ZrxCJSwwk8ED7g4uWiszO7lAo67d7GAVcCCymX1OghrfpaBNsIwpdv23qGR2a1Uu9WBcpPdQLZA==" saltValue="bnd5qCIZ0Kf07aSAKQiyF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0" t="s">
        <v>176</v>
      </c>
      <c r="C8" s="111"/>
      <c r="D8" s="111"/>
      <c r="E8" s="111"/>
      <c r="F8" s="112"/>
      <c r="G8" s="1"/>
    </row>
    <row r="9" spans="1:7" x14ac:dyDescent="0.25">
      <c r="A9" s="1"/>
      <c r="B9" s="82" t="s">
        <v>17</v>
      </c>
      <c r="C9" s="84" t="s">
        <v>11</v>
      </c>
      <c r="D9" s="83"/>
      <c r="E9" s="84" t="s">
        <v>27</v>
      </c>
      <c r="F9" s="32"/>
      <c r="G9" s="1"/>
    </row>
    <row r="10" spans="1:7" x14ac:dyDescent="0.25">
      <c r="A10" s="1"/>
      <c r="B10" s="24" t="s">
        <v>238</v>
      </c>
      <c r="C10" s="21">
        <v>2083313</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2083313</v>
      </c>
      <c r="D13" s="13" t="s">
        <v>3</v>
      </c>
      <c r="E13" s="12">
        <f>SUM(E10:E12)</f>
        <v>0</v>
      </c>
      <c r="F13" s="13" t="s">
        <v>3</v>
      </c>
      <c r="G13" s="1"/>
    </row>
    <row r="14" spans="1:7" x14ac:dyDescent="0.25">
      <c r="A14" s="1"/>
      <c r="B14" s="33" t="s">
        <v>178</v>
      </c>
      <c r="C14" s="12">
        <f>C13*(1+'Fane 15. Nøgletal'!C10)^2</f>
        <v>2368717.9019209701</v>
      </c>
      <c r="D14" s="13" t="s">
        <v>3</v>
      </c>
      <c r="E14" s="12">
        <f>E13*(1+'Fane 15. Nøgletal'!C10)^2</f>
        <v>0</v>
      </c>
      <c r="F14" s="13" t="s">
        <v>3</v>
      </c>
      <c r="G14" s="1"/>
    </row>
    <row r="15" spans="1:7" x14ac:dyDescent="0.25">
      <c r="A15" s="1"/>
      <c r="B15" s="1"/>
      <c r="C15" s="1"/>
      <c r="D15" s="1"/>
      <c r="E15" s="1"/>
      <c r="F15" s="1"/>
      <c r="G15" s="1"/>
    </row>
    <row r="16" spans="1:7" x14ac:dyDescent="0.25">
      <c r="A16" s="1"/>
      <c r="B16" s="129"/>
      <c r="C16" s="129"/>
      <c r="D16" s="129"/>
      <c r="E16" s="129"/>
      <c r="F16" s="129"/>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9"/>
      <c r="C29" s="129"/>
      <c r="D29" s="129"/>
      <c r="E29" s="129"/>
      <c r="F29" s="129"/>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IOdfTrRhk/l9UVFiTIcWCmmw3aagV5jY1hkN7d3cHtNd772E6nBHSA3SHXyK/a1LR1Qc1/05rvZkSilU3Ap9g==" saltValue="oqsaCB+LEeDn2oXQU1NXM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10" t="s">
        <v>73</v>
      </c>
      <c r="C8" s="111"/>
      <c r="D8" s="112"/>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8" t="s">
        <v>74</v>
      </c>
      <c r="C12" s="12">
        <f>SUM(C9:C11)*(1+'Fane 15. Nøgletal'!C9)^2</f>
        <v>0</v>
      </c>
      <c r="D12" s="13" t="s">
        <v>3</v>
      </c>
      <c r="E12" s="1"/>
    </row>
    <row r="13" spans="1:5" x14ac:dyDescent="0.25">
      <c r="A13" s="1"/>
      <c r="B13" s="1"/>
      <c r="C13" s="1"/>
      <c r="D13" s="1"/>
      <c r="E13" s="1"/>
    </row>
    <row r="14" spans="1:5" ht="15" customHeight="1" x14ac:dyDescent="0.25">
      <c r="A14" s="1"/>
      <c r="B14" s="110" t="s">
        <v>84</v>
      </c>
      <c r="C14" s="111"/>
      <c r="D14" s="112"/>
      <c r="E14" s="1"/>
    </row>
    <row r="15" spans="1:5" x14ac:dyDescent="0.25">
      <c r="A15" s="1"/>
      <c r="B15" s="68" t="s">
        <v>179</v>
      </c>
      <c r="C15" s="9">
        <v>119337.00097327172</v>
      </c>
      <c r="D15" s="14" t="s">
        <v>3</v>
      </c>
      <c r="E15" s="1"/>
    </row>
    <row r="16" spans="1:5" x14ac:dyDescent="0.25">
      <c r="A16" s="1"/>
      <c r="B16" s="64" t="s">
        <v>10</v>
      </c>
      <c r="C16" s="9">
        <f>-C15*'Fane 5. Individuelt eff. krav'!C9</f>
        <v>-535.2177803354225</v>
      </c>
      <c r="D16" s="14" t="s">
        <v>3</v>
      </c>
      <c r="E16" s="1"/>
    </row>
    <row r="17" spans="1:5" x14ac:dyDescent="0.25">
      <c r="A17" s="1"/>
      <c r="B17" s="64" t="s">
        <v>22</v>
      </c>
      <c r="C17" s="9">
        <f>-C15*'Fane 15. Nøgletal'!C21</f>
        <v>-2386.7400194654342</v>
      </c>
      <c r="D17" s="14" t="s">
        <v>3</v>
      </c>
      <c r="E17" s="1"/>
    </row>
    <row r="18" spans="1:5" x14ac:dyDescent="0.25">
      <c r="A18" s="1"/>
      <c r="B18" s="78" t="s">
        <v>85</v>
      </c>
      <c r="C18" s="12">
        <f>SUM(C15:C17)*(1+'Fane 15. Nøgletal'!C10)^3</f>
        <v>141139.09591450254</v>
      </c>
      <c r="D18" s="13" t="s">
        <v>3</v>
      </c>
      <c r="E18" s="1"/>
    </row>
    <row r="19" spans="1:5" x14ac:dyDescent="0.25">
      <c r="A19" s="1"/>
      <c r="B19" s="1"/>
      <c r="C19" s="1"/>
      <c r="D19" s="1"/>
      <c r="E19" s="1"/>
    </row>
    <row r="20" spans="1:5" ht="15" customHeight="1" x14ac:dyDescent="0.25">
      <c r="A20" s="1"/>
      <c r="B20" s="110" t="s">
        <v>140</v>
      </c>
      <c r="C20" s="111"/>
      <c r="D20" s="112"/>
      <c r="E20" s="1"/>
    </row>
    <row r="21" spans="1:5" x14ac:dyDescent="0.25">
      <c r="A21" s="1"/>
      <c r="B21" s="68" t="s">
        <v>179</v>
      </c>
      <c r="C21" s="9">
        <v>119337.00097327172</v>
      </c>
      <c r="D21" s="14" t="s">
        <v>3</v>
      </c>
      <c r="E21" s="1"/>
    </row>
    <row r="22" spans="1:5" x14ac:dyDescent="0.25">
      <c r="A22" s="1"/>
      <c r="B22" s="64" t="s">
        <v>10</v>
      </c>
      <c r="C22" s="9">
        <f>-C21*'Fane 5. Individuelt eff. krav'!C9</f>
        <v>-535.2177803354225</v>
      </c>
      <c r="D22" s="14" t="s">
        <v>3</v>
      </c>
      <c r="E22" s="1"/>
    </row>
    <row r="23" spans="1:5" x14ac:dyDescent="0.25">
      <c r="A23" s="1"/>
      <c r="B23" s="64" t="s">
        <v>22</v>
      </c>
      <c r="C23" s="9">
        <f>-C21*'Fane 15. Nøgletal'!C21</f>
        <v>-2386.7400194654342</v>
      </c>
      <c r="D23" s="14" t="s">
        <v>3</v>
      </c>
      <c r="E23" s="1"/>
    </row>
    <row r="24" spans="1:5" x14ac:dyDescent="0.25">
      <c r="A24" s="1"/>
      <c r="B24" s="78" t="s">
        <v>141</v>
      </c>
      <c r="C24" s="12">
        <f>SUM(C21:C23)*(1+'Fane 15. Nøgletal'!C10)^4</f>
        <v>150496.61797363404</v>
      </c>
      <c r="D24" s="13" t="s">
        <v>3</v>
      </c>
      <c r="E24" s="1"/>
    </row>
    <row r="25" spans="1:5" x14ac:dyDescent="0.25">
      <c r="A25" s="1"/>
      <c r="B25" s="1"/>
      <c r="C25" s="1"/>
      <c r="D25" s="1"/>
      <c r="E25" s="1"/>
    </row>
    <row r="26" spans="1:5" ht="15" customHeight="1" x14ac:dyDescent="0.25">
      <c r="A26" s="1"/>
      <c r="B26" s="110" t="s">
        <v>180</v>
      </c>
      <c r="C26" s="111"/>
      <c r="D26" s="112"/>
      <c r="E26" s="1"/>
    </row>
    <row r="27" spans="1:5" ht="14.25" customHeight="1" x14ac:dyDescent="0.25">
      <c r="A27" s="1"/>
      <c r="B27" s="68" t="s">
        <v>179</v>
      </c>
      <c r="C27" s="9">
        <v>119337.00097327172</v>
      </c>
      <c r="D27" s="14" t="s">
        <v>3</v>
      </c>
      <c r="E27" s="1"/>
    </row>
    <row r="28" spans="1:5" x14ac:dyDescent="0.25">
      <c r="A28" s="1"/>
      <c r="B28" s="64" t="s">
        <v>10</v>
      </c>
      <c r="C28" s="9">
        <f>-C27*'Fane 5. Individuelt eff. krav'!C9</f>
        <v>-535.2177803354225</v>
      </c>
      <c r="D28" s="14" t="s">
        <v>3</v>
      </c>
      <c r="E28" s="1"/>
    </row>
    <row r="29" spans="1:5" x14ac:dyDescent="0.25">
      <c r="A29" s="1"/>
      <c r="B29" s="64" t="s">
        <v>22</v>
      </c>
      <c r="C29" s="9">
        <f>-C27*'Fane 15. Nøgletal'!C21</f>
        <v>-2386.7400194654342</v>
      </c>
      <c r="D29" s="14" t="s">
        <v>3</v>
      </c>
      <c r="E29" s="1"/>
    </row>
    <row r="30" spans="1:5" x14ac:dyDescent="0.25">
      <c r="A30" s="1"/>
      <c r="B30" s="78" t="s">
        <v>181</v>
      </c>
      <c r="C30" s="12">
        <f>SUM(C27:C29)*(1+'Fane 15. Nøgletal'!C10)^5</f>
        <v>160474.54374528598</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53BzREonErY91mV/98qsddRC3AwfkrrKkUQjpL+hhaIA7nMMrIKIHhhyfs0Iw7Kvq5Icpjjt/fQlyoeltdI0xQ==" saltValue="xlUi2D0+ah/pW6RPzb3jn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10" t="s">
        <v>66</v>
      </c>
      <c r="C8" s="111"/>
      <c r="D8" s="111"/>
      <c r="E8" s="111"/>
      <c r="F8" s="112"/>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QovATrXn/b8cXzWRi6mtD7v0SYw84wxagK38e2dn9iVek+cdJOkyFThtTTq30FePUBlm2/Dda+fCNRF8Dz4B7g==" saltValue="7CsekoTGkyyL1ZKAfUNWR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0" t="s">
        <v>183</v>
      </c>
      <c r="C8" s="111"/>
      <c r="D8" s="111"/>
      <c r="E8" s="111"/>
      <c r="F8" s="112"/>
      <c r="G8" s="1"/>
    </row>
    <row r="9" spans="1:7" x14ac:dyDescent="0.25">
      <c r="A9" s="1"/>
      <c r="B9" s="31" t="s">
        <v>18</v>
      </c>
      <c r="C9" s="130" t="s">
        <v>11</v>
      </c>
      <c r="D9" s="131"/>
      <c r="E9" s="130" t="s">
        <v>27</v>
      </c>
      <c r="F9" s="131"/>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9"/>
      <c r="C14" s="129"/>
      <c r="D14" s="129"/>
      <c r="E14" s="129"/>
      <c r="F14" s="129"/>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9"/>
      <c r="C21" s="129"/>
      <c r="D21" s="129"/>
      <c r="E21" s="129"/>
      <c r="F21" s="12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9"/>
      <c r="C27" s="129"/>
      <c r="D27" s="129"/>
      <c r="E27" s="129"/>
      <c r="F27" s="12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lZyCktuydM4bvrTvlxI82FMxaaMPU0kMs37Ra6+7YtVWCIH55vmop2aCt6ZEeC8n6ZyBk2li3/79OBAD/uiw==" saltValue="gxhrkRkMoM+u1OovwIcye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64576935.920333453</v>
      </c>
      <c r="D9" s="8" t="s">
        <v>3</v>
      </c>
      <c r="E9" s="1"/>
    </row>
    <row r="10" spans="1:5" ht="17.25" customHeight="1" x14ac:dyDescent="0.25">
      <c r="A10" s="1"/>
      <c r="B10" s="64" t="s">
        <v>35</v>
      </c>
      <c r="C10" s="7">
        <f>'Fane 11.1. Varige tillæg'!C20</f>
        <v>415837.80660000001</v>
      </c>
      <c r="D10" s="8" t="s">
        <v>3</v>
      </c>
      <c r="E10" s="1"/>
    </row>
    <row r="11" spans="1:5" ht="17.25" customHeight="1" x14ac:dyDescent="0.25">
      <c r="A11" s="1"/>
      <c r="B11" s="64" t="s">
        <v>36</v>
      </c>
      <c r="C11" s="9">
        <f>'Fane 11.1. Varige tillæg'!E20</f>
        <v>990037.15769999998</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5311025.9324960336</v>
      </c>
      <c r="D16" s="8" t="s">
        <v>3</v>
      </c>
      <c r="E16" s="1"/>
    </row>
    <row r="17" spans="1:5" ht="17.25" customHeight="1" x14ac:dyDescent="0.25">
      <c r="A17" s="1"/>
      <c r="B17" s="64" t="s">
        <v>10</v>
      </c>
      <c r="C17" s="38">
        <f>-SUM(C9,C10:C16)*'Fane 5. Individuelt eff. krav'!C9</f>
        <v>-319747.67910755676</v>
      </c>
      <c r="D17" s="8" t="s">
        <v>3</v>
      </c>
      <c r="E17" s="1"/>
    </row>
    <row r="18" spans="1:5" ht="17.25" customHeight="1" x14ac:dyDescent="0.25">
      <c r="A18" s="1"/>
      <c r="B18" s="64" t="s">
        <v>22</v>
      </c>
      <c r="C18" s="38">
        <f>-'Fane 4.1. Gen. krav - drift'!C17</f>
        <v>-385973.62672565703</v>
      </c>
      <c r="D18" s="8" t="s">
        <v>3</v>
      </c>
      <c r="E18" s="1"/>
    </row>
    <row r="19" spans="1:5" ht="17.25" customHeight="1" x14ac:dyDescent="0.25">
      <c r="A19" s="1"/>
      <c r="B19" s="64" t="s">
        <v>23</v>
      </c>
      <c r="C19" s="38">
        <f>-'Fane 4.2. Gen. krav - anlæg'!C17</f>
        <v>0</v>
      </c>
      <c r="D19" s="8" t="s">
        <v>3</v>
      </c>
      <c r="E19" s="43"/>
    </row>
    <row r="20" spans="1:5" ht="17.25" customHeight="1" x14ac:dyDescent="0.25">
      <c r="A20" s="1"/>
      <c r="B20" s="84" t="s">
        <v>21</v>
      </c>
      <c r="C20" s="10">
        <f>SUM(C9:C19)</f>
        <v>70588115.511296272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36066490.277414627</v>
      </c>
      <c r="D22" s="11" t="s">
        <v>3</v>
      </c>
      <c r="E22" s="1"/>
    </row>
    <row r="23" spans="1:5" ht="15" customHeight="1" x14ac:dyDescent="0.25">
      <c r="A23" s="1"/>
      <c r="B23" s="33" t="s">
        <v>42</v>
      </c>
      <c r="C23" s="28"/>
      <c r="D23" s="19"/>
      <c r="E23" s="1"/>
    </row>
    <row r="24" spans="1:5" ht="15" customHeight="1" x14ac:dyDescent="0.25">
      <c r="A24" s="1"/>
      <c r="B24" s="84"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2368717.9019209701</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-57997.885757126438</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2310720.0161638437</v>
      </c>
      <c r="D30" s="11" t="s">
        <v>3</v>
      </c>
      <c r="E30" s="1"/>
    </row>
    <row r="31" spans="1:5" x14ac:dyDescent="0.25">
      <c r="A31" s="1"/>
      <c r="B31" s="33" t="s">
        <v>69</v>
      </c>
      <c r="C31" s="28"/>
      <c r="D31" s="19"/>
      <c r="E31" s="1"/>
    </row>
    <row r="32" spans="1:5" x14ac:dyDescent="0.25">
      <c r="A32" s="1"/>
      <c r="B32" s="31" t="s">
        <v>79</v>
      </c>
      <c r="C32" s="62">
        <f>'Fane 7. Kontrol af ØR2023'!C27</f>
        <v>-1106261.5426455066</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107859064.26222923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z7caQeILs1BlcF6BZ60RZvbGH3A9Z3kgLqu7/sbSDZ/6knR/wLKg+bPDC94Nu4DrpzOiREaD6yEzVfzA0d8nsQ==" saltValue="z11HTh8Ghb2QEkUPatpqO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v68/l/jfo1Rohb37AOVB1HVwLX+lJoaz3q84oXQVTaricf8RMObRdVyesricQhrK1L+S1xKR11gKAqWtAqFndA==" saltValue="BMkbHBFViflhirhENHAM/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70588115.511296272</v>
      </c>
      <c r="D9" s="8" t="s">
        <v>3</v>
      </c>
      <c r="E9" s="1"/>
    </row>
    <row r="10" spans="1:5" ht="15" customHeight="1" x14ac:dyDescent="0.25">
      <c r="A10" s="1"/>
      <c r="B10" s="26" t="s">
        <v>19</v>
      </c>
      <c r="C10" s="7">
        <f>C9*'Fane 15. Nøgletal'!C10</f>
        <v>4679992.0583989425</v>
      </c>
      <c r="D10" s="8" t="s">
        <v>3</v>
      </c>
      <c r="E10" s="1"/>
    </row>
    <row r="11" spans="1:5" ht="15" customHeight="1" x14ac:dyDescent="0.25">
      <c r="A11" s="1"/>
      <c r="B11" s="26" t="s">
        <v>10</v>
      </c>
      <c r="C11" s="9">
        <f>-SUM(C9:C10)*'Fane 5. Individuelt eff. krav'!C9</f>
        <v>-337571.99472880008</v>
      </c>
      <c r="D11" s="8" t="s">
        <v>3</v>
      </c>
      <c r="E11" s="1"/>
    </row>
    <row r="12" spans="1:5" ht="15" customHeight="1" x14ac:dyDescent="0.25">
      <c r="A12" s="1"/>
      <c r="B12" s="26" t="s">
        <v>22</v>
      </c>
      <c r="C12" s="9">
        <f>-'Fane 4.1. Gen. krav - drift'!C22</f>
        <v>-403332.4046140167</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74527203.170352399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38440290.59510722</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driftsomk.'!C18</f>
        <v>141139.09591450254</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113108632.86137412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sAe2TOX3Y8mUM+LG/D8YS6iJCZjigC2sDSSP6Z9HPqHYLMGQgPjrTNKCEnVHwe/+6HGzIwGvGCGNH4R+EV5bQ==" saltValue="a2bduNJfqen4w6jyfrYYE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74527203.170352399</v>
      </c>
      <c r="D9" s="8" t="s">
        <v>3</v>
      </c>
      <c r="E9" s="1"/>
    </row>
    <row r="10" spans="1:5" ht="15" customHeight="1" x14ac:dyDescent="0.25">
      <c r="A10" s="1"/>
      <c r="B10" s="26" t="s">
        <v>19</v>
      </c>
      <c r="C10" s="7">
        <f>SUM(C9:C9)*'Fane 15. Nøgletal'!C10</f>
        <v>4941153.5701943636</v>
      </c>
      <c r="D10" s="8" t="s">
        <v>3</v>
      </c>
      <c r="E10" s="1"/>
    </row>
    <row r="11" spans="1:5" ht="15" customHeight="1" x14ac:dyDescent="0.25">
      <c r="A11" s="1"/>
      <c r="B11" s="26" t="s">
        <v>10</v>
      </c>
      <c r="C11" s="9">
        <f>-SUM(C9:C10)*'Fane 5. Individuelt eff. krav'!C9</f>
        <v>-356409.80714024458</v>
      </c>
      <c r="D11" s="8" t="s">
        <v>3</v>
      </c>
      <c r="E11" s="1"/>
    </row>
    <row r="12" spans="1:5" ht="15" customHeight="1" x14ac:dyDescent="0.25">
      <c r="A12" s="1"/>
      <c r="B12" s="26" t="s">
        <v>22</v>
      </c>
      <c r="C12" s="9">
        <f>-'Fane 4.1. Gen. krav - drift'!C27</f>
        <v>-421471.87617912755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78690475.057227388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40708892.807562828</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driftsomk.'!C24</f>
        <v>150496.61797363404</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119549864.48276386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PyV1iogHgOgRbyxjD4ZRxGITpcE5e/gd1MoFHE7eE5A6NGOMxLXEW0IYMwq/H/gIQsIJKteXWcOh7uA/S/jVA==" saltValue="Cc6q8IBW7GjvhjdX0RFgz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78690475.057227388</v>
      </c>
      <c r="D9" s="8" t="s">
        <v>3</v>
      </c>
      <c r="E9" s="1"/>
    </row>
    <row r="10" spans="1:5" ht="15" customHeight="1" x14ac:dyDescent="0.25">
      <c r="A10" s="1"/>
      <c r="B10" s="26" t="s">
        <v>19</v>
      </c>
      <c r="C10" s="7">
        <f>SUM(C9:C9)*'Fane 15. Nøgletal'!C10</f>
        <v>5217178.4962941753</v>
      </c>
      <c r="D10" s="8" t="s">
        <v>3</v>
      </c>
      <c r="E10" s="1"/>
    </row>
    <row r="11" spans="1:5" ht="15" customHeight="1" x14ac:dyDescent="0.25">
      <c r="A11" s="1"/>
      <c r="B11" s="26" t="s">
        <v>10</v>
      </c>
      <c r="C11" s="9">
        <f>-SUM(C9:C10)*'Fane 5. Individuelt eff. krav'!C9</f>
        <v>-376319.73086141003</v>
      </c>
      <c r="D11" s="8" t="s">
        <v>3</v>
      </c>
      <c r="E11" s="1"/>
    </row>
    <row r="12" spans="1:5" ht="15" customHeight="1" x14ac:dyDescent="0.25">
      <c r="A12" s="1"/>
      <c r="B12" s="26" t="s">
        <v>22</v>
      </c>
      <c r="C12" s="9">
        <f>-'Fane 4.1. Gen. krav - drift'!C32</f>
        <v>-440427.15233840764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83090906.670321748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43407892.400704242</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driftsomk.'!C30</f>
        <v>160474.54374528598</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126659273.61477128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FQfacIjjhNXc/Jgj6IR97AzYauVecpCNkGUMe2MmjK15RYZ9DBDNA3dPGiCXDKayyWdtKCvNrTjATC68YyB3A==" saltValue="M7Fe7QbrzRQhxAfv4V949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56815316.608117372</v>
      </c>
      <c r="D9" s="8" t="s">
        <v>3</v>
      </c>
      <c r="E9" s="1"/>
    </row>
    <row r="10" spans="1:5" ht="15" customHeight="1" x14ac:dyDescent="0.25">
      <c r="A10" s="1"/>
      <c r="B10" s="64" t="s">
        <v>35</v>
      </c>
      <c r="C10" s="7">
        <v>67462.455199999997</v>
      </c>
      <c r="D10" s="8" t="s">
        <v>3</v>
      </c>
      <c r="E10" s="1"/>
    </row>
    <row r="11" spans="1:5" ht="15" customHeight="1" x14ac:dyDescent="0.25">
      <c r="A11" s="1"/>
      <c r="B11" s="64" t="s">
        <v>36</v>
      </c>
      <c r="C11" s="9">
        <v>3466500.6484079999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4876221.8007074101</v>
      </c>
      <c r="D16" s="8" t="s">
        <v>3</v>
      </c>
      <c r="E16" s="1"/>
    </row>
    <row r="17" spans="1:5" ht="15" customHeight="1" x14ac:dyDescent="0.25">
      <c r="A17" s="1"/>
      <c r="B17" s="64" t="s">
        <v>10</v>
      </c>
      <c r="C17" s="38">
        <v>-292531.63608969765</v>
      </c>
      <c r="D17" s="8" t="s">
        <v>3</v>
      </c>
      <c r="E17" s="1"/>
    </row>
    <row r="18" spans="1:5" ht="15" customHeight="1" x14ac:dyDescent="0.25">
      <c r="A18" s="1"/>
      <c r="B18" s="64" t="s">
        <v>22</v>
      </c>
      <c r="C18" s="38">
        <v>-356033.95600963145</v>
      </c>
      <c r="D18" s="8" t="s">
        <v>3</v>
      </c>
      <c r="E18" s="1"/>
    </row>
    <row r="19" spans="1:5" ht="15" customHeight="1" x14ac:dyDescent="0.25">
      <c r="A19" s="1"/>
      <c r="B19" s="64" t="s">
        <v>23</v>
      </c>
      <c r="C19" s="38">
        <v>0</v>
      </c>
      <c r="D19" s="8" t="s">
        <v>3</v>
      </c>
      <c r="E19" s="43"/>
    </row>
    <row r="20" spans="1:5" ht="15" customHeight="1" x14ac:dyDescent="0.25">
      <c r="A20" s="1"/>
      <c r="B20" s="84" t="s">
        <v>21</v>
      </c>
      <c r="C20" s="10">
        <v>64576935.920333453</v>
      </c>
      <c r="D20" s="11" t="s">
        <v>3</v>
      </c>
      <c r="E20" s="1"/>
    </row>
    <row r="21" spans="1:5" ht="15" customHeight="1" x14ac:dyDescent="0.25">
      <c r="A21" s="1"/>
      <c r="B21" s="33" t="s">
        <v>12</v>
      </c>
      <c r="C21" s="28"/>
      <c r="D21" s="19"/>
      <c r="E21" s="1"/>
    </row>
    <row r="22" spans="1:5" ht="15" customHeight="1" x14ac:dyDescent="0.25">
      <c r="A22" s="1"/>
      <c r="B22" s="31" t="s">
        <v>12</v>
      </c>
      <c r="C22" s="10">
        <v>37804498.818569601</v>
      </c>
      <c r="D22" s="11" t="s">
        <v>3</v>
      </c>
      <c r="E22" s="1"/>
    </row>
    <row r="23" spans="1:5" ht="15" customHeight="1" x14ac:dyDescent="0.25">
      <c r="A23" s="1"/>
      <c r="B23" s="33" t="s">
        <v>42</v>
      </c>
      <c r="C23" s="28"/>
      <c r="D23" s="19"/>
      <c r="E23" s="1"/>
    </row>
    <row r="24" spans="1:5" ht="15" customHeight="1" x14ac:dyDescent="0.25">
      <c r="A24" s="1"/>
      <c r="B24" s="84" t="s">
        <v>42</v>
      </c>
      <c r="C24" s="10">
        <v>131313.00314577809</v>
      </c>
      <c r="D24" s="11" t="s">
        <v>3</v>
      </c>
      <c r="E24" s="1"/>
    </row>
    <row r="25" spans="1:5" x14ac:dyDescent="0.25">
      <c r="A25" s="1"/>
      <c r="B25" s="41" t="s">
        <v>41</v>
      </c>
      <c r="C25" s="39"/>
      <c r="D25" s="40"/>
      <c r="E25" s="1"/>
    </row>
    <row r="26" spans="1:5" ht="15" customHeight="1" x14ac:dyDescent="0.25">
      <c r="A26" s="1"/>
      <c r="B26" s="64" t="s">
        <v>89</v>
      </c>
      <c r="C26" s="71">
        <v>46666.739168</v>
      </c>
      <c r="D26" s="8" t="s">
        <v>3</v>
      </c>
      <c r="E26" s="1"/>
    </row>
    <row r="27" spans="1:5" ht="15" customHeight="1" x14ac:dyDescent="0.25">
      <c r="A27" s="1"/>
      <c r="B27" s="64" t="s">
        <v>38</v>
      </c>
      <c r="C27" s="72">
        <v>0</v>
      </c>
      <c r="D27" s="8" t="s">
        <v>3</v>
      </c>
      <c r="E27" s="1"/>
    </row>
    <row r="28" spans="1:5" ht="15" customHeight="1" x14ac:dyDescent="0.25">
      <c r="A28" s="1"/>
      <c r="B28" s="64" t="s">
        <v>92</v>
      </c>
      <c r="C28" s="72">
        <v>-1142.6317185040566</v>
      </c>
      <c r="D28" s="8" t="s">
        <v>3</v>
      </c>
      <c r="E28" s="1"/>
    </row>
    <row r="29" spans="1:5" ht="15" customHeight="1" x14ac:dyDescent="0.25">
      <c r="A29" s="1"/>
      <c r="B29" s="64" t="s">
        <v>93</v>
      </c>
      <c r="C29" s="72">
        <v>0</v>
      </c>
      <c r="D29" s="8" t="s">
        <v>3</v>
      </c>
      <c r="E29" s="1"/>
    </row>
    <row r="30" spans="1:5" ht="15" customHeight="1" x14ac:dyDescent="0.25">
      <c r="A30" s="1"/>
      <c r="B30" s="67" t="s">
        <v>43</v>
      </c>
      <c r="C30" s="10">
        <v>45524.107449495947</v>
      </c>
      <c r="D30" s="11" t="s">
        <v>3</v>
      </c>
      <c r="E30" s="1"/>
    </row>
    <row r="31" spans="1:5" ht="15" customHeight="1" x14ac:dyDescent="0.25">
      <c r="A31" s="1"/>
      <c r="B31" s="33" t="s">
        <v>69</v>
      </c>
      <c r="C31" s="28"/>
      <c r="D31" s="19"/>
      <c r="E31" s="1"/>
    </row>
    <row r="32" spans="1:5" ht="15" customHeight="1" x14ac:dyDescent="0.25">
      <c r="A32" s="1"/>
      <c r="B32" s="31" t="s">
        <v>79</v>
      </c>
      <c r="C32" s="10">
        <v>-1106261.5</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101452010.34949833</v>
      </c>
      <c r="D37" s="30" t="s">
        <v>3</v>
      </c>
      <c r="E37" s="1"/>
    </row>
    <row r="38" spans="1:5" ht="30" customHeight="1" x14ac:dyDescent="0.25">
      <c r="A38" s="1"/>
      <c r="B38" s="109" t="s">
        <v>223</v>
      </c>
      <c r="C38" s="109"/>
      <c r="D38" s="109"/>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VgpwfCgfgWfPUHxvhU8aPuxtWm/lMNohkymOOUq3MGZYc5VehmeK/5shSdkEP6URIM7dZIWJVM1UIkBYzRUXVg==" saltValue="reVa0wWAd3+9PhSDax8zf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7"/>
      <c r="C6" s="77"/>
      <c r="D6" s="77"/>
      <c r="E6" s="1"/>
    </row>
    <row r="7" spans="1:5" x14ac:dyDescent="0.25">
      <c r="A7" s="1"/>
      <c r="B7" s="1"/>
      <c r="C7" s="1"/>
      <c r="D7" s="1"/>
      <c r="E7" s="1"/>
    </row>
    <row r="8" spans="1:5" x14ac:dyDescent="0.25">
      <c r="A8" s="1"/>
      <c r="B8" s="110" t="s">
        <v>123</v>
      </c>
      <c r="C8" s="111"/>
      <c r="D8" s="112"/>
      <c r="E8" s="1"/>
    </row>
    <row r="9" spans="1:5" x14ac:dyDescent="0.25">
      <c r="A9" s="1"/>
      <c r="B9" s="65" t="s">
        <v>88</v>
      </c>
      <c r="C9" s="23">
        <v>17728784.378901411</v>
      </c>
      <c r="D9" s="14" t="s">
        <v>3</v>
      </c>
      <c r="E9" s="1"/>
    </row>
    <row r="10" spans="1:5" x14ac:dyDescent="0.25">
      <c r="A10" s="1"/>
      <c r="B10" s="65" t="s">
        <v>125</v>
      </c>
      <c r="C10" s="23">
        <f>('Fane 3. Omkostninger i ØR2024'!C10+'Fane 3. Omkostninger i ØR2024'!C12+'Fane 3. Omkostninger i ØR2024'!C14)*(1+'Fane 15. Nøgletal'!C9)</f>
        <v>72913.421580159993</v>
      </c>
      <c r="D10" s="14" t="s">
        <v>3</v>
      </c>
      <c r="E10" s="1"/>
    </row>
    <row r="11" spans="1:5" x14ac:dyDescent="0.25">
      <c r="A11" s="1"/>
      <c r="B11" s="65" t="s">
        <v>131</v>
      </c>
      <c r="C11" s="23">
        <f>C9*'Fane 15. Nøgletal'!C21+C10*'Fane 15. Nøgletal'!C21</f>
        <v>356033.95600963145</v>
      </c>
      <c r="D11" s="14" t="s">
        <v>3</v>
      </c>
      <c r="E11" s="1"/>
    </row>
    <row r="12" spans="1:5" x14ac:dyDescent="0.25">
      <c r="A12" s="1"/>
      <c r="B12" s="33"/>
      <c r="C12" s="28"/>
      <c r="D12" s="19"/>
      <c r="E12" s="1"/>
    </row>
    <row r="13" spans="1:5" x14ac:dyDescent="0.25">
      <c r="A13" s="1"/>
      <c r="B13" s="1"/>
      <c r="C13" s="1"/>
      <c r="D13" s="1"/>
      <c r="E13" s="1"/>
    </row>
    <row r="14" spans="1:5" x14ac:dyDescent="0.25">
      <c r="A14" s="1"/>
      <c r="B14" s="110" t="s">
        <v>124</v>
      </c>
      <c r="C14" s="111"/>
      <c r="D14" s="112"/>
      <c r="E14" s="1"/>
    </row>
    <row r="15" spans="1:5" x14ac:dyDescent="0.25">
      <c r="A15" s="1"/>
      <c r="B15" s="65" t="s">
        <v>133</v>
      </c>
      <c r="C15" s="23">
        <f>(C9+C10-C11)*(1+'Fane 15. Nøgletal'!C9)</f>
        <v>18855273.483105272</v>
      </c>
      <c r="D15" s="14" t="s">
        <v>3</v>
      </c>
      <c r="E15" s="1"/>
    </row>
    <row r="16" spans="1:5" x14ac:dyDescent="0.25">
      <c r="A16" s="1"/>
      <c r="B16" s="65" t="s">
        <v>184</v>
      </c>
      <c r="C16" s="23">
        <f>('Fane 2.1. Økonomisk ramme 2025'!C10+'Fane 2.1. Økonomisk ramme 2025'!C12+'Fane 2.1. Økonomisk ramme 2025'!C14)*(1+'Fane 15. Nøgletal'!C10)</f>
        <v>443407.85317758005</v>
      </c>
      <c r="D16" s="14" t="s">
        <v>3</v>
      </c>
      <c r="E16" s="1"/>
    </row>
    <row r="17" spans="1:5" x14ac:dyDescent="0.25">
      <c r="A17" s="1"/>
      <c r="B17" s="65" t="s">
        <v>132</v>
      </c>
      <c r="C17" s="23">
        <f>C15*'Fane 15. Nøgletal'!C21+C16*'Fane 15. Nøgletal'!C21</f>
        <v>385973.62672565703</v>
      </c>
      <c r="D17" s="14" t="s">
        <v>3</v>
      </c>
      <c r="E17" s="1"/>
    </row>
    <row r="18" spans="1:5" x14ac:dyDescent="0.25">
      <c r="A18" s="1"/>
      <c r="B18" s="33"/>
      <c r="C18" s="28"/>
      <c r="D18" s="19"/>
      <c r="E18" s="1"/>
    </row>
    <row r="19" spans="1:5" x14ac:dyDescent="0.25">
      <c r="A19" s="1"/>
      <c r="B19" s="1"/>
      <c r="C19" s="63"/>
      <c r="D19" s="1"/>
      <c r="E19" s="1"/>
    </row>
    <row r="20" spans="1:5" x14ac:dyDescent="0.25">
      <c r="A20" s="1"/>
      <c r="B20" s="110" t="s">
        <v>145</v>
      </c>
      <c r="C20" s="111"/>
      <c r="D20" s="112"/>
      <c r="E20" s="1"/>
    </row>
    <row r="21" spans="1:5" x14ac:dyDescent="0.25">
      <c r="A21" s="1"/>
      <c r="B21" s="65" t="s">
        <v>189</v>
      </c>
      <c r="C21" s="23">
        <f>(C15+C16-C17)*(1+'Fane 15. Nøgletal'!C10)</f>
        <v>20166620.230700836</v>
      </c>
      <c r="D21" s="14" t="s">
        <v>3</v>
      </c>
      <c r="E21" s="1"/>
    </row>
    <row r="22" spans="1:5" x14ac:dyDescent="0.25">
      <c r="A22" s="1"/>
      <c r="B22" s="65" t="s">
        <v>196</v>
      </c>
      <c r="C22" s="23">
        <f>C21*'Fane 15. Nøgletal'!C21</f>
        <v>403332.4046140167</v>
      </c>
      <c r="D22" s="14" t="s">
        <v>3</v>
      </c>
      <c r="E22" s="1"/>
    </row>
    <row r="23" spans="1:5" x14ac:dyDescent="0.25">
      <c r="A23" s="1"/>
      <c r="B23" s="33"/>
      <c r="C23" s="28"/>
      <c r="D23" s="19"/>
      <c r="E23" s="1"/>
    </row>
    <row r="24" spans="1:5" x14ac:dyDescent="0.25">
      <c r="A24" s="1"/>
      <c r="B24" s="1"/>
      <c r="C24" s="1"/>
      <c r="D24" s="1"/>
      <c r="E24" s="1"/>
    </row>
    <row r="25" spans="1:5" x14ac:dyDescent="0.25">
      <c r="A25" s="1"/>
      <c r="B25" s="110" t="s">
        <v>187</v>
      </c>
      <c r="C25" s="111"/>
      <c r="D25" s="112"/>
      <c r="E25" s="1"/>
    </row>
    <row r="26" spans="1:5" x14ac:dyDescent="0.25">
      <c r="A26" s="1"/>
      <c r="B26" s="65" t="s">
        <v>190</v>
      </c>
      <c r="C26" s="23">
        <f>(C21-C22)*(1+'Fane 15. Nøgletal'!C10)</f>
        <v>21073593.808956377</v>
      </c>
      <c r="D26" s="14" t="s">
        <v>3</v>
      </c>
      <c r="E26" s="1"/>
    </row>
    <row r="27" spans="1:5" x14ac:dyDescent="0.25">
      <c r="A27" s="1"/>
      <c r="B27" s="65" t="s">
        <v>194</v>
      </c>
      <c r="C27" s="23">
        <f>C26*'Fane 15. Nøgletal'!C21</f>
        <v>421471.87617912755</v>
      </c>
      <c r="D27" s="14" t="s">
        <v>3</v>
      </c>
      <c r="E27" s="1"/>
    </row>
    <row r="28" spans="1:5" x14ac:dyDescent="0.25">
      <c r="A28" s="1"/>
      <c r="B28" s="33"/>
      <c r="C28" s="28"/>
      <c r="D28" s="19"/>
      <c r="E28" s="1"/>
    </row>
    <row r="29" spans="1:5" x14ac:dyDescent="0.25">
      <c r="A29" s="1"/>
      <c r="B29" s="1"/>
      <c r="C29" s="1"/>
      <c r="D29" s="1"/>
      <c r="E29" s="1"/>
    </row>
    <row r="30" spans="1:5" x14ac:dyDescent="0.25">
      <c r="A30" s="1"/>
      <c r="B30" s="110" t="s">
        <v>188</v>
      </c>
      <c r="C30" s="111"/>
      <c r="D30" s="112"/>
      <c r="E30" s="1"/>
    </row>
    <row r="31" spans="1:5" x14ac:dyDescent="0.25">
      <c r="A31" s="1"/>
      <c r="B31" s="65" t="s">
        <v>191</v>
      </c>
      <c r="C31" s="23">
        <f>(C26-C27)*(1+'Fane 15. Nøgletal'!C10)</f>
        <v>22021357.616920382</v>
      </c>
      <c r="D31" s="14" t="s">
        <v>3</v>
      </c>
      <c r="E31" s="1"/>
    </row>
    <row r="32" spans="1:5" x14ac:dyDescent="0.25">
      <c r="A32" s="1"/>
      <c r="B32" s="65" t="s">
        <v>195</v>
      </c>
      <c r="C32" s="23">
        <f>C31*'Fane 15. Nøgletal'!C21</f>
        <v>440427.15233840764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p3BFjkiPLMng1Qp0xd356TgJ+v2jsA0nKt7GUKb+huXFCW+XLmVP8H9JMX0z0AZTYGfynmZeAy9eGTvVtbtw==" saltValue="V3h3LCWr+Y73gffjCyKY1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3" t="s">
        <v>57</v>
      </c>
      <c r="C3" s="113"/>
      <c r="D3" s="113"/>
      <c r="E3" s="1"/>
    </row>
    <row r="4" spans="1:5" ht="15" customHeight="1" x14ac:dyDescent="0.25">
      <c r="A4" s="1"/>
      <c r="B4" s="113"/>
      <c r="C4" s="113"/>
      <c r="D4" s="113"/>
      <c r="E4" s="1"/>
    </row>
    <row r="5" spans="1:5" ht="15" customHeight="1" x14ac:dyDescent="0.25">
      <c r="A5" s="1"/>
      <c r="B5" s="113"/>
      <c r="C5" s="113"/>
      <c r="D5" s="113"/>
      <c r="E5" s="1"/>
    </row>
    <row r="6" spans="1:5" ht="15" customHeight="1" x14ac:dyDescent="0.35">
      <c r="A6" s="1"/>
      <c r="B6" s="69"/>
      <c r="C6" s="69"/>
      <c r="D6" s="69"/>
      <c r="E6" s="1"/>
    </row>
    <row r="7" spans="1:5" x14ac:dyDescent="0.25">
      <c r="A7" s="1"/>
      <c r="B7" s="1"/>
      <c r="C7" s="1"/>
      <c r="D7" s="1"/>
      <c r="E7" s="1"/>
    </row>
    <row r="8" spans="1:5" x14ac:dyDescent="0.25">
      <c r="A8" s="1"/>
      <c r="B8" s="110" t="s">
        <v>147</v>
      </c>
      <c r="C8" s="111"/>
      <c r="D8" s="112"/>
      <c r="E8" s="1"/>
    </row>
    <row r="9" spans="1:5" x14ac:dyDescent="0.25">
      <c r="A9" s="1"/>
      <c r="B9" s="65" t="s">
        <v>134</v>
      </c>
      <c r="C9" s="23">
        <v>50510288.658209495</v>
      </c>
      <c r="D9" s="14" t="s">
        <v>3</v>
      </c>
      <c r="E9" s="1"/>
    </row>
    <row r="10" spans="1:5" x14ac:dyDescent="0.25">
      <c r="A10" s="1"/>
      <c r="B10" s="65" t="s">
        <v>126</v>
      </c>
      <c r="C10" s="23">
        <f>('Fane 3. Omkostninger i ØR2024'!C11+'Fane 3. Omkostninger i ØR2024'!C13+'Fane 3. Omkostninger i ØR2024'!C15)*(1+'Fane 15. Nøgletal'!C9)</f>
        <v>3746593.9007993662</v>
      </c>
      <c r="D10" s="14" t="s">
        <v>3</v>
      </c>
      <c r="E10" s="1"/>
    </row>
    <row r="11" spans="1:5" x14ac:dyDescent="0.25">
      <c r="A11" s="1"/>
      <c r="B11" s="65" t="s">
        <v>135</v>
      </c>
      <c r="C11" s="75">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0" t="s">
        <v>146</v>
      </c>
      <c r="C14" s="111"/>
      <c r="D14" s="112"/>
      <c r="E14" s="1"/>
    </row>
    <row r="15" spans="1:5" x14ac:dyDescent="0.25">
      <c r="A15" s="1"/>
      <c r="B15" s="65" t="s">
        <v>136</v>
      </c>
      <c r="C15" s="23">
        <f>(C9+C10-C11)*(1+'Fane 15. Nøgletal'!C9)</f>
        <v>58640838.669776775</v>
      </c>
      <c r="D15" s="14" t="s">
        <v>3</v>
      </c>
      <c r="E15" s="1"/>
    </row>
    <row r="16" spans="1:5" x14ac:dyDescent="0.25">
      <c r="A16" s="1"/>
      <c r="B16" s="65" t="s">
        <v>185</v>
      </c>
      <c r="C16" s="23">
        <f>('Fane 2.1. Økonomisk ramme 2025'!C11+'Fane 2.1. Økonomisk ramme 2025'!C13+'Fane 2.1. Økonomisk ramme 2025'!C15)*(1+'Fane 15. Nøgletal'!C10)</f>
        <v>1055676.62125551</v>
      </c>
      <c r="D16" s="14" t="s">
        <v>3</v>
      </c>
      <c r="E16" s="1"/>
    </row>
    <row r="17" spans="1:5" x14ac:dyDescent="0.25">
      <c r="A17" s="1"/>
      <c r="B17" s="65" t="s">
        <v>137</v>
      </c>
      <c r="C17" s="75">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0" t="s">
        <v>82</v>
      </c>
      <c r="C20" s="111"/>
      <c r="D20" s="112"/>
      <c r="E20" s="1"/>
    </row>
    <row r="21" spans="1:5" x14ac:dyDescent="0.25">
      <c r="A21" s="1"/>
      <c r="B21" s="65" t="s">
        <v>192</v>
      </c>
      <c r="C21" s="23">
        <f>(C15+C16-C17)*(1+'Fane 15. Nøgletal'!C10)</f>
        <v>63654394.254827723</v>
      </c>
      <c r="D21" s="14" t="s">
        <v>3</v>
      </c>
      <c r="E21" s="1"/>
    </row>
    <row r="22" spans="1:5" x14ac:dyDescent="0.25">
      <c r="A22" s="1"/>
      <c r="B22" s="65" t="s">
        <v>197</v>
      </c>
      <c r="C22" s="75">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0" t="s">
        <v>138</v>
      </c>
      <c r="C25" s="111"/>
      <c r="D25" s="112"/>
      <c r="E25" s="1"/>
    </row>
    <row r="26" spans="1:5" x14ac:dyDescent="0.25">
      <c r="A26" s="1"/>
      <c r="B26" s="65" t="s">
        <v>193</v>
      </c>
      <c r="C26" s="23">
        <f>(C21-C22)*(1+'Fane 15. Nøgletal'!C10)</f>
        <v>67874680.593922809</v>
      </c>
      <c r="D26" s="14" t="s">
        <v>3</v>
      </c>
      <c r="E26" s="1"/>
    </row>
    <row r="27" spans="1:5" x14ac:dyDescent="0.25">
      <c r="A27" s="1"/>
      <c r="B27" s="65" t="s">
        <v>198</v>
      </c>
      <c r="C27" s="75">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0" t="s">
        <v>163</v>
      </c>
      <c r="C30" s="111"/>
      <c r="D30" s="112"/>
      <c r="E30" s="1"/>
    </row>
    <row r="31" spans="1:5" x14ac:dyDescent="0.25">
      <c r="A31" s="1"/>
      <c r="B31" s="65" t="s">
        <v>200</v>
      </c>
      <c r="C31" s="23">
        <f>(C26-C27)*(1+'Fane 15. Nøgletal'!C10)</f>
        <v>72374771.917299896</v>
      </c>
      <c r="D31" s="14" t="s">
        <v>3</v>
      </c>
      <c r="E31" s="1"/>
    </row>
    <row r="32" spans="1:5" x14ac:dyDescent="0.25">
      <c r="A32" s="1"/>
      <c r="B32" s="65" t="s">
        <v>199</v>
      </c>
      <c r="C32" s="75">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ccTINcjgbV8tguCBkVRSw+GNyfe7KXM/u0FbzrIBJzeYCXf3l44/zys/z9WoByVlfn1l6VYWpZf09/p5B0cQ==" saltValue="jzq/XGGEyn42rrhyJRTk2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44</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0" t="s">
        <v>10</v>
      </c>
      <c r="C8" s="112"/>
      <c r="D8" s="1"/>
    </row>
    <row r="9" spans="1:4" x14ac:dyDescent="0.25">
      <c r="A9" s="1"/>
      <c r="B9" s="65" t="s">
        <v>164</v>
      </c>
      <c r="C9" s="22">
        <v>4.4849273567323595E-3</v>
      </c>
      <c r="D9" s="1"/>
    </row>
    <row r="10" spans="1:4" x14ac:dyDescent="0.25">
      <c r="A10" s="1"/>
      <c r="B10" s="33"/>
      <c r="C10" s="19"/>
      <c r="D10" s="1"/>
    </row>
    <row r="11" spans="1:4" x14ac:dyDescent="0.25">
      <c r="A11" s="1"/>
      <c r="B11" s="114" t="s">
        <v>218</v>
      </c>
      <c r="C11" s="115"/>
      <c r="D11" s="1"/>
    </row>
    <row r="12" spans="1:4" x14ac:dyDescent="0.25">
      <c r="A12" s="1"/>
      <c r="B12" s="116"/>
      <c r="C12" s="11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k9vi+3mY/kEWxmcmTDmIUlQZKYTBlIeoh11Lm0jsteNKr1urLEGi1mT/klstB53x5MMf11oyP6ggkA4c+n174Q==" saltValue="0t0cLEiHeOJntIv+c/6ea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2024-10-01T08:47:59Z</dcterms:modified>
</cp:coreProperties>
</file>