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Lyngby-Taarbæk Vand AS (V126)\ØR2024\"/>
    </mc:Choice>
  </mc:AlternateContent>
  <xr:revisionPtr revIDLastSave="0" documentId="13_ncr:1_{115DCF95-E6AD-4829-B644-620BC29213E4}"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F20" i="11" l="1"/>
  <c r="F21" i="11"/>
  <c r="F22" i="11"/>
  <c r="F23" i="11"/>
  <c r="F13" i="11"/>
  <c r="F14" i="11"/>
  <c r="F15" i="11"/>
  <c r="F16" i="11"/>
  <c r="F17" i="11"/>
  <c r="F18" i="11"/>
  <c r="F19" i="11"/>
  <c r="F24" i="11"/>
  <c r="E23" i="42" l="1"/>
  <c r="E31" i="42" l="1"/>
  <c r="E33" i="42" s="1"/>
  <c r="E27" i="42"/>
  <c r="C29" i="2" s="1"/>
  <c r="C8" i="2"/>
  <c r="C17" i="22" l="1"/>
  <c r="C17" i="15"/>
  <c r="C13" i="29"/>
  <c r="C14" i="29" s="1"/>
  <c r="E14" i="39" l="1"/>
  <c r="C14" i="39"/>
  <c r="C31" i="2" l="1"/>
  <c r="E15" i="39" l="1"/>
  <c r="C15" i="39"/>
  <c r="J28" i="11"/>
  <c r="H28" i="11"/>
  <c r="F11" i="11" l="1"/>
  <c r="F12" i="11"/>
  <c r="F25" i="11"/>
  <c r="F26" i="11"/>
  <c r="F27" i="11"/>
  <c r="F10" i="11"/>
  <c r="F28" i="11" l="1"/>
  <c r="C19" i="23"/>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<sst xmlns="http://schemas.openxmlformats.org/spreadsheetml/2006/main" count="639" uniqueCount="279">
  <si>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</si>
  <si>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</si>
  <si>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</si>
  <si>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</si>
  <si>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</si>
  <si>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</si>
  <si>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</si>
  <si>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</si>
  <si>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</si>
  <si>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</si>
  <si>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</si>
  <si>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</si>
  <si>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</si>
  <si>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</si>
  <si>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</si>
  <si>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</si>
  <si>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</si>
  <si>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</si>
  <si>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</si>
  <si>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</si>
  <si>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</si>
  <si>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</si>
  <si>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</si>
  <si>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</si>
  <si>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</si>
  <si>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</si>
  <si>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</si>
  <si>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</si>
  <si>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</si>
  <si>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</si>
  <si>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</si>
  <si>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</si>
  <si>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</si>
  <si>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</si>
  <si>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</si>
  <si>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</si>
  <si>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</si>
  <si>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</si>
  <si>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</si>
  <si>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</si>
  <si>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</si>
  <si>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</si>
  <si>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</si>
  <si>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</si>
  <si>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</si>
  <si>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</si>
  <si>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</si>
  <si>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</si>
  <si>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</si>
  <si>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</si>
  <si>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</si>
  <si>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</si>
  <si>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</si>
  <si>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</si>
  <si>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</si>
  <si>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</si>
  <si>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</si>
  <si>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</si>
  <si>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</si>
  <si>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</si>
  <si>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</si>
  <si>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</si>
  <si>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</si>
  <si>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</si>
  <si>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</si>
  <si>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</si>
  <si>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</si>
  <si>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</si>
  <si>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</si>
  <si>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</si>
  <si>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</si>
  <si>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</si>
  <si>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</si>
  <si>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</si>
  <si>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</si>
  <si>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</si>
  <si>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</si>
  <si>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</si>
  <si>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</si>
  <si>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</si>
  <si>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</si>
  <si>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</si>
  <si>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</si>
  <si>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</si>
  <si>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</si>
  <si>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</si>
  <si>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</si>
  <si>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</si>
  <si>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</si>
  <si>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</si>
  <si>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</si>
  <si>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</si>
  <si>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</si>
  <si>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</si>
  <si>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</si>
  <si>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</si>
  <si>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</si>
  <si>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</si>
  <si>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</si>
  <si>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</si>
  <si>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</si>
  <si>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</si>
  <si>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</si>
  <si>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</si>
  <si>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</si>
  <si>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</si>
  <si>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</si>
  <si>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</si>
  <si>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</si>
  <si>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</si>
  <si>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</si>
  <si>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</si>
  <si>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</si>
  <si>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</si>
  <si>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</si>
  <si>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</si>
  <si>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</si>
  <si>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</si>
  <si>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</si>
  <si>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</si>
  <si>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</si>
  <si>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</si>
  <si>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</si>
  <si>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</si>
  <si>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</si>
  <si>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</si>
  <si>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</si>
  <si>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</si>
  <si>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</si>
  <si>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</si>
  <si>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</si>
  <si>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</si>
  <si>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</si>
  <si>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</si>
  <si>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</si>
  <si>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</si>
  <si>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</si>
  <si>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</si>
  <si>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</si>
  <si>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</si>
  <si>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</si>
  <si>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</si>
  <si>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</si>
  <si>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</si>
  <si>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</si>
  <si>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</si>
  <si>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</si>
  <si>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</si>
  <si>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</si>
  <si>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</si>
  <si>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</si>
  <si>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</si>
  <si>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</si>
  <si>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</si>
  <si>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</si>
  <si>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</si>
  <si>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</si>
  <si>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</si>
  <si>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</si>
  <si>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</si>
  <si>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</si>
  <si>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</si>
  <si>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</si>
  <si>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</si>
  <si>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</si>
  <si>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</si>
  <si>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</si>
  <si>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</si>
  <si>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</si>
  <si>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</si>
  <si>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</si>
  <si>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</si>
  <si>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</si>
  <si>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</si>
  <si>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</si>
  <si>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</si>
  <si>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</si>
  <si>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</si>
  <si>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</si>
  <si>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</si>
  <si>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</si>
  <si>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</si>
  <si>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</si>
  <si>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</si>
  <si>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</si>
  <si>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</si>
  <si>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</si>
  <si>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</si>
  <si>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</si>
  <si>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</si>
  <si>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</si>
  <si>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</si>
  <si>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</si>
  <si>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</si>
  <si>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</si>
  <si>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</si>
  <si>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</si>
  <si>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</si>
  <si>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</si>
  <si>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</si>
  <si>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</si>
  <si>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</si>
  <si>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</si>
  <si>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</si>
  <si>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</si>
  <si>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</si>
  <si>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</si>
  <si>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</si>
  <si>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</si>
  <si>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</si>
  <si>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</si>
  <si>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</si>
  <si>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</si>
  <si>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</si>
  <si>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</si>
  <si>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</si>
  <si>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</si>
  <si>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</si>
  <si>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</si>
  <si>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</si>
  <si>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</si>
  <si>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</si>
  <si>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</si>
  <si>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</si>
  <si>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</si>
  <si>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</si>
  <si>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</si>
  <si>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</si>
  <si>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</si>
  <si>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</si>
  <si>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</si>
  <si>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</si>
  <si>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</si>
  <si>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</si>
  <si>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</si>
  <si>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</si>
  <si>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</si>
  <si>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</si>
  <si>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</si>
  <si>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</si>
  <si>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</si>
  <si>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</si>
  <si>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</si>
  <si>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</si>
  <si>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</si>
  <si>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</si>
  <si>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</si>
  <si>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</si>
  <si>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</si>
  <si>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</si>
  <si>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</si>
  <si>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</si>
  <si>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</si>
  <si>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</si>
  <si>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</si>
  <si>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</si>
  <si>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</si>
  <si>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</si>
  <si>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</si>
  <si>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Opgradering af ledningsnettet (ANL464,471,480,481,482))</t>
  </si>
  <si>
    <t>Letbane (ANL448)</t>
  </si>
  <si>
    <t>Omkostninger som følge af fjernvarme 2022 (ANL478)</t>
  </si>
  <si>
    <t>Stikledninger 2022 (ANL474)</t>
  </si>
  <si>
    <t>Trongårdsparken (ANL475)</t>
  </si>
  <si>
    <t>Øget egenproduktion af vand</t>
  </si>
  <si>
    <t>Ingen engangstillæg</t>
  </si>
  <si>
    <t>Afregningsmålere, mekaniske</t>
  </si>
  <si>
    <t>Arbejdsplads</t>
  </si>
  <si>
    <t>Elanlæg</t>
  </si>
  <si>
    <t>Elanlæg - vandværk</t>
  </si>
  <si>
    <t>Etageareal kontor og mandskabsfaciliteter</t>
  </si>
  <si>
    <t>Etageareal vandbehandlingsbygning</t>
  </si>
  <si>
    <t>Filteranlæg, trykfiltre, dobbelt filtrering</t>
  </si>
  <si>
    <t>Instrumenter (flowmåler+tryk transducer+alarmer)</t>
  </si>
  <si>
    <t>Pumpe inkl. stigrør og forerørsforsejlinger mv.</t>
  </si>
  <si>
    <t>Råvandsstation komplet montering og boringshus/tørbrønd</t>
  </si>
  <si>
    <t>SRO anlæg</t>
  </si>
  <si>
    <t>SRO-anlæg, vandværk</t>
  </si>
  <si>
    <t>Ø110 mm &lt; Ledningsnet ≤ Ø 250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</si>
</sst>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 fontId="8" fillId="8" borderId="1" xfId="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RcvDnvKp84oRdrkSLKjxPnxSMrZ+7wSrZY8GviDmJrQ6iUxhJwKhKz9CsN0qm2p1QTdmAbLN6btUrPYxIT/2Lw==" saltValue="n4+OlDlXvyusFigaj4U+A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242</v>
      </c>
      <c r="C10" s="9">
        <v>18710595</v>
      </c>
      <c r="D10" s="14" t="s">
        <v>3</v>
      </c>
      <c r="E10" s="1"/>
      <c r="F10" s="1"/>
    </row>
    <row r="11" spans="1:6" x14ac:dyDescent="0.25">
      <c r="A11" s="1"/>
      <c r="B11" s="71" t="s">
        <v>243</v>
      </c>
      <c r="C11" s="9">
        <v>122750</v>
      </c>
      <c r="D11" s="14" t="s">
        <v>3</v>
      </c>
      <c r="E11" s="1"/>
      <c r="F11" s="1"/>
    </row>
    <row r="12" spans="1:6" ht="26.25" x14ac:dyDescent="0.25">
      <c r="A12" s="1"/>
      <c r="B12" s="55" t="s">
        <v>244</v>
      </c>
      <c r="C12" s="9">
        <v>6440654</v>
      </c>
      <c r="D12" s="14" t="s">
        <v>3</v>
      </c>
      <c r="E12" s="1"/>
      <c r="F12" s="1"/>
    </row>
    <row r="13" spans="1:6" x14ac:dyDescent="0.25">
      <c r="A13" s="1"/>
      <c r="B13" s="71" t="s">
        <v>245</v>
      </c>
      <c r="C13" s="9">
        <v>426238</v>
      </c>
      <c r="D13" s="14" t="s">
        <v>3</v>
      </c>
      <c r="E13" s="1"/>
      <c r="F13" s="1"/>
    </row>
    <row r="14" spans="1:6" x14ac:dyDescent="0.25">
      <c r="A14" s="1"/>
      <c r="B14" s="71"/>
      <c r="C14" s="9"/>
      <c r="D14" s="14" t="s">
        <v>3</v>
      </c>
      <c r="E14" s="1"/>
      <c r="F14" s="1"/>
    </row>
    <row r="15" spans="1:6" x14ac:dyDescent="0.25">
      <c r="A15" s="1"/>
      <c r="B15" s="71"/>
      <c r="C15" s="9"/>
      <c r="D15" s="14" t="s">
        <v>3</v>
      </c>
      <c r="E15" s="1"/>
      <c r="F15" s="1"/>
    </row>
    <row r="16" spans="1:6" x14ac:dyDescent="0.25">
      <c r="A16" s="1"/>
      <c r="B16" s="71"/>
      <c r="C16" s="9"/>
      <c r="D16" s="14" t="s">
        <v>3</v>
      </c>
      <c r="E16" s="1"/>
      <c r="F16" s="1"/>
    </row>
    <row r="17" spans="1:6" x14ac:dyDescent="0.25">
      <c r="A17" s="1"/>
      <c r="B17" s="71"/>
      <c r="C17" s="9"/>
      <c r="D17" s="14" t="s">
        <v>3</v>
      </c>
      <c r="E17" s="1"/>
      <c r="F17" s="1"/>
    </row>
    <row r="18" spans="1:6" x14ac:dyDescent="0.25">
      <c r="A18" s="1"/>
      <c r="B18" s="71"/>
      <c r="C18" s="9"/>
      <c r="D18" s="14" t="s">
        <v>3</v>
      </c>
      <c r="E18" s="1"/>
      <c r="F18" s="1"/>
    </row>
    <row r="19" spans="1:6" x14ac:dyDescent="0.25">
      <c r="A19" s="1"/>
      <c r="B19" s="52" t="s">
        <v>213</v>
      </c>
      <c r="C19" s="12">
        <f>SUM(C10:C18)</f>
        <v>25700237</v>
      </c>
      <c r="D19" s="13" t="s">
        <v>3</v>
      </c>
      <c r="E19" s="1"/>
      <c r="F19" s="1"/>
    </row>
    <row r="20" spans="1:6" x14ac:dyDescent="0.25">
      <c r="A20" s="1"/>
      <c r="B20" s="52" t="s">
        <v>214</v>
      </c>
      <c r="C20" s="12">
        <f>C19*(1+'Fane 13. Nøgletal'!C16)^2</f>
        <v>30021182.894487679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Mv15CWjFOqCxLESpuDDYq0wgQu9O6wjNf1G9qR6/oaS1cAF1Uz9odiS8rW3vDhfbw57akskhYjbDMZuwvzwLsg==" saltValue="8ZZ0En7VkTVvXWbHkQ3kl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5632-A62B-4E06-8C35-F006F4D12967}">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8"/>
      <c r="D6" s="59"/>
      <c r="E6" s="64"/>
      <c r="F6" s="64"/>
      <c r="G6" s="1"/>
    </row>
    <row r="7" spans="1:7" x14ac:dyDescent="0.25">
      <c r="A7" s="1"/>
      <c r="B7" s="1"/>
      <c r="C7" s="1"/>
      <c r="D7" s="1"/>
      <c r="E7" s="60"/>
      <c r="F7" s="1"/>
      <c r="G7" s="1"/>
    </row>
    <row r="8" spans="1:7" x14ac:dyDescent="0.25">
      <c r="A8" s="1"/>
      <c r="B8" s="107" t="s">
        <v>246</v>
      </c>
      <c r="C8" s="108"/>
      <c r="D8" s="108"/>
      <c r="E8" s="108"/>
      <c r="F8" s="109"/>
      <c r="G8" s="1"/>
    </row>
    <row r="9" spans="1:7" x14ac:dyDescent="0.25">
      <c r="A9" s="1"/>
      <c r="B9" s="101" t="s">
        <v>247</v>
      </c>
      <c r="C9" s="102"/>
      <c r="D9" s="103"/>
      <c r="E9" s="28">
        <v>-3500768</v>
      </c>
      <c r="F9" s="14" t="s">
        <v>3</v>
      </c>
      <c r="G9" s="1"/>
    </row>
    <row r="10" spans="1:7" x14ac:dyDescent="0.25">
      <c r="A10" s="1"/>
      <c r="B10" s="52"/>
      <c r="C10" s="53"/>
      <c r="D10" s="53"/>
      <c r="E10" s="53"/>
      <c r="F10" s="19"/>
      <c r="G10" s="1"/>
    </row>
    <row r="11" spans="1:7" ht="53.25" customHeight="1" x14ac:dyDescent="0.25">
      <c r="A11" s="1"/>
      <c r="B11" s="119" t="s">
        <v>248</v>
      </c>
      <c r="C11" s="120"/>
      <c r="D11" s="120"/>
      <c r="E11" s="120"/>
      <c r="F11" s="121"/>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249</v>
      </c>
      <c r="C14" s="102"/>
      <c r="D14" s="103"/>
      <c r="E14" s="9">
        <v>-3124348</v>
      </c>
      <c r="F14" s="14" t="s">
        <v>3</v>
      </c>
      <c r="G14" s="1"/>
    </row>
    <row r="15" spans="1:7" x14ac:dyDescent="0.25">
      <c r="A15" s="1"/>
      <c r="B15" s="101" t="s">
        <v>250</v>
      </c>
      <c r="C15" s="102"/>
      <c r="D15" s="103"/>
      <c r="E15" s="9">
        <v>-3124348</v>
      </c>
      <c r="F15" s="14" t="s">
        <v>3</v>
      </c>
      <c r="G15" s="1"/>
    </row>
    <row r="16" spans="1:7" x14ac:dyDescent="0.25">
      <c r="A16" s="1"/>
      <c r="B16" s="52"/>
      <c r="C16" s="53"/>
      <c r="D16" s="53"/>
      <c r="E16" s="53"/>
      <c r="F16" s="19"/>
      <c r="G16" s="1"/>
    </row>
    <row r="17" spans="1:7" ht="32.25" customHeight="1" x14ac:dyDescent="0.25">
      <c r="A17" s="1"/>
      <c r="B17" s="119" t="s">
        <v>251</v>
      </c>
      <c r="C17" s="120"/>
      <c r="D17" s="120"/>
      <c r="E17" s="120"/>
      <c r="F17" s="121"/>
      <c r="G17" s="1"/>
    </row>
    <row r="18" spans="1:7" x14ac:dyDescent="0.25">
      <c r="A18" s="1"/>
      <c r="B18" s="1"/>
      <c r="C18" s="1"/>
      <c r="D18" s="1"/>
      <c r="E18" s="1"/>
      <c r="F18" s="1"/>
      <c r="G18" s="1"/>
    </row>
    <row r="19" spans="1:7" x14ac:dyDescent="0.25">
      <c r="A19" s="1"/>
      <c r="B19" s="65" t="s">
        <v>252</v>
      </c>
      <c r="C19" s="66"/>
      <c r="D19" s="66"/>
      <c r="E19" s="66"/>
      <c r="F19" s="67"/>
      <c r="G19" s="1"/>
    </row>
    <row r="20" spans="1:7" x14ac:dyDescent="0.25">
      <c r="A20" s="1"/>
      <c r="B20" s="68" t="s">
        <v>253</v>
      </c>
      <c r="C20" s="69"/>
      <c r="D20" s="70"/>
      <c r="E20" s="9">
        <v>51858524</v>
      </c>
      <c r="F20" s="14" t="s">
        <v>3</v>
      </c>
      <c r="G20" s="1"/>
    </row>
    <row r="21" spans="1:7" x14ac:dyDescent="0.25">
      <c r="A21" s="1"/>
      <c r="B21" s="68" t="s">
        <v>254</v>
      </c>
      <c r="C21" s="69"/>
      <c r="D21" s="70"/>
      <c r="E21" s="9">
        <v>51243753</v>
      </c>
      <c r="F21" s="14" t="s">
        <v>3</v>
      </c>
      <c r="G21" s="1"/>
    </row>
    <row r="22" spans="1:7" x14ac:dyDescent="0.25">
      <c r="A22" s="1"/>
      <c r="B22" s="68" t="s">
        <v>29</v>
      </c>
      <c r="C22" s="69"/>
      <c r="D22" s="70"/>
      <c r="E22" s="9">
        <v>0</v>
      </c>
      <c r="F22" s="14" t="s">
        <v>3</v>
      </c>
      <c r="G22" s="1"/>
    </row>
    <row r="23" spans="1:7" x14ac:dyDescent="0.25">
      <c r="A23" s="1"/>
      <c r="B23" s="73" t="s">
        <v>255</v>
      </c>
      <c r="C23" s="74"/>
      <c r="D23" s="75"/>
      <c r="E23" s="10">
        <f>E20-(E21-E22)</f>
        <v>614771</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7" t="s">
        <v>256</v>
      </c>
      <c r="C26" s="108"/>
      <c r="D26" s="108"/>
      <c r="E26" s="108"/>
      <c r="F26" s="109"/>
      <c r="G26" s="1"/>
    </row>
    <row r="27" spans="1:7" x14ac:dyDescent="0.25">
      <c r="A27" s="1"/>
      <c r="B27" s="129" t="s">
        <v>257</v>
      </c>
      <c r="C27" s="130"/>
      <c r="D27" s="131"/>
      <c r="E27" s="61">
        <f>IF(AND(E15&lt;0,E23&gt;0,ABS(SUM(E14:E15))&lt;E23),ABS(E14),IF(AND(E15&lt;0,E23&gt;0,ABS(SUM(E14:E15))&gt;E23),SUM(E14,E23),0))</f>
        <v>-2509577</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258</v>
      </c>
      <c r="C30" s="108"/>
      <c r="D30" s="108"/>
      <c r="E30" s="108"/>
      <c r="F30" s="109"/>
      <c r="G30" s="1"/>
    </row>
    <row r="31" spans="1:7" x14ac:dyDescent="0.25">
      <c r="A31" s="1"/>
      <c r="B31" s="122" t="s">
        <v>117</v>
      </c>
      <c r="C31" s="123"/>
      <c r="D31" s="124"/>
      <c r="E31" s="62">
        <f>IF(AND(E9&gt;0,(E9+E23)&gt;0),0,IF(AND(E9&gt;0,(E9+E23)&lt;0),(E9+E23),IF(AND(E9&lt;0,E23&lt;0),E23,0)))</f>
        <v>0</v>
      </c>
      <c r="F31" s="14" t="s">
        <v>3</v>
      </c>
      <c r="G31" s="1"/>
    </row>
    <row r="32" spans="1:7" x14ac:dyDescent="0.25">
      <c r="A32" s="1"/>
      <c r="B32" s="122" t="s">
        <v>85</v>
      </c>
      <c r="C32" s="123"/>
      <c r="D32" s="124"/>
      <c r="E32" s="9">
        <v>2</v>
      </c>
      <c r="F32" s="14" t="s">
        <v>18</v>
      </c>
      <c r="G32" s="1"/>
    </row>
    <row r="33" spans="1:7" x14ac:dyDescent="0.25">
      <c r="A33" s="1"/>
      <c r="B33" s="125" t="s">
        <v>116</v>
      </c>
      <c r="C33" s="125"/>
      <c r="D33" s="125"/>
      <c r="E33" s="61">
        <f>E31/E32</f>
        <v>0</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KBqmHcgCgCf1Ziq+vPMUaz7QOZFLhGq6WBHmpuEXSjtLZm4LU4y2iCFJ+qIKQgGSpiiGbP1+xvUjW/3g81EKiA==" saltValue="opRpWh+7Iq+qpr8kTKyGIA=="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1KMSc1r6Pb3tp5/Oyxw9QOkv8WSghudrv6KCrYxzsc5IQ3GFBznDvK24oXndkabBWOS0gCQAH3aDJqPGzuysA==" saltValue="llhA2E4OMWoNqTLkiw/Hm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1"/>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ht="26.25" x14ac:dyDescent="0.25">
      <c r="A10" s="1"/>
      <c r="B10" s="78" t="s">
        <v>266</v>
      </c>
      <c r="C10" s="31">
        <v>8</v>
      </c>
      <c r="D10" s="9">
        <v>3023386</v>
      </c>
      <c r="E10" s="14" t="s">
        <v>3</v>
      </c>
      <c r="F10" s="22">
        <f>IFERROR(D10/C10,0)</f>
        <v>377923.25</v>
      </c>
      <c r="G10" s="14" t="s">
        <v>3</v>
      </c>
      <c r="H10" s="9">
        <v>0</v>
      </c>
      <c r="I10" s="14" t="s">
        <v>3</v>
      </c>
      <c r="J10" s="9">
        <v>166286</v>
      </c>
      <c r="K10" s="14" t="s">
        <v>3</v>
      </c>
      <c r="L10" s="1"/>
    </row>
    <row r="11" spans="1:12" x14ac:dyDescent="0.25">
      <c r="A11" s="1"/>
      <c r="B11" s="78" t="s">
        <v>267</v>
      </c>
      <c r="C11" s="31">
        <v>5</v>
      </c>
      <c r="D11" s="9">
        <v>505672</v>
      </c>
      <c r="E11" s="14" t="s">
        <v>3</v>
      </c>
      <c r="F11" s="22">
        <f t="shared" ref="F11:F27" si="0">IFERROR(D11/C11,0)</f>
        <v>101134.39999999999</v>
      </c>
      <c r="G11" s="14" t="s">
        <v>3</v>
      </c>
      <c r="H11" s="9">
        <v>0</v>
      </c>
      <c r="I11" s="14" t="s">
        <v>3</v>
      </c>
      <c r="J11" s="9">
        <v>27812</v>
      </c>
      <c r="K11" s="14" t="s">
        <v>3</v>
      </c>
      <c r="L11" s="1"/>
    </row>
    <row r="12" spans="1:12" x14ac:dyDescent="0.25">
      <c r="A12" s="1"/>
      <c r="B12" s="78" t="s">
        <v>268</v>
      </c>
      <c r="C12" s="31">
        <v>20</v>
      </c>
      <c r="D12" s="9">
        <v>1029695</v>
      </c>
      <c r="E12" s="14" t="s">
        <v>3</v>
      </c>
      <c r="F12" s="22">
        <f t="shared" si="0"/>
        <v>51484.75</v>
      </c>
      <c r="G12" s="14" t="s">
        <v>3</v>
      </c>
      <c r="H12" s="9">
        <v>0</v>
      </c>
      <c r="I12" s="14" t="s">
        <v>3</v>
      </c>
      <c r="J12" s="9">
        <v>56633</v>
      </c>
      <c r="K12" s="14" t="s">
        <v>3</v>
      </c>
      <c r="L12" s="1"/>
    </row>
    <row r="13" spans="1:12" x14ac:dyDescent="0.25">
      <c r="A13" s="1"/>
      <c r="B13" s="78" t="s">
        <v>268</v>
      </c>
      <c r="C13" s="31">
        <v>20</v>
      </c>
      <c r="D13" s="9">
        <v>2075645</v>
      </c>
      <c r="E13" s="14" t="s">
        <v>3</v>
      </c>
      <c r="F13" s="22">
        <f t="shared" ref="F13:F24" si="1">IFERROR(D13/C13,0)</f>
        <v>103782.25</v>
      </c>
      <c r="G13" s="14" t="s">
        <v>3</v>
      </c>
      <c r="H13" s="9">
        <v>0</v>
      </c>
      <c r="I13" s="14" t="s">
        <v>3</v>
      </c>
      <c r="J13" s="9">
        <v>114160</v>
      </c>
      <c r="K13" s="14" t="s">
        <v>3</v>
      </c>
      <c r="L13" s="1"/>
    </row>
    <row r="14" spans="1:12" x14ac:dyDescent="0.25">
      <c r="A14" s="1"/>
      <c r="B14" s="78" t="s">
        <v>269</v>
      </c>
      <c r="C14" s="31">
        <v>25</v>
      </c>
      <c r="D14" s="9">
        <v>1213612</v>
      </c>
      <c r="E14" s="14" t="s">
        <v>3</v>
      </c>
      <c r="F14" s="22">
        <f t="shared" si="1"/>
        <v>48544.480000000003</v>
      </c>
      <c r="G14" s="14" t="s">
        <v>3</v>
      </c>
      <c r="H14" s="9">
        <v>0</v>
      </c>
      <c r="I14" s="14" t="s">
        <v>3</v>
      </c>
      <c r="J14" s="9">
        <v>66749</v>
      </c>
      <c r="K14" s="14" t="s">
        <v>3</v>
      </c>
      <c r="L14" s="1"/>
    </row>
    <row r="15" spans="1:12" ht="26.25" x14ac:dyDescent="0.25">
      <c r="A15" s="1"/>
      <c r="B15" s="78" t="s">
        <v>270</v>
      </c>
      <c r="C15" s="31">
        <v>75</v>
      </c>
      <c r="D15" s="9">
        <v>404537</v>
      </c>
      <c r="E15" s="14" t="s">
        <v>3</v>
      </c>
      <c r="F15" s="22">
        <f t="shared" si="1"/>
        <v>5393.8266666666668</v>
      </c>
      <c r="G15" s="14" t="s">
        <v>3</v>
      </c>
      <c r="H15" s="9">
        <v>0</v>
      </c>
      <c r="I15" s="14" t="s">
        <v>3</v>
      </c>
      <c r="J15" s="9">
        <v>22250</v>
      </c>
      <c r="K15" s="14" t="s">
        <v>3</v>
      </c>
      <c r="L15" s="1"/>
    </row>
    <row r="16" spans="1:12" ht="26.25" x14ac:dyDescent="0.25">
      <c r="A16" s="1"/>
      <c r="B16" s="78" t="s">
        <v>271</v>
      </c>
      <c r="C16" s="31">
        <v>75</v>
      </c>
      <c r="D16" s="9">
        <v>3640835</v>
      </c>
      <c r="E16" s="14" t="s">
        <v>3</v>
      </c>
      <c r="F16" s="22">
        <f t="shared" si="1"/>
        <v>48544.466666666667</v>
      </c>
      <c r="G16" s="14" t="s">
        <v>3</v>
      </c>
      <c r="H16" s="9">
        <v>0</v>
      </c>
      <c r="I16" s="14" t="s">
        <v>3</v>
      </c>
      <c r="J16" s="9">
        <v>200246</v>
      </c>
      <c r="K16" s="14" t="s">
        <v>3</v>
      </c>
      <c r="L16" s="1"/>
    </row>
    <row r="17" spans="1:12" ht="26.25" x14ac:dyDescent="0.25">
      <c r="A17" s="1"/>
      <c r="B17" s="78" t="s">
        <v>272</v>
      </c>
      <c r="C17" s="31">
        <v>25</v>
      </c>
      <c r="D17" s="9">
        <v>2326089</v>
      </c>
      <c r="E17" s="14" t="s">
        <v>3</v>
      </c>
      <c r="F17" s="22">
        <f t="shared" si="1"/>
        <v>93043.56</v>
      </c>
      <c r="G17" s="14" t="s">
        <v>3</v>
      </c>
      <c r="H17" s="9">
        <v>0</v>
      </c>
      <c r="I17" s="14" t="s">
        <v>3</v>
      </c>
      <c r="J17" s="9">
        <v>127935</v>
      </c>
      <c r="K17" s="14" t="s">
        <v>3</v>
      </c>
      <c r="L17" s="1"/>
    </row>
    <row r="18" spans="1:12" ht="39" x14ac:dyDescent="0.25">
      <c r="A18" s="1"/>
      <c r="B18" s="78" t="s">
        <v>273</v>
      </c>
      <c r="C18" s="31">
        <v>10</v>
      </c>
      <c r="D18" s="9">
        <v>343232</v>
      </c>
      <c r="E18" s="14" t="s">
        <v>3</v>
      </c>
      <c r="F18" s="22">
        <f t="shared" si="1"/>
        <v>34323.199999999997</v>
      </c>
      <c r="G18" s="14" t="s">
        <v>3</v>
      </c>
      <c r="H18" s="9">
        <v>0</v>
      </c>
      <c r="I18" s="14" t="s">
        <v>3</v>
      </c>
      <c r="J18" s="9">
        <v>18878</v>
      </c>
      <c r="K18" s="14" t="s">
        <v>3</v>
      </c>
      <c r="L18" s="1"/>
    </row>
    <row r="19" spans="1:12" ht="39" x14ac:dyDescent="0.25">
      <c r="A19" s="1"/>
      <c r="B19" s="78" t="s">
        <v>273</v>
      </c>
      <c r="C19" s="31">
        <v>10</v>
      </c>
      <c r="D19" s="9">
        <v>691882</v>
      </c>
      <c r="E19" s="14" t="s">
        <v>3</v>
      </c>
      <c r="F19" s="22">
        <f t="shared" si="1"/>
        <v>69188.2</v>
      </c>
      <c r="G19" s="14" t="s">
        <v>3</v>
      </c>
      <c r="H19" s="9">
        <v>0</v>
      </c>
      <c r="I19" s="14" t="s">
        <v>3</v>
      </c>
      <c r="J19" s="9">
        <v>38054</v>
      </c>
      <c r="K19" s="14" t="s">
        <v>3</v>
      </c>
      <c r="L19" s="1"/>
    </row>
    <row r="20" spans="1:12" ht="26.25" x14ac:dyDescent="0.25">
      <c r="A20" s="1"/>
      <c r="B20" s="78" t="s">
        <v>274</v>
      </c>
      <c r="C20" s="31">
        <v>15</v>
      </c>
      <c r="D20" s="9">
        <v>514847</v>
      </c>
      <c r="E20" s="14" t="s">
        <v>3</v>
      </c>
      <c r="F20" s="22">
        <f t="shared" ref="F20:F23" si="2">IFERROR(D20/C20,0)</f>
        <v>34323.133333333331</v>
      </c>
      <c r="G20" s="14" t="s">
        <v>3</v>
      </c>
      <c r="H20" s="9">
        <v>0</v>
      </c>
      <c r="I20" s="14" t="s">
        <v>3</v>
      </c>
      <c r="J20" s="9">
        <v>28317</v>
      </c>
      <c r="K20" s="14" t="s">
        <v>3</v>
      </c>
      <c r="L20" s="1"/>
    </row>
    <row r="21" spans="1:12" ht="26.25" x14ac:dyDescent="0.25">
      <c r="A21" s="1"/>
      <c r="B21" s="78" t="s">
        <v>274</v>
      </c>
      <c r="C21" s="31">
        <v>15</v>
      </c>
      <c r="D21" s="9">
        <v>1037823</v>
      </c>
      <c r="E21" s="14" t="s">
        <v>3</v>
      </c>
      <c r="F21" s="22">
        <f t="shared" si="2"/>
        <v>69188.2</v>
      </c>
      <c r="G21" s="14" t="s">
        <v>3</v>
      </c>
      <c r="H21" s="9">
        <v>0</v>
      </c>
      <c r="I21" s="14" t="s">
        <v>3</v>
      </c>
      <c r="J21" s="9">
        <v>57080</v>
      </c>
      <c r="K21" s="14" t="s">
        <v>3</v>
      </c>
      <c r="L21" s="1"/>
    </row>
    <row r="22" spans="1:12" ht="39" x14ac:dyDescent="0.25">
      <c r="A22" s="1"/>
      <c r="B22" s="78" t="s">
        <v>275</v>
      </c>
      <c r="C22" s="31">
        <v>30</v>
      </c>
      <c r="D22" s="9">
        <v>1029695</v>
      </c>
      <c r="E22" s="14" t="s">
        <v>3</v>
      </c>
      <c r="F22" s="22">
        <f t="shared" si="2"/>
        <v>34323.166666666664</v>
      </c>
      <c r="G22" s="14" t="s">
        <v>3</v>
      </c>
      <c r="H22" s="9">
        <v>0</v>
      </c>
      <c r="I22" s="14" t="s">
        <v>3</v>
      </c>
      <c r="J22" s="9">
        <v>56633</v>
      </c>
      <c r="K22" s="14" t="s">
        <v>3</v>
      </c>
      <c r="L22" s="1"/>
    </row>
    <row r="23" spans="1:12" ht="39" x14ac:dyDescent="0.25">
      <c r="A23" s="1"/>
      <c r="B23" s="78" t="s">
        <v>275</v>
      </c>
      <c r="C23" s="31">
        <v>30</v>
      </c>
      <c r="D23" s="9">
        <v>2075645</v>
      </c>
      <c r="E23" s="14" t="s">
        <v>3</v>
      </c>
      <c r="F23" s="22">
        <f t="shared" si="2"/>
        <v>69188.166666666672</v>
      </c>
      <c r="G23" s="14" t="s">
        <v>3</v>
      </c>
      <c r="H23" s="9">
        <v>0</v>
      </c>
      <c r="I23" s="14" t="s">
        <v>3</v>
      </c>
      <c r="J23" s="9">
        <v>114160</v>
      </c>
      <c r="K23" s="14" t="s">
        <v>3</v>
      </c>
      <c r="L23" s="1"/>
    </row>
    <row r="24" spans="1:12" x14ac:dyDescent="0.25">
      <c r="A24" s="1"/>
      <c r="B24" s="78" t="s">
        <v>276</v>
      </c>
      <c r="C24" s="31">
        <v>10</v>
      </c>
      <c r="D24" s="9">
        <v>514847</v>
      </c>
      <c r="E24" s="14" t="s">
        <v>3</v>
      </c>
      <c r="F24" s="22">
        <f t="shared" si="1"/>
        <v>51484.7</v>
      </c>
      <c r="G24" s="14" t="s">
        <v>3</v>
      </c>
      <c r="H24" s="9">
        <v>0</v>
      </c>
      <c r="I24" s="14" t="s">
        <v>3</v>
      </c>
      <c r="J24" s="9">
        <v>28317</v>
      </c>
      <c r="K24" s="14" t="s">
        <v>3</v>
      </c>
      <c r="L24" s="1"/>
    </row>
    <row r="25" spans="1:12" x14ac:dyDescent="0.25">
      <c r="A25" s="1"/>
      <c r="B25" s="78" t="s">
        <v>276</v>
      </c>
      <c r="C25" s="31">
        <v>10</v>
      </c>
      <c r="D25" s="9">
        <v>1037823</v>
      </c>
      <c r="E25" s="14" t="s">
        <v>3</v>
      </c>
      <c r="F25" s="22">
        <f t="shared" si="0"/>
        <v>103782.3</v>
      </c>
      <c r="G25" s="14" t="s">
        <v>3</v>
      </c>
      <c r="H25" s="9">
        <v>0</v>
      </c>
      <c r="I25" s="14" t="s">
        <v>3</v>
      </c>
      <c r="J25" s="9">
        <v>57080</v>
      </c>
      <c r="K25" s="14" t="s">
        <v>3</v>
      </c>
      <c r="L25" s="1"/>
    </row>
    <row r="26" spans="1:12" x14ac:dyDescent="0.25">
      <c r="A26" s="1"/>
      <c r="B26" s="78" t="s">
        <v>277</v>
      </c>
      <c r="C26" s="31">
        <v>10</v>
      </c>
      <c r="D26" s="9">
        <v>2022686</v>
      </c>
      <c r="E26" s="14" t="s">
        <v>3</v>
      </c>
      <c r="F26" s="22">
        <f t="shared" si="0"/>
        <v>202268.6</v>
      </c>
      <c r="G26" s="14" t="s">
        <v>3</v>
      </c>
      <c r="H26" s="9">
        <v>0</v>
      </c>
      <c r="I26" s="14" t="s">
        <v>3</v>
      </c>
      <c r="J26" s="9">
        <v>111248</v>
      </c>
      <c r="K26" s="14" t="s">
        <v>3</v>
      </c>
      <c r="L26" s="1"/>
    </row>
    <row r="27" spans="1:12" ht="26.25" x14ac:dyDescent="0.25">
      <c r="A27" s="1"/>
      <c r="B27" s="78" t="s">
        <v>278</v>
      </c>
      <c r="C27" s="31">
        <v>75</v>
      </c>
      <c r="D27" s="9">
        <v>1167969</v>
      </c>
      <c r="E27" s="14" t="s">
        <v>3</v>
      </c>
      <c r="F27" s="22">
        <f t="shared" si="0"/>
        <v>15572.92</v>
      </c>
      <c r="G27" s="14" t="s">
        <v>3</v>
      </c>
      <c r="H27" s="9">
        <v>0</v>
      </c>
      <c r="I27" s="14" t="s">
        <v>3</v>
      </c>
      <c r="J27" s="9">
        <v>64238</v>
      </c>
      <c r="K27" s="14" t="s">
        <v>3</v>
      </c>
      <c r="L27" s="1"/>
    </row>
    <row r="28" spans="1:12" x14ac:dyDescent="0.25">
      <c r="A28" s="1"/>
      <c r="B28" s="52" t="s">
        <v>215</v>
      </c>
      <c r="C28" s="53"/>
      <c r="D28" s="19"/>
      <c r="E28" s="67"/>
      <c r="F28" s="12">
        <f>SUM(F10:F27)</f>
        <v>1513493.57</v>
      </c>
      <c r="G28" s="13" t="s">
        <v>3</v>
      </c>
      <c r="H28" s="12">
        <f>SUM(H10:H27)</f>
        <v>0</v>
      </c>
      <c r="I28" s="13" t="s">
        <v>3</v>
      </c>
      <c r="J28" s="12">
        <f>SUM(J10:J27)</f>
        <v>1356076</v>
      </c>
      <c r="K28" s="13" t="s">
        <v>3</v>
      </c>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44"/>
      <c r="B38" s="44"/>
      <c r="C38" s="44"/>
      <c r="D38" s="44"/>
      <c r="E38" s="44"/>
      <c r="F38" s="44"/>
      <c r="G38" s="44"/>
      <c r="H38" s="44"/>
      <c r="I38" s="44"/>
      <c r="J38" s="44"/>
      <c r="K38" s="44"/>
      <c r="L38" s="44"/>
    </row>
    <row r="39" spans="1:12" x14ac:dyDescent="0.25">
      <c r="A39" s="44"/>
      <c r="B39" s="44"/>
      <c r="C39" s="44"/>
      <c r="D39" s="44"/>
      <c r="E39" s="44"/>
      <c r="F39" s="44"/>
      <c r="G39" s="44"/>
      <c r="H39" s="44"/>
      <c r="I39" s="44"/>
      <c r="J39" s="44"/>
      <c r="K39" s="44"/>
      <c r="L39" s="44"/>
    </row>
    <row r="40" spans="1:12" x14ac:dyDescent="0.25">
      <c r="A40" s="44"/>
      <c r="B40" s="44"/>
      <c r="C40" s="44"/>
      <c r="D40" s="44"/>
      <c r="E40" s="44"/>
      <c r="F40" s="44"/>
      <c r="G40" s="44"/>
      <c r="H40" s="44"/>
      <c r="I40" s="44"/>
      <c r="J40" s="44"/>
      <c r="K40" s="44"/>
      <c r="L40" s="44"/>
    </row>
    <row r="41" spans="1:12" x14ac:dyDescent="0.25">
      <c r="A41" s="44"/>
      <c r="B41" s="44"/>
      <c r="C41" s="44"/>
      <c r="D41" s="44"/>
      <c r="E41" s="44"/>
      <c r="F41" s="44"/>
      <c r="G41" s="44"/>
      <c r="H41" s="44"/>
      <c r="I41" s="44"/>
      <c r="J41" s="44"/>
      <c r="K41" s="44"/>
      <c r="L41" s="44"/>
    </row>
  </sheetData>
  <sheetProtection algorithmName="SHA-512" hashValue="fNn0IRemDssFdj1q+1cXos+ydAyjQ5GDFDeIt5+1YOp479Vs9d69xmC4M+ZXbCNR39KBVXLAeCtTBFeOOsmxvQ==" saltValue="KICyC/N0hQ0bJUYkthYx2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'!H28</f>
        <v>0</v>
      </c>
      <c r="D10" s="14" t="s">
        <v>3</v>
      </c>
      <c r="E10" s="9">
        <f>'Fane 9. Anlægsprojekter (§ 19) '!F28+'Fane 9. Anlægsprojekter (§ 19) '!J28</f>
        <v>2869569.5700000003</v>
      </c>
      <c r="F10" s="14" t="s">
        <v>3</v>
      </c>
      <c r="G10" s="1"/>
    </row>
    <row r="11" spans="1:7" x14ac:dyDescent="0.25">
      <c r="A11" s="1"/>
      <c r="B11" s="27" t="s">
        <v>259</v>
      </c>
      <c r="C11" s="21">
        <v>0</v>
      </c>
      <c r="D11" s="14" t="s">
        <v>3</v>
      </c>
      <c r="E11" s="9">
        <v>1295040</v>
      </c>
      <c r="F11" s="14" t="s">
        <v>3</v>
      </c>
      <c r="G11" s="1"/>
    </row>
    <row r="12" spans="1:7" x14ac:dyDescent="0.25">
      <c r="A12" s="1"/>
      <c r="B12" s="27" t="s">
        <v>260</v>
      </c>
      <c r="C12" s="21">
        <v>0</v>
      </c>
      <c r="D12" s="14" t="s">
        <v>3</v>
      </c>
      <c r="E12" s="9">
        <v>133111</v>
      </c>
      <c r="F12" s="14" t="s">
        <v>3</v>
      </c>
      <c r="G12" s="1"/>
    </row>
    <row r="13" spans="1:7" x14ac:dyDescent="0.25">
      <c r="A13" s="1"/>
      <c r="B13" s="27" t="s">
        <v>261</v>
      </c>
      <c r="C13" s="21">
        <v>0</v>
      </c>
      <c r="D13" s="14" t="s">
        <v>3</v>
      </c>
      <c r="E13" s="9">
        <v>14950</v>
      </c>
      <c r="F13" s="14" t="s">
        <v>3</v>
      </c>
      <c r="G13" s="1"/>
    </row>
    <row r="14" spans="1:7" x14ac:dyDescent="0.25">
      <c r="A14" s="1"/>
      <c r="B14" s="27" t="s">
        <v>262</v>
      </c>
      <c r="C14" s="21">
        <v>152642</v>
      </c>
      <c r="D14" s="14" t="s">
        <v>3</v>
      </c>
      <c r="E14" s="9">
        <v>24842</v>
      </c>
      <c r="F14" s="14" t="s">
        <v>3</v>
      </c>
      <c r="G14" s="1"/>
    </row>
    <row r="15" spans="1:7" x14ac:dyDescent="0.25">
      <c r="A15" s="1"/>
      <c r="B15" s="27" t="s">
        <v>263</v>
      </c>
      <c r="C15" s="21">
        <v>0</v>
      </c>
      <c r="D15" s="14" t="s">
        <v>3</v>
      </c>
      <c r="E15" s="9">
        <v>50136</v>
      </c>
      <c r="F15" s="14" t="s">
        <v>3</v>
      </c>
      <c r="G15" s="1"/>
    </row>
    <row r="16" spans="1:7" x14ac:dyDescent="0.25">
      <c r="A16" s="1"/>
      <c r="B16" s="27" t="s">
        <v>264</v>
      </c>
      <c r="C16" s="21">
        <v>1857315</v>
      </c>
      <c r="D16" s="14" t="s">
        <v>3</v>
      </c>
      <c r="E16" s="9">
        <v>0</v>
      </c>
      <c r="F16" s="14" t="s">
        <v>3</v>
      </c>
      <c r="G16" s="1"/>
    </row>
    <row r="17" spans="1:7" x14ac:dyDescent="0.25">
      <c r="A17" s="1"/>
      <c r="B17" s="52" t="s">
        <v>151</v>
      </c>
      <c r="C17" s="12">
        <f>SUM(C10:C16)</f>
        <v>2009957</v>
      </c>
      <c r="D17" s="13" t="s">
        <v>3</v>
      </c>
      <c r="E17" s="12">
        <f>SUM(E10:E16)</f>
        <v>4387648.57</v>
      </c>
      <c r="F17" s="13" t="s">
        <v>3</v>
      </c>
      <c r="G17" s="1"/>
    </row>
    <row r="18" spans="1:7" x14ac:dyDescent="0.25">
      <c r="A18" s="1"/>
      <c r="B18" s="52" t="s">
        <v>209</v>
      </c>
      <c r="C18" s="12">
        <f>C17*(1+'Fane 13. Nøgletal'!C16)</f>
        <v>2172361.5255999998</v>
      </c>
      <c r="D18" s="13" t="s">
        <v>3</v>
      </c>
      <c r="E18" s="12">
        <f>E17*(1+'Fane 13. Nøgletal'!C16)</f>
        <v>4742170.5744560007</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W0xnFPCgIKu26WfYFjNsswrPzNsnCKKqXwJ6eKjzmDjHw2HUlPT8Chen1hxO0AQZXiJ5dhUk1tKLOtmgL+h7Hg==" saltValue="6Wxgv4J4f8nK8J8MN2fmo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265</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5BWr9hr9lMY+7l+mHkBDzuUjnofUyPX/q67k9S3Mau0iyITcO1f00U6xcDWhvKq15NjdotyyLYIuHtoZ5uGbg==" saltValue="tvQAHqGFqrTuo7qPH1haM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4" t="s">
        <v>105</v>
      </c>
      <c r="C9" s="132" t="s">
        <v>10</v>
      </c>
      <c r="D9" s="134"/>
      <c r="E9" s="132" t="s">
        <v>27</v>
      </c>
      <c r="F9" s="134"/>
      <c r="G9" s="1"/>
    </row>
    <row r="10" spans="1:7" ht="26.25" x14ac:dyDescent="0.25">
      <c r="A10" s="1"/>
      <c r="B10" s="57" t="s">
        <v>240</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bGAizgD0YAGT+A8/Lh6UchksyZOEKOOYXvkIztvBs6UKg+7Xh+tlF9r1ZH2TMGJbbQz6hycbCbKN96yNUpBUGQ==" saltValue="uGBy7AJP0KXXeHXptnjek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4" t="s">
        <v>16</v>
      </c>
      <c r="C11" s="54" t="s">
        <v>10</v>
      </c>
      <c r="D11" s="30"/>
      <c r="E11" s="54" t="s">
        <v>27</v>
      </c>
      <c r="F11" s="30"/>
      <c r="G11" s="1"/>
    </row>
    <row r="12" spans="1:7" x14ac:dyDescent="0.25">
      <c r="A12" s="1"/>
      <c r="B12" s="57" t="s">
        <v>241</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z9HL4nvmLImy+8afSLROEuZ/xDK4NVMglbN2J4pBWFKW3z3VqDXx+4gRyHCd2ex8LWUwmkGy4soEs+pVVfQpw==" saltValue="o3XRSZckBRsWNTOoK33cD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71"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zy+54m13Gof5UAZkCGyRothXy1c5kKhKljBzDFZvkSlahElJcJD8AY2+6uTy/x+uZx5CtLz7uCx7etkv4I6+XQ==" saltValue="Lg0s+VG7w9XN/82EwTjntg=="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40161979.684697449</v>
      </c>
      <c r="D8" s="8" t="s">
        <v>3</v>
      </c>
      <c r="E8" s="1"/>
    </row>
    <row r="9" spans="1:5" ht="17.100000000000001" customHeight="1" x14ac:dyDescent="0.25">
      <c r="A9" s="1"/>
      <c r="B9" s="24" t="s">
        <v>33</v>
      </c>
      <c r="C9" s="7">
        <f>'Fane 10.1. Varige tillæg'!C18</f>
        <v>2172361.5255999998</v>
      </c>
      <c r="D9" s="8" t="s">
        <v>3</v>
      </c>
      <c r="E9" s="1"/>
    </row>
    <row r="10" spans="1:5" ht="17.100000000000001" customHeight="1" x14ac:dyDescent="0.25">
      <c r="A10" s="1"/>
      <c r="B10" s="24" t="s">
        <v>34</v>
      </c>
      <c r="C10" s="9">
        <f>'Fane 10.1. Varige tillæg'!E18</f>
        <v>4742170.5744560007</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1988460.6704597538</v>
      </c>
      <c r="D15" s="8" t="s">
        <v>3</v>
      </c>
      <c r="E15" s="1"/>
    </row>
    <row r="16" spans="1:5" ht="17.100000000000001" customHeight="1" x14ac:dyDescent="0.25">
      <c r="A16" s="1"/>
      <c r="B16" s="24" t="s">
        <v>9</v>
      </c>
      <c r="C16" s="9">
        <f>-SUM(C8,C9:C15)*'Fane 5. Individuelt eff. krav'!G9</f>
        <v>-981299.44910426415</v>
      </c>
      <c r="D16" s="8" t="s">
        <v>3</v>
      </c>
      <c r="E16" s="1"/>
    </row>
    <row r="17" spans="1:5" ht="17.100000000000001" customHeight="1" x14ac:dyDescent="0.25">
      <c r="A17" s="1"/>
      <c r="B17" s="24" t="s">
        <v>22</v>
      </c>
      <c r="C17" s="9">
        <f>-'Fane 4.1. Gen. krav - drift'!G49</f>
        <v>-350592.83602140163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47733080.170087539</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30021182.894487679</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10">
        <f>SUM(C23:C26)</f>
        <v>0</v>
      </c>
      <c r="D27" s="11" t="s">
        <v>3</v>
      </c>
      <c r="E27" s="1"/>
    </row>
    <row r="28" spans="1:5" ht="15" customHeight="1" x14ac:dyDescent="0.25">
      <c r="A28" s="1"/>
      <c r="B28" s="26" t="s">
        <v>117</v>
      </c>
      <c r="C28" s="53"/>
      <c r="D28" s="19"/>
      <c r="E28" s="1"/>
    </row>
    <row r="29" spans="1:5" x14ac:dyDescent="0.25">
      <c r="A29" s="1"/>
      <c r="B29" s="72" t="s">
        <v>118</v>
      </c>
      <c r="C29" s="10">
        <f>'Fane 7. Kontrol af ØR2022'!E27</f>
        <v>-2509577</v>
      </c>
      <c r="D29" s="11" t="s">
        <v>3</v>
      </c>
      <c r="E29" s="1"/>
    </row>
    <row r="30" spans="1:5" x14ac:dyDescent="0.25">
      <c r="A30" s="1"/>
      <c r="B30" s="26" t="s">
        <v>138</v>
      </c>
      <c r="C30" s="53"/>
      <c r="D30" s="19"/>
      <c r="E30" s="1"/>
    </row>
    <row r="31" spans="1:5" x14ac:dyDescent="0.25">
      <c r="A31" s="1"/>
      <c r="B31" s="72" t="s">
        <v>139</v>
      </c>
      <c r="C31" s="10">
        <f>'Fane 8. Skattesagen'!G13</f>
        <v>0</v>
      </c>
      <c r="D31" s="11" t="s">
        <v>3</v>
      </c>
      <c r="E31" s="1"/>
    </row>
    <row r="32" spans="1:5" x14ac:dyDescent="0.25">
      <c r="A32" s="1"/>
      <c r="B32" s="52" t="s">
        <v>126</v>
      </c>
      <c r="C32" s="33">
        <f>SUM(C19,C21,C27,C29,C31)</f>
        <v>75244686.064575225</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hPzT+UJp4OWNT+L+gc/gElKYJv3vH32bAVT6aX+X3hj04/E2kWvHE/hRDwsqk032ofLXSnKY6LSDosiCqNAPQ==" saltValue="2S4V8GwZeu3dO+Ki0jLfN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47733080.170087539</v>
      </c>
      <c r="D8" s="8" t="s">
        <v>3</v>
      </c>
      <c r="E8" s="1"/>
    </row>
    <row r="9" spans="1:5" ht="15" customHeight="1" x14ac:dyDescent="0.25">
      <c r="A9" s="1"/>
      <c r="B9" s="29" t="s">
        <v>17</v>
      </c>
      <c r="C9" s="9">
        <f>SUM(C8:C8)*'Fane 13. Nøgletal'!C16</f>
        <v>3856832.8777430728</v>
      </c>
      <c r="D9" s="8" t="s">
        <v>3</v>
      </c>
      <c r="E9" s="1"/>
    </row>
    <row r="10" spans="1:5" ht="15" customHeight="1" x14ac:dyDescent="0.25">
      <c r="A10" s="1"/>
      <c r="B10" s="29" t="s">
        <v>9</v>
      </c>
      <c r="C10" s="9">
        <f>-SUM(C8:C9)*'Fane 5. Individuelt eff. krav'!G9</f>
        <v>-1031798.2609566123</v>
      </c>
      <c r="D10" s="8" t="s">
        <v>3</v>
      </c>
      <c r="E10" s="1"/>
    </row>
    <row r="11" spans="1:5" ht="15" customHeight="1" x14ac:dyDescent="0.25">
      <c r="A11" s="1"/>
      <c r="B11" s="29" t="s">
        <v>22</v>
      </c>
      <c r="C11" s="9">
        <f>-'Fane 4.1. Gen. krav - drift'!G54</f>
        <v>-371342.32242849225</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50186772.464445502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32446894.472362284</v>
      </c>
      <c r="D15" s="11" t="s">
        <v>3</v>
      </c>
      <c r="E15" s="1"/>
    </row>
    <row r="16" spans="1:5" x14ac:dyDescent="0.25">
      <c r="A16" s="1"/>
      <c r="B16" s="26" t="s">
        <v>117</v>
      </c>
      <c r="C16" s="53"/>
      <c r="D16" s="19"/>
      <c r="E16" s="1"/>
    </row>
    <row r="17" spans="1:5" ht="15" customHeight="1" x14ac:dyDescent="0.25">
      <c r="A17" s="1"/>
      <c r="B17" s="72" t="s">
        <v>118</v>
      </c>
      <c r="C17" s="10">
        <f>'Fane 7. Kontrol af ØR2022'!E33</f>
        <v>0</v>
      </c>
      <c r="D17" s="11" t="s">
        <v>3</v>
      </c>
      <c r="E17" s="1"/>
    </row>
    <row r="18" spans="1:5" x14ac:dyDescent="0.25">
      <c r="A18" s="1"/>
      <c r="B18" s="26" t="s">
        <v>138</v>
      </c>
      <c r="C18" s="53"/>
      <c r="D18" s="19"/>
      <c r="E18" s="1"/>
    </row>
    <row r="19" spans="1:5" x14ac:dyDescent="0.25">
      <c r="A19" s="1"/>
      <c r="B19" s="72" t="s">
        <v>139</v>
      </c>
      <c r="C19" s="10">
        <f>'Fane 8. Skattesagen'!G13</f>
        <v>0</v>
      </c>
      <c r="D19" s="11" t="s">
        <v>3</v>
      </c>
      <c r="E19" s="1"/>
    </row>
    <row r="20" spans="1:5" x14ac:dyDescent="0.25">
      <c r="A20" s="1"/>
      <c r="B20" s="52" t="s">
        <v>128</v>
      </c>
      <c r="C20" s="12">
        <f>SUM(C13,C15,C17,C19)</f>
        <v>82633666.936807781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yitw2X8inlTaeDjIwDnuE0ZT5FDvwMReTjXV0i2mAlEQsdXvY2vqImRaN+IvZC+meTBzGbAQK4W0h5boABrDg==" saltValue="a5cP4dwkJhVYBeWP5rzmj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50186772.464445502</v>
      </c>
      <c r="D8" s="8" t="s">
        <v>3</v>
      </c>
      <c r="E8" s="1"/>
    </row>
    <row r="9" spans="1:5" ht="15" customHeight="1" x14ac:dyDescent="0.25">
      <c r="A9" s="1"/>
      <c r="B9" s="29" t="s">
        <v>17</v>
      </c>
      <c r="C9" s="9">
        <f>SUM(C8:C8)*'Fane 13. Nøgletal'!C16</f>
        <v>4055091.2151271962</v>
      </c>
      <c r="D9" s="8" t="s">
        <v>3</v>
      </c>
      <c r="E9" s="1"/>
    </row>
    <row r="10" spans="1:5" ht="15" customHeight="1" x14ac:dyDescent="0.25">
      <c r="A10" s="1"/>
      <c r="B10" s="29" t="s">
        <v>9</v>
      </c>
      <c r="C10" s="9">
        <f>-SUM(C8:C9)*'Fane 5. Individuelt eff. krav'!G9</f>
        <v>-1084837.2735914541</v>
      </c>
      <c r="D10" s="8" t="s">
        <v>3</v>
      </c>
      <c r="E10" s="1"/>
    </row>
    <row r="11" spans="1:5" ht="15" customHeight="1" x14ac:dyDescent="0.25">
      <c r="A11" s="1"/>
      <c r="B11" s="29" t="s">
        <v>22</v>
      </c>
      <c r="C11" s="9">
        <f>-'Fane 4.1. Gen. krav - drift'!G59</f>
        <v>-393319.84643910016</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52763706.559542149</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35068603.545729153</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72" t="s">
        <v>139</v>
      </c>
      <c r="C19" s="10">
        <f>'Fane 8. Skattesagen'!G14</f>
        <v>0</v>
      </c>
      <c r="D19" s="11" t="s">
        <v>3</v>
      </c>
      <c r="E19" s="1"/>
    </row>
    <row r="20" spans="1:5" x14ac:dyDescent="0.25">
      <c r="A20" s="1"/>
      <c r="B20" s="52" t="s">
        <v>143</v>
      </c>
      <c r="C20" s="12">
        <f>SUM(C13,C15,C17,C19)</f>
        <v>87832310.10527131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O1t9m5FQdXZVqQLhRZjhulGJl9uS0YQckFfyC7ZlXlxj4Zwkga4Ol4PxtMiLhV4VBymCEHF36ou00RlFTdVVg==" saltValue="0OHG6C2v158uu5V0/lhZs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52763706.559542149</v>
      </c>
      <c r="D8" s="8" t="s">
        <v>3</v>
      </c>
      <c r="E8" s="1"/>
    </row>
    <row r="9" spans="1:5" ht="15" customHeight="1" x14ac:dyDescent="0.25">
      <c r="A9" s="1"/>
      <c r="B9" s="29" t="s">
        <v>17</v>
      </c>
      <c r="C9" s="9">
        <f>SUM(C8:C8)*'Fane 13. Nøgletal'!C16</f>
        <v>4263307.4900110057</v>
      </c>
      <c r="D9" s="8" t="s">
        <v>3</v>
      </c>
      <c r="E9" s="1"/>
    </row>
    <row r="10" spans="1:5" ht="15" customHeight="1" x14ac:dyDescent="0.25">
      <c r="A10" s="1"/>
      <c r="B10" s="29" t="s">
        <v>9</v>
      </c>
      <c r="C10" s="9">
        <f>-SUM(C8:C9)*'Fane 5. Individuelt eff. krav'!G9</f>
        <v>-1140540.2809910632</v>
      </c>
      <c r="D10" s="8" t="s">
        <v>3</v>
      </c>
      <c r="E10" s="1"/>
    </row>
    <row r="11" spans="1:5" ht="15" customHeight="1" x14ac:dyDescent="0.25">
      <c r="A11" s="1"/>
      <c r="B11" s="29" t="s">
        <v>22</v>
      </c>
      <c r="C11" s="9">
        <f>-'Fane 4.1. Gen. krav - drift'!G64</f>
        <v>-416598.08823075186</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55469875.680331342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37902146.712224066</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2" t="s">
        <v>139</v>
      </c>
      <c r="C19" s="10">
        <f>'Fane 8. Skattesagen'!G15</f>
        <v>0</v>
      </c>
      <c r="D19" s="11" t="s">
        <v>3</v>
      </c>
      <c r="E19" s="1"/>
    </row>
    <row r="20" spans="1:5" x14ac:dyDescent="0.25">
      <c r="A20" s="1"/>
      <c r="B20" s="52" t="s">
        <v>205</v>
      </c>
      <c r="C20" s="12">
        <f>SUM(C13,C15,C17,C19)</f>
        <v>93372022.392555416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sJ4hsQ2cEdrfEDLnuc7mNLnj5VVulJA9IOb+6h2H/VntVYVhGfzlptZM+XXlmr5MuQYylZjTqwHEnSAmCbLww==" saltValue="VXq75auO3TsQUsYNt5Qqo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28696628.409419134</v>
      </c>
      <c r="D8" s="8" t="s">
        <v>3</v>
      </c>
      <c r="E8" s="1"/>
    </row>
    <row r="9" spans="1:5" x14ac:dyDescent="0.25">
      <c r="A9" s="1"/>
      <c r="B9" s="24" t="s">
        <v>33</v>
      </c>
      <c r="C9" s="7">
        <v>108523.63080000001</v>
      </c>
      <c r="D9" s="8" t="s">
        <v>3</v>
      </c>
      <c r="E9" s="1"/>
    </row>
    <row r="10" spans="1:5" x14ac:dyDescent="0.25">
      <c r="A10" s="1"/>
      <c r="B10" s="24" t="s">
        <v>34</v>
      </c>
      <c r="C10" s="9">
        <v>11062459.508316001</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1419286.9711278509</v>
      </c>
      <c r="D15" s="8" t="s">
        <v>3</v>
      </c>
      <c r="E15" s="1"/>
    </row>
    <row r="16" spans="1:5" x14ac:dyDescent="0.25">
      <c r="A16" s="1"/>
      <c r="B16" s="24" t="s">
        <v>9</v>
      </c>
      <c r="C16" s="9">
        <v>-825737.97039325989</v>
      </c>
      <c r="D16" s="8" t="s">
        <v>3</v>
      </c>
      <c r="E16" s="1"/>
    </row>
    <row r="17" spans="1:5" x14ac:dyDescent="0.25">
      <c r="A17" s="1"/>
      <c r="B17" s="24" t="s">
        <v>22</v>
      </c>
      <c r="C17" s="9">
        <v>-299180.86457227991</v>
      </c>
      <c r="D17" s="8" t="s">
        <v>3</v>
      </c>
      <c r="E17" s="1"/>
    </row>
    <row r="18" spans="1:5" x14ac:dyDescent="0.25">
      <c r="A18" s="1"/>
      <c r="B18" s="24" t="s">
        <v>23</v>
      </c>
      <c r="C18" s="9">
        <v>0</v>
      </c>
      <c r="D18" s="8" t="s">
        <v>3</v>
      </c>
      <c r="E18" s="1"/>
    </row>
    <row r="19" spans="1:5" x14ac:dyDescent="0.25">
      <c r="A19" s="1"/>
      <c r="B19" s="73" t="s">
        <v>19</v>
      </c>
      <c r="C19" s="10">
        <v>40161979.684697449</v>
      </c>
      <c r="D19" s="11" t="s">
        <v>3</v>
      </c>
      <c r="E19" s="1"/>
    </row>
    <row r="20" spans="1:5" x14ac:dyDescent="0.25">
      <c r="A20" s="1"/>
      <c r="B20" s="52" t="s">
        <v>11</v>
      </c>
      <c r="C20" s="53"/>
      <c r="D20" s="19"/>
      <c r="E20" s="1"/>
    </row>
    <row r="21" spans="1:5" x14ac:dyDescent="0.25">
      <c r="A21" s="1"/>
      <c r="B21" s="54" t="s">
        <v>11</v>
      </c>
      <c r="C21" s="10">
        <v>29202532.268245924</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6">
        <v>0</v>
      </c>
      <c r="D27" s="11" t="s">
        <v>3</v>
      </c>
      <c r="E27" s="1"/>
    </row>
    <row r="28" spans="1:5" x14ac:dyDescent="0.25">
      <c r="A28" s="1"/>
      <c r="B28" s="26" t="s">
        <v>117</v>
      </c>
      <c r="C28" s="53"/>
      <c r="D28" s="19"/>
      <c r="E28" s="1"/>
    </row>
    <row r="29" spans="1:5" x14ac:dyDescent="0.25">
      <c r="A29" s="1"/>
      <c r="B29" s="72" t="s">
        <v>118</v>
      </c>
      <c r="C29" s="10">
        <v>-3124347.744519446</v>
      </c>
      <c r="D29" s="11" t="s">
        <v>3</v>
      </c>
      <c r="E29" s="1"/>
    </row>
    <row r="30" spans="1:5" x14ac:dyDescent="0.25">
      <c r="A30" s="1"/>
      <c r="B30" s="26" t="s">
        <v>138</v>
      </c>
      <c r="C30" s="53"/>
      <c r="D30" s="19"/>
      <c r="E30" s="1"/>
    </row>
    <row r="31" spans="1:5" x14ac:dyDescent="0.25">
      <c r="A31" s="1"/>
      <c r="B31" s="72" t="s">
        <v>139</v>
      </c>
      <c r="C31" s="10">
        <v>0</v>
      </c>
      <c r="D31" s="11" t="s">
        <v>3</v>
      </c>
      <c r="E31" s="1"/>
    </row>
    <row r="32" spans="1:5" x14ac:dyDescent="0.25">
      <c r="A32" s="1"/>
      <c r="B32" s="52" t="s">
        <v>238</v>
      </c>
      <c r="C32" s="33">
        <v>66240164.208423927</v>
      </c>
      <c r="D32" s="19" t="s">
        <v>3</v>
      </c>
      <c r="E32" s="1"/>
    </row>
    <row r="33" spans="1:5" ht="30" customHeight="1" x14ac:dyDescent="0.25">
      <c r="A33" s="1"/>
      <c r="B33" s="99" t="s">
        <v>239</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Wx3Rdzpg69hAHPlIQtKX8Q/Rz9BYBddhMFr+r0shfPJ4xVoSShc5+foIEd7vy872dpuurHTKyfuBI0haLFE8yA==" saltValue="EDANGszEjHYtNKMZECsDt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14912587.767634995</v>
      </c>
      <c r="H5" s="14" t="s">
        <v>3</v>
      </c>
      <c r="I5" s="1"/>
    </row>
    <row r="6" spans="1:9" x14ac:dyDescent="0.25">
      <c r="A6" s="1"/>
      <c r="B6" s="101" t="s">
        <v>37</v>
      </c>
      <c r="C6" s="102"/>
      <c r="D6" s="102"/>
      <c r="E6" s="102"/>
      <c r="F6" s="103"/>
      <c r="G6" s="22">
        <f>G5*'Fane 13. Nøgletal'!C33</f>
        <v>298251.7553526999</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14799938.07963828</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295998.76159276563</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14749055.892520482</v>
      </c>
      <c r="H16" s="14" t="s">
        <v>3</v>
      </c>
      <c r="I16" s="1"/>
    </row>
    <row r="17" spans="1:9" x14ac:dyDescent="0.25">
      <c r="A17" s="1"/>
      <c r="B17" s="101" t="s">
        <v>100</v>
      </c>
      <c r="C17" s="102"/>
      <c r="D17" s="102"/>
      <c r="E17" s="102"/>
      <c r="F17" s="103"/>
      <c r="G17" s="47">
        <v>0</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294981.11785040965</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14698348.638361994</v>
      </c>
      <c r="H23" s="14" t="s">
        <v>3</v>
      </c>
      <c r="I23" s="1"/>
    </row>
    <row r="24" spans="1:9" x14ac:dyDescent="0.25">
      <c r="A24" s="1"/>
      <c r="B24" s="104" t="s">
        <v>230</v>
      </c>
      <c r="C24" s="105"/>
      <c r="D24" s="105"/>
      <c r="E24" s="105"/>
      <c r="F24" s="106"/>
      <c r="G24" s="47">
        <v>64651.943860020008</v>
      </c>
      <c r="H24" s="14" t="s">
        <v>3</v>
      </c>
      <c r="I24" s="1"/>
    </row>
    <row r="25" spans="1:9" x14ac:dyDescent="0.25">
      <c r="A25" s="1"/>
      <c r="B25" s="101" t="s">
        <v>43</v>
      </c>
      <c r="C25" s="102"/>
      <c r="D25" s="102"/>
      <c r="E25" s="102"/>
      <c r="F25" s="103"/>
      <c r="G25" s="22">
        <f>(G23+G24)*'Fane 13. Nøgletal'!C33</f>
        <v>295260.0116444403</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14644247.005538622</v>
      </c>
      <c r="H29" s="14" t="s">
        <v>3</v>
      </c>
      <c r="I29" s="1"/>
    </row>
    <row r="30" spans="1:9" x14ac:dyDescent="0.25">
      <c r="A30" s="1"/>
      <c r="B30" s="101" t="s">
        <v>231</v>
      </c>
      <c r="C30" s="102"/>
      <c r="D30" s="102"/>
      <c r="E30" s="102"/>
      <c r="F30" s="103"/>
      <c r="G30" s="47">
        <v>49924.21587552</v>
      </c>
      <c r="H30" s="14" t="s">
        <v>3</v>
      </c>
      <c r="I30" s="1"/>
    </row>
    <row r="31" spans="1:9" x14ac:dyDescent="0.25">
      <c r="A31" s="1"/>
      <c r="B31" s="101" t="s">
        <v>115</v>
      </c>
      <c r="C31" s="102"/>
      <c r="D31" s="102"/>
      <c r="E31" s="102"/>
      <c r="F31" s="103"/>
      <c r="G31" s="22">
        <f>(G29+G30)*'Fane 13. Nøgletal'!C33</f>
        <v>293883.42442828283</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14575971.308109086</v>
      </c>
      <c r="H35" s="14" t="s">
        <v>3</v>
      </c>
      <c r="I35" s="1"/>
    </row>
    <row r="36" spans="1:9" x14ac:dyDescent="0.25">
      <c r="A36" s="1"/>
      <c r="B36" s="101" t="s">
        <v>232</v>
      </c>
      <c r="C36" s="102"/>
      <c r="D36" s="102"/>
      <c r="E36" s="102"/>
      <c r="F36" s="103"/>
      <c r="G36" s="47">
        <v>52890.355993270008</v>
      </c>
      <c r="H36" s="14" t="s">
        <v>3</v>
      </c>
      <c r="I36" s="1"/>
    </row>
    <row r="37" spans="1:9" x14ac:dyDescent="0.25">
      <c r="A37" s="1"/>
      <c r="B37" s="101" t="s">
        <v>123</v>
      </c>
      <c r="C37" s="102"/>
      <c r="D37" s="102"/>
      <c r="E37" s="102"/>
      <c r="F37" s="103"/>
      <c r="G37" s="22">
        <f>(G35+G36)*'Fane 13. Nøgletal'!C33</f>
        <v>292577.23328204715</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14846656.156557515</v>
      </c>
      <c r="H41" s="14" t="s">
        <v>3</v>
      </c>
      <c r="I41" s="1"/>
    </row>
    <row r="42" spans="1:9" x14ac:dyDescent="0.25">
      <c r="A42" s="1"/>
      <c r="B42" s="101" t="s">
        <v>156</v>
      </c>
      <c r="C42" s="102"/>
      <c r="D42" s="102"/>
      <c r="E42" s="102"/>
      <c r="F42" s="103"/>
      <c r="G42" s="22">
        <v>112387.07205648003</v>
      </c>
      <c r="H42" s="14" t="s">
        <v>3</v>
      </c>
      <c r="I42" s="1"/>
    </row>
    <row r="43" spans="1:9" x14ac:dyDescent="0.25">
      <c r="A43" s="1"/>
      <c r="B43" s="101" t="s">
        <v>166</v>
      </c>
      <c r="C43" s="102"/>
      <c r="D43" s="102"/>
      <c r="E43" s="102"/>
      <c r="F43" s="103"/>
      <c r="G43" s="22">
        <f>(G41+G42)*'Fane 13. Nøgletal'!C33</f>
        <v>299180.86457227991</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15181753.464201601</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2347888.3368684798</v>
      </c>
      <c r="H48" s="14" t="s">
        <v>3</v>
      </c>
      <c r="I48" s="1"/>
    </row>
    <row r="49" spans="1:9" x14ac:dyDescent="0.25">
      <c r="A49" s="1"/>
      <c r="B49" s="101" t="s">
        <v>167</v>
      </c>
      <c r="C49" s="102"/>
      <c r="D49" s="102"/>
      <c r="E49" s="102"/>
      <c r="F49" s="103"/>
      <c r="G49" s="22">
        <f>G47*'Fane 13. Nøgletal'!C33+G48*'Fane 13. Nøgletal'!C33</f>
        <v>350592.83602140163</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18567116.121424612</v>
      </c>
      <c r="H53" s="14" t="s">
        <v>3</v>
      </c>
      <c r="I53" s="1"/>
    </row>
    <row r="54" spans="1:9" x14ac:dyDescent="0.25">
      <c r="A54" s="1"/>
      <c r="B54" s="101" t="s">
        <v>135</v>
      </c>
      <c r="C54" s="102"/>
      <c r="D54" s="102"/>
      <c r="E54" s="102"/>
      <c r="F54" s="103"/>
      <c r="G54" s="22">
        <f>(G53)*'Fane 13. Nøgletal'!C33</f>
        <v>371342.32242849225</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19665992.321955007</v>
      </c>
      <c r="H58" s="14" t="s">
        <v>3</v>
      </c>
      <c r="I58" s="1"/>
    </row>
    <row r="59" spans="1:9" x14ac:dyDescent="0.25">
      <c r="A59" s="1"/>
      <c r="B59" s="101" t="s">
        <v>146</v>
      </c>
      <c r="C59" s="102"/>
      <c r="D59" s="102"/>
      <c r="E59" s="102"/>
      <c r="F59" s="103"/>
      <c r="G59" s="22">
        <f>(G58)*'Fane 13. Nøgletal'!C33</f>
        <v>393319.84643910016</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20829904.411537591</v>
      </c>
      <c r="H63" s="14" t="s">
        <v>3</v>
      </c>
      <c r="I63" s="1"/>
    </row>
    <row r="64" spans="1:9" x14ac:dyDescent="0.25">
      <c r="A64" s="1"/>
      <c r="B64" s="101" t="s">
        <v>222</v>
      </c>
      <c r="C64" s="102"/>
      <c r="D64" s="102"/>
      <c r="E64" s="102"/>
      <c r="F64" s="103"/>
      <c r="G64" s="22">
        <f>(G63)*'Fane 13. Nøgletal'!C33</f>
        <v>416598.08823075186</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EOD0CV+O7Xt9PwI6uAY/3sFxDidpUC2plf1vzoGSPrXTojfQ4olFtaCB4fp8tDjAFog0+IrFY+Y5/tI8+ApdAg==" saltValue="QpIHXMsAzXW1Apq/8J8xJg=="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12341111</v>
      </c>
      <c r="H5" s="14" t="s">
        <v>3</v>
      </c>
      <c r="I5" s="1"/>
    </row>
    <row r="6" spans="1:9" x14ac:dyDescent="0.25">
      <c r="A6" s="1"/>
      <c r="B6" s="101" t="s">
        <v>49</v>
      </c>
      <c r="C6" s="102"/>
      <c r="D6" s="102"/>
      <c r="E6" s="102"/>
      <c r="F6" s="103"/>
      <c r="G6" s="22">
        <f>G5*'Fane 13. Nøgletal'!C21</f>
        <v>112304.11010000001</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12384112.737401729</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112695.42591035574</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12478804.264055576</v>
      </c>
      <c r="H16" s="14" t="s">
        <v>3</v>
      </c>
      <c r="I16" s="1"/>
    </row>
    <row r="17" spans="1:9" x14ac:dyDescent="0.25">
      <c r="A17" s="1"/>
      <c r="B17" s="101" t="s">
        <v>101</v>
      </c>
      <c r="C17" s="102"/>
      <c r="D17" s="102"/>
      <c r="E17" s="102"/>
      <c r="F17" s="103"/>
      <c r="G17" s="47">
        <v>256362.2324270159</v>
      </c>
      <c r="H17" s="14" t="s">
        <v>3</v>
      </c>
      <c r="I17" s="1"/>
    </row>
    <row r="18" spans="1:9" x14ac:dyDescent="0.25">
      <c r="A18" s="1"/>
      <c r="B18" s="104" t="s">
        <v>58</v>
      </c>
      <c r="C18" s="105"/>
      <c r="D18" s="105"/>
      <c r="E18" s="105"/>
      <c r="F18" s="106"/>
      <c r="G18" s="47">
        <v>703282.91445135348</v>
      </c>
      <c r="H18" s="14" t="s">
        <v>3</v>
      </c>
      <c r="I18" s="1"/>
    </row>
    <row r="19" spans="1:9" x14ac:dyDescent="0.25">
      <c r="A19" s="1"/>
      <c r="B19" s="101" t="s">
        <v>59</v>
      </c>
      <c r="C19" s="102"/>
      <c r="D19" s="102"/>
      <c r="E19" s="102"/>
      <c r="F19" s="103"/>
      <c r="G19" s="22">
        <f>(G16+G17+G18)*'Fane 13. Nøgletal'!C23</f>
        <v>116914.50987512531</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13546668.840886712</v>
      </c>
      <c r="H23" s="14" t="s">
        <v>3</v>
      </c>
      <c r="I23" s="1"/>
    </row>
    <row r="24" spans="1:9" x14ac:dyDescent="0.25">
      <c r="A24" s="1"/>
      <c r="B24" s="104" t="s">
        <v>62</v>
      </c>
      <c r="C24" s="105"/>
      <c r="D24" s="105"/>
      <c r="E24" s="105"/>
      <c r="F24" s="106"/>
      <c r="G24" s="47">
        <v>603819.98699719226</v>
      </c>
      <c r="H24" s="14" t="s">
        <v>3</v>
      </c>
      <c r="I24" s="1"/>
    </row>
    <row r="25" spans="1:9" x14ac:dyDescent="0.25">
      <c r="A25" s="1"/>
      <c r="B25" s="101" t="s">
        <v>63</v>
      </c>
      <c r="C25" s="102"/>
      <c r="D25" s="102"/>
      <c r="E25" s="102"/>
      <c r="F25" s="103"/>
      <c r="G25" s="22">
        <f>G23*'Fane 13. Nøgletal'!C23+G24*'Fane 13. Nøgletal'!C24</f>
        <v>135004.50654643466</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14186473.230057787</v>
      </c>
      <c r="H29" s="14" t="s">
        <v>3</v>
      </c>
      <c r="I29" s="1"/>
    </row>
    <row r="30" spans="1:9" x14ac:dyDescent="0.25">
      <c r="A30" s="1"/>
      <c r="B30" s="101" t="s">
        <v>113</v>
      </c>
      <c r="C30" s="102"/>
      <c r="D30" s="102"/>
      <c r="E30" s="102"/>
      <c r="F30" s="103"/>
      <c r="G30" s="47">
        <v>255155.69221127999</v>
      </c>
      <c r="H30" s="14" t="s">
        <v>3</v>
      </c>
      <c r="I30" s="1"/>
    </row>
    <row r="31" spans="1:9" x14ac:dyDescent="0.25">
      <c r="A31" s="1"/>
      <c r="B31" s="101" t="s">
        <v>120</v>
      </c>
      <c r="C31" s="102"/>
      <c r="D31" s="102"/>
      <c r="E31" s="102"/>
      <c r="F31" s="103"/>
      <c r="G31" s="22">
        <f>(G29+G30)*'Fane 13. Nøgletal'!C25</f>
        <v>397144.79536239937</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14215826.833254928</v>
      </c>
      <c r="H35" s="14" t="s">
        <v>3</v>
      </c>
      <c r="I35" s="1"/>
    </row>
    <row r="36" spans="1:9" x14ac:dyDescent="0.25">
      <c r="A36" s="1"/>
      <c r="B36" s="101" t="s">
        <v>129</v>
      </c>
      <c r="C36" s="102"/>
      <c r="D36" s="102"/>
      <c r="E36" s="102"/>
      <c r="F36" s="103"/>
      <c r="G36" s="22">
        <v>3299922.1501425002</v>
      </c>
      <c r="H36" s="14" t="s">
        <v>3</v>
      </c>
      <c r="I36" s="1"/>
    </row>
    <row r="37" spans="1:9" x14ac:dyDescent="0.25">
      <c r="A37" s="1"/>
      <c r="B37" s="101" t="s">
        <v>125</v>
      </c>
      <c r="C37" s="102"/>
      <c r="D37" s="102"/>
      <c r="E37" s="102"/>
      <c r="F37" s="103"/>
      <c r="G37" s="22">
        <f>G35*'Fane 13. Nøgletal'!C25+G36*'Fane 13. Nøgletal'!C26</f>
        <v>439774.08573661954</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17683879.604017533</v>
      </c>
      <c r="H41" s="14" t="s">
        <v>3</v>
      </c>
      <c r="I41" s="1"/>
    </row>
    <row r="42" spans="1:9" x14ac:dyDescent="0.25">
      <c r="A42" s="1"/>
      <c r="B42" s="101" t="s">
        <v>169</v>
      </c>
      <c r="C42" s="102"/>
      <c r="D42" s="102"/>
      <c r="E42" s="102"/>
      <c r="F42" s="103"/>
      <c r="G42" s="9">
        <v>11456283.066812051</v>
      </c>
      <c r="H42" s="14" t="s">
        <v>3</v>
      </c>
      <c r="I42" s="1"/>
    </row>
    <row r="43" spans="1:9" x14ac:dyDescent="0.25">
      <c r="A43" s="1"/>
      <c r="B43" s="101" t="s">
        <v>65</v>
      </c>
      <c r="C43" s="102"/>
      <c r="D43" s="102"/>
      <c r="E43" s="102"/>
      <c r="F43" s="103"/>
      <c r="G43" s="63">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30177552.461911123</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5125337.9568720451</v>
      </c>
      <c r="H48" s="14" t="s">
        <v>3</v>
      </c>
      <c r="I48" s="1"/>
    </row>
    <row r="49" spans="1:9" x14ac:dyDescent="0.25">
      <c r="A49" s="1"/>
      <c r="B49" s="101" t="s">
        <v>211</v>
      </c>
      <c r="C49" s="102"/>
      <c r="D49" s="102"/>
      <c r="E49" s="102"/>
      <c r="F49" s="103"/>
      <c r="G49" s="63">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38155363.964620844</v>
      </c>
      <c r="H53" s="14" t="s">
        <v>3</v>
      </c>
      <c r="I53" s="1"/>
    </row>
    <row r="54" spans="1:9" x14ac:dyDescent="0.25">
      <c r="A54" s="1"/>
      <c r="B54" s="101" t="s">
        <v>132</v>
      </c>
      <c r="C54" s="102"/>
      <c r="D54" s="102"/>
      <c r="E54" s="102"/>
      <c r="F54" s="103"/>
      <c r="G54" s="63">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41238317.372962207</v>
      </c>
      <c r="H58" s="14" t="s">
        <v>3</v>
      </c>
      <c r="I58" s="1"/>
    </row>
    <row r="59" spans="1:9" x14ac:dyDescent="0.25">
      <c r="A59" s="1"/>
      <c r="B59" s="101" t="s">
        <v>149</v>
      </c>
      <c r="C59" s="102"/>
      <c r="D59" s="102"/>
      <c r="E59" s="102"/>
      <c r="F59" s="103"/>
      <c r="G59" s="63">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44570373.416697554</v>
      </c>
      <c r="H63" s="14" t="s">
        <v>3</v>
      </c>
      <c r="I63" s="1"/>
    </row>
    <row r="64" spans="1:9" x14ac:dyDescent="0.25">
      <c r="A64" s="1"/>
      <c r="B64" s="101" t="s">
        <v>225</v>
      </c>
      <c r="C64" s="102"/>
      <c r="D64" s="102"/>
      <c r="E64" s="102"/>
      <c r="F64" s="103"/>
      <c r="G64" s="63">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qwNkDuhR+9udgc/ol5AX/9ykZKgU+m5VyYKUBj8IwES6s2ervZFZKYh5QVDpcvSvVIOr/M/LZ3oQSRQ2GJwR0w==" saltValue="cZ9iH/M9ARo/odBERRoHXA=="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51">
        <v>0.02</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3Q8z3qRoX6r+VZXGIMjO4U+nMwFeU1Db/PnkFkN6p7pEv4JwRrTUTxXOu652VWfMz7rIlpQcKjNgqinC0Ox6Kw==" saltValue="AFzjVfa6BJEtx7urPAMhZg=="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2023-11-14T17:09:15Z</dcterms:modified>
</cp:coreProperties>
</file>