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orsyning Helsingør Spildevand AS (S02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28" i="32" s="1"/>
  <c r="C32" i="2" s="1"/>
  <c r="E32" i="32" l="1"/>
  <c r="E34" i="32" s="1"/>
  <c r="C13" i="19"/>
  <c r="C20" i="23" l="1"/>
  <c r="C20" i="22"/>
  <c r="C20" i="15"/>
  <c r="E34" i="27"/>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<sst xmlns="http://schemas.openxmlformats.org/spreadsheetml/2006/main" count="605" uniqueCount="288">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</sst>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DY4tXuNnbp2bXpmLTc32hbKeZoL8lIeb2s7EVwdy8tStHXxT2lE488anTFw6Df7bpkxXFkaJHb/bbFJHXfmOgA==" saltValue="OC5CU6rs7Qv6Mx6OBr5DU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2292529</v>
      </c>
      <c r="D10" s="14" t="s">
        <v>3</v>
      </c>
      <c r="E10" s="1"/>
      <c r="F10" s="1"/>
    </row>
    <row r="11" spans="1:6" x14ac:dyDescent="0.25">
      <c r="A11" s="1"/>
      <c r="B11" s="94" t="s">
        <v>266</v>
      </c>
      <c r="C11" s="9">
        <v>134444</v>
      </c>
      <c r="D11" s="14" t="s">
        <v>3</v>
      </c>
      <c r="E11" s="1"/>
      <c r="F11" s="1"/>
    </row>
    <row r="12" spans="1:6" x14ac:dyDescent="0.25">
      <c r="A12" s="1"/>
      <c r="B12" s="94" t="s">
        <v>267</v>
      </c>
      <c r="C12" s="9">
        <v>11903</v>
      </c>
      <c r="D12" s="14" t="s">
        <v>3</v>
      </c>
      <c r="E12" s="1"/>
      <c r="F12" s="1"/>
    </row>
    <row r="13" spans="1:6" x14ac:dyDescent="0.25">
      <c r="A13" s="1"/>
      <c r="B13" s="32" t="s">
        <v>200</v>
      </c>
      <c r="C13" s="12">
        <f>SUM(C10:C12)</f>
        <v>2438876</v>
      </c>
      <c r="D13" s="13" t="s">
        <v>3</v>
      </c>
      <c r="E13" s="1"/>
      <c r="F13" s="1"/>
    </row>
    <row r="14" spans="1:6" x14ac:dyDescent="0.25">
      <c r="A14" s="1"/>
      <c r="B14" s="32" t="s">
        <v>201</v>
      </c>
      <c r="C14" s="12">
        <f>C13*(1+'Fane 15. Nøgletal'!C15)^2</f>
        <v>2615614.9050873602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7" t="s">
        <v>117</v>
      </c>
      <c r="C17" s="128"/>
      <c r="D17" s="129"/>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27"/>
      <c r="C22" s="128"/>
      <c r="D22" s="129"/>
      <c r="E22" s="1"/>
      <c r="F22" s="1"/>
    </row>
    <row r="23" spans="1:6" x14ac:dyDescent="0.25">
      <c r="A23" s="1"/>
      <c r="B23" s="1"/>
      <c r="C23" s="1"/>
      <c r="D23" s="1"/>
      <c r="E23" s="1"/>
      <c r="F23" s="1"/>
    </row>
    <row r="24" spans="1:6" x14ac:dyDescent="0.25">
      <c r="A24" s="1"/>
      <c r="B24" s="1"/>
      <c r="C24" s="1"/>
      <c r="D24" s="1"/>
      <c r="E24" s="1"/>
      <c r="F24" s="1"/>
    </row>
    <row r="25" spans="1:6" x14ac:dyDescent="0.25">
      <c r="A25" s="1"/>
      <c r="B25" s="127" t="s">
        <v>98</v>
      </c>
      <c r="C25" s="128"/>
      <c r="D25" s="129"/>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27"/>
      <c r="C30" s="128"/>
      <c r="D30" s="129"/>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ZMCuIdtFMfWS3T+OvNN/OKVBoflkdHlmk6ELWSDSC9bbSnAS4NJSBe+NkbZfgNHOJVCdTbiMAfb10Q50eLbFog==" saltValue="3NyGGKxXvr3ZmQX3/xKak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-5157322.6567383707</v>
      </c>
      <c r="F9" s="14" t="s">
        <v>3</v>
      </c>
      <c r="G9" s="1"/>
    </row>
    <row r="10" spans="1:7" x14ac:dyDescent="0.25">
      <c r="A10" s="1"/>
      <c r="B10" s="137" t="s">
        <v>263</v>
      </c>
      <c r="C10" s="138"/>
      <c r="D10" s="139"/>
      <c r="E10" s="9">
        <v>0</v>
      </c>
      <c r="F10" s="14" t="s">
        <v>3</v>
      </c>
      <c r="G10" s="1"/>
    </row>
    <row r="11" spans="1:7" x14ac:dyDescent="0.25">
      <c r="A11" s="1"/>
      <c r="B11" s="32"/>
      <c r="C11" s="27"/>
      <c r="D11" s="27"/>
      <c r="E11" s="27"/>
      <c r="F11" s="19"/>
      <c r="G11" s="1"/>
    </row>
    <row r="12" spans="1:7" ht="67.5" customHeight="1" x14ac:dyDescent="0.25">
      <c r="A12" s="1"/>
      <c r="B12" s="130" t="s">
        <v>286</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280</v>
      </c>
      <c r="C15" s="138"/>
      <c r="D15" s="139"/>
      <c r="E15" s="9">
        <v>0</v>
      </c>
      <c r="F15" s="14" t="s">
        <v>3</v>
      </c>
      <c r="G15" s="1"/>
    </row>
    <row r="16" spans="1:7" x14ac:dyDescent="0.25">
      <c r="A16" s="1"/>
      <c r="B16" s="137" t="s">
        <v>281</v>
      </c>
      <c r="C16" s="138"/>
      <c r="D16" s="139"/>
      <c r="E16" s="9">
        <v>0</v>
      </c>
      <c r="F16" s="14" t="s">
        <v>3</v>
      </c>
      <c r="G16" s="1"/>
    </row>
    <row r="17" spans="1:7" x14ac:dyDescent="0.25">
      <c r="A17" s="1"/>
      <c r="B17" s="32"/>
      <c r="C17" s="27"/>
      <c r="D17" s="27"/>
      <c r="E17" s="27"/>
      <c r="F17" s="19"/>
      <c r="G17" s="1"/>
    </row>
    <row r="18" spans="1:7" ht="31.5" customHeight="1" x14ac:dyDescent="0.25">
      <c r="A18" s="1"/>
      <c r="B18" s="130" t="s">
        <v>287</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102255308.16263397</v>
      </c>
      <c r="F21" s="14" t="s">
        <v>3</v>
      </c>
      <c r="G21" s="1"/>
    </row>
    <row r="22" spans="1:7" x14ac:dyDescent="0.25">
      <c r="A22" s="1"/>
      <c r="B22" s="91" t="s">
        <v>207</v>
      </c>
      <c r="C22" s="92"/>
      <c r="D22" s="93"/>
      <c r="E22" s="9">
        <v>100810565</v>
      </c>
      <c r="F22" s="14" t="s">
        <v>3</v>
      </c>
      <c r="G22" s="1"/>
    </row>
    <row r="23" spans="1:7" x14ac:dyDescent="0.25">
      <c r="A23" s="1"/>
      <c r="B23" s="91" t="s">
        <v>33</v>
      </c>
      <c r="C23" s="92"/>
      <c r="D23" s="93"/>
      <c r="E23" s="9">
        <v>424000</v>
      </c>
      <c r="F23" s="14" t="s">
        <v>3</v>
      </c>
      <c r="G23" s="1"/>
    </row>
    <row r="24" spans="1:7" x14ac:dyDescent="0.25">
      <c r="A24" s="1"/>
      <c r="B24" s="89" t="s">
        <v>268</v>
      </c>
      <c r="C24" s="90"/>
      <c r="D24" s="96"/>
      <c r="E24" s="72">
        <f>E21-(E22-E23)</f>
        <v>1868743.1626339704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282</v>
      </c>
      <c r="C27" s="128"/>
      <c r="D27" s="128"/>
      <c r="E27" s="128"/>
      <c r="F27" s="129"/>
      <c r="G27" s="1"/>
    </row>
    <row r="28" spans="1:7" x14ac:dyDescent="0.25">
      <c r="A28" s="1"/>
      <c r="B28" s="133" t="s">
        <v>283</v>
      </c>
      <c r="C28" s="134"/>
      <c r="D28" s="157"/>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0" t="s">
        <v>143</v>
      </c>
      <c r="C32" s="151"/>
      <c r="D32" s="152"/>
      <c r="E32" s="74">
        <f>IF(AND(E9&gt;0,(E9+E24)&gt;0),0,IF(AND(E9&gt;0,(E9+E24)&lt;0),(E9+E24),IF(AND(E9&lt;0,E24&lt;0),E24,0)))</f>
        <v>0</v>
      </c>
      <c r="F32" s="14" t="s">
        <v>3</v>
      </c>
      <c r="G32" s="1"/>
    </row>
    <row r="33" spans="1:7" x14ac:dyDescent="0.25">
      <c r="A33" s="1"/>
      <c r="B33" s="150" t="s">
        <v>102</v>
      </c>
      <c r="C33" s="151"/>
      <c r="D33" s="152"/>
      <c r="E33" s="9">
        <v>4</v>
      </c>
      <c r="F33" s="14" t="s">
        <v>20</v>
      </c>
      <c r="G33" s="1"/>
    </row>
    <row r="34" spans="1:7" x14ac:dyDescent="0.25">
      <c r="A34" s="1"/>
      <c r="B34" s="153" t="s">
        <v>144</v>
      </c>
      <c r="C34" s="153"/>
      <c r="D34" s="153"/>
      <c r="E34" s="73">
        <f>E32/E33</f>
        <v>0</v>
      </c>
      <c r="F34" s="17" t="s">
        <v>3</v>
      </c>
      <c r="G34" s="1"/>
    </row>
    <row r="35" spans="1:7" x14ac:dyDescent="0.25">
      <c r="A35" s="1"/>
      <c r="B35" s="154"/>
      <c r="C35" s="155"/>
      <c r="D35" s="155"/>
      <c r="E35" s="155"/>
      <c r="F35" s="15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9"/>
      <c r="C39" s="49"/>
      <c r="D39" s="49"/>
      <c r="E39" s="49"/>
      <c r="F39" s="49"/>
    </row>
    <row r="40" spans="1:7" x14ac:dyDescent="0.25">
      <c r="A40" s="49"/>
      <c r="B40" s="49"/>
      <c r="C40" s="49"/>
      <c r="D40" s="49"/>
      <c r="E40" s="49"/>
      <c r="F40" s="49"/>
      <c r="G40" s="49"/>
    </row>
    <row r="41" spans="1:7" x14ac:dyDescent="0.25">
      <c r="A41" s="49"/>
      <c r="B41" s="49"/>
      <c r="C41" s="49"/>
      <c r="D41" s="49"/>
      <c r="E41" s="49"/>
      <c r="F41" s="49"/>
      <c r="G41" s="49"/>
    </row>
  </sheetData>
  <sheetProtection algorithmName="SHA-512" hashValue="DuYe+vgRtVfkhN4iQmoQ4JlWWCvvgLGEdOAta67p/Aax4x6BYnHaENlgco+7S8nOyrmHY2ifVynLiZmkrDz4cQ==" saltValue="7Ht3XjUoskeDSodC8q2sK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8" t="s">
        <v>271</v>
      </c>
      <c r="C10" s="159"/>
      <c r="D10" s="159"/>
      <c r="E10" s="159"/>
      <c r="F10" s="160"/>
      <c r="G10" s="9">
        <v>0</v>
      </c>
      <c r="H10" s="9" t="s">
        <v>3</v>
      </c>
      <c r="I10" s="1"/>
    </row>
    <row r="11" spans="1:9" x14ac:dyDescent="0.25">
      <c r="A11" s="1"/>
      <c r="B11" s="158" t="s">
        <v>272</v>
      </c>
      <c r="C11" s="159"/>
      <c r="D11" s="159"/>
      <c r="E11" s="159"/>
      <c r="F11" s="160"/>
      <c r="G11" s="9">
        <v>0</v>
      </c>
      <c r="H11" s="9" t="s">
        <v>3</v>
      </c>
      <c r="I11" s="1"/>
    </row>
    <row r="12" spans="1:9" x14ac:dyDescent="0.25">
      <c r="A12" s="1"/>
      <c r="B12" s="158" t="s">
        <v>273</v>
      </c>
      <c r="C12" s="159"/>
      <c r="D12" s="159"/>
      <c r="E12" s="159"/>
      <c r="F12" s="160"/>
      <c r="G12" s="9">
        <v>0</v>
      </c>
      <c r="H12" s="9" t="s">
        <v>3</v>
      </c>
      <c r="I12" s="1"/>
    </row>
    <row r="13" spans="1:9" x14ac:dyDescent="0.25">
      <c r="A13" s="1"/>
      <c r="B13" s="158" t="s">
        <v>274</v>
      </c>
      <c r="C13" s="159"/>
      <c r="D13" s="159"/>
      <c r="E13" s="159"/>
      <c r="F13" s="160"/>
      <c r="G13" s="9">
        <v>0</v>
      </c>
      <c r="H13" s="9" t="s">
        <v>3</v>
      </c>
      <c r="I13" s="1"/>
    </row>
    <row r="14" spans="1:9" x14ac:dyDescent="0.25">
      <c r="A14" s="1"/>
      <c r="B14" s="158" t="s">
        <v>275</v>
      </c>
      <c r="C14" s="159"/>
      <c r="D14" s="159"/>
      <c r="E14" s="159"/>
      <c r="F14" s="160"/>
      <c r="G14" s="9">
        <v>0</v>
      </c>
      <c r="H14" s="9" t="s">
        <v>3</v>
      </c>
      <c r="I14" s="1"/>
    </row>
    <row r="15" spans="1:9" x14ac:dyDescent="0.25">
      <c r="A15" s="1"/>
      <c r="B15" s="158" t="s">
        <v>276</v>
      </c>
      <c r="C15" s="159"/>
      <c r="D15" s="159"/>
      <c r="E15" s="159"/>
      <c r="F15" s="160"/>
      <c r="G15" s="9">
        <v>0</v>
      </c>
      <c r="H15" s="9" t="s">
        <v>3</v>
      </c>
      <c r="I15" s="1"/>
    </row>
    <row r="16" spans="1:9" x14ac:dyDescent="0.25">
      <c r="A16" s="1"/>
      <c r="B16" s="158" t="s">
        <v>277</v>
      </c>
      <c r="C16" s="159"/>
      <c r="D16" s="159"/>
      <c r="E16" s="159"/>
      <c r="F16" s="160"/>
      <c r="G16" s="9">
        <v>0</v>
      </c>
      <c r="H16" s="9" t="s">
        <v>3</v>
      </c>
      <c r="I16" s="1"/>
    </row>
    <row r="17" spans="1:9" x14ac:dyDescent="0.25">
      <c r="A17" s="1"/>
      <c r="B17" s="158" t="s">
        <v>278</v>
      </c>
      <c r="C17" s="159"/>
      <c r="D17" s="159"/>
      <c r="E17" s="159"/>
      <c r="F17" s="160"/>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zxvL2B3YZww+tvNynIydCnHDdhQ89sPjhghAhOrAe1cvzOOeJBHg9aOvmFkRv+EYmStevvGMxCVSzoeTucxBBg==" saltValue="33O8aWR/dTyqE6mvejUBRQ=="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7"/>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0</v>
      </c>
      <c r="F14" s="8" t="s">
        <v>3</v>
      </c>
      <c r="G14" s="1"/>
    </row>
    <row r="15" spans="1:7" x14ac:dyDescent="0.25">
      <c r="A15" s="1"/>
      <c r="B15" s="130" t="s">
        <v>211</v>
      </c>
      <c r="C15" s="131"/>
      <c r="D15" s="132"/>
      <c r="E15" s="9">
        <v>0</v>
      </c>
      <c r="F15" s="8" t="s">
        <v>3</v>
      </c>
      <c r="G15" s="1"/>
    </row>
    <row r="16" spans="1:7" x14ac:dyDescent="0.25">
      <c r="A16" s="1"/>
      <c r="B16" s="133" t="s">
        <v>101</v>
      </c>
      <c r="C16" s="134"/>
      <c r="D16" s="157"/>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Yzc/yXrUcFT/hWSx7ECNHrFZfGUTo59FNZZNNN1Z3hgu+T+44VhTe40c99o5xej/Ye7w3FlWZ6bUtOFonZ1Ig==" saltValue="Ru9n9ifrE9PZo6+YCqLh4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xhk50PZhRXFeusPOzirVK1l4m2p4mgeHk55UqH+Jf05Fyi7INoQkyl0IMucJcWgNZ8kpmnGffDHycnVtnLJKA==" saltValue="IHUBD4vk+JG6p5gTwn0ui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158034</v>
      </c>
      <c r="D11" s="14" t="s">
        <v>3</v>
      </c>
      <c r="E11" s="9">
        <v>49612</v>
      </c>
      <c r="F11" s="14" t="s">
        <v>3</v>
      </c>
      <c r="G11" s="1"/>
    </row>
    <row r="12" spans="1:7" x14ac:dyDescent="0.25">
      <c r="A12" s="1"/>
      <c r="B12" s="32" t="s">
        <v>156</v>
      </c>
      <c r="C12" s="12">
        <f>SUM(C10:C11)</f>
        <v>158034</v>
      </c>
      <c r="D12" s="13" t="s">
        <v>3</v>
      </c>
      <c r="E12" s="12">
        <f>SUM(E10:E11)</f>
        <v>49612</v>
      </c>
      <c r="F12" s="13" t="s">
        <v>3</v>
      </c>
      <c r="G12" s="1"/>
    </row>
    <row r="13" spans="1:7" x14ac:dyDescent="0.25">
      <c r="A13" s="1"/>
      <c r="B13" s="32" t="s">
        <v>213</v>
      </c>
      <c r="C13" s="12">
        <f>C12*(1+'Fane 15. Nøgletal'!C15)</f>
        <v>163660.0104</v>
      </c>
      <c r="D13" s="13" t="s">
        <v>3</v>
      </c>
      <c r="E13" s="12">
        <f>E12*(1+'Fane 15. Nøgletal'!C15)</f>
        <v>51378.1872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6HgwPDLgjtinR3awbGz0DvVoBKjurL3G9RAYG7UkjX76euNcO0i8SHsBd/EqLHOCQN5cZaDAxvrQi9xTL5QHg==" saltValue="Agz5cp6QEUGjWjcaRka8z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284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rqBn2MxZFEg+xW6I/eyokQWp3qK9EmmYUO623wJ7VPr3RDN52o49BSpRn5Z/YLNg0F2rvChJKLnaBfqmSS9Cew==" saltValue="VGZ0u0g9gvldA7q8vmo7E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8" t="s">
        <v>224</v>
      </c>
      <c r="C10" s="159"/>
      <c r="D10" s="160"/>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8" t="s">
        <v>224</v>
      </c>
      <c r="C16" s="159"/>
      <c r="D16" s="160"/>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8" t="s">
        <v>224</v>
      </c>
      <c r="C22" s="159"/>
      <c r="D22" s="160"/>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8" t="s">
        <v>224</v>
      </c>
      <c r="C28" s="159"/>
      <c r="D28" s="160"/>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hQZgCs88GPr9oLnP7sJs1wfgaOESOeYP8s5BVZe8bMRSDuq6XNuixyYvrB3WPE/xmXd1fDs+fPs9xCHVpwacw==" saltValue="dasPSpGXd5sOaBGrtJA4j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SgVbXQvDHccosORL77ovqkwBdO5NOwGjEaFQYtcjbJyElIxP6ZJGWSQLDopddDJUbGhFeG8CXRJpt3yVCoYBg==" saltValue="y0nyW5klBBDqtZm2xt3k4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1mji1J+dwIRrS7weshhOp3Pk26vPBO8SLTvjVM7O8eOUsnvWYoj5VN/l4pX5PTYWCzwJqKY9XIeeWkEp7GghVw==" saltValue="dCDE0QH3O3hbLWIB/omeb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99126441.480499879</v>
      </c>
      <c r="D9" s="8" t="s">
        <v>3</v>
      </c>
      <c r="E9" s="1"/>
    </row>
    <row r="10" spans="1:5" ht="17.25" customHeight="1" x14ac:dyDescent="0.25">
      <c r="A10" s="1"/>
      <c r="B10" s="83" t="s">
        <v>39</v>
      </c>
      <c r="C10" s="7">
        <f>'Fane 11.1. Varige tillæg'!C13</f>
        <v>163660.0104</v>
      </c>
      <c r="D10" s="8" t="s">
        <v>3</v>
      </c>
      <c r="E10" s="1"/>
    </row>
    <row r="11" spans="1:5" ht="17.25" customHeight="1" x14ac:dyDescent="0.25">
      <c r="A11" s="1"/>
      <c r="B11" s="83" t="s">
        <v>40</v>
      </c>
      <c r="C11" s="9">
        <f>'Fane 11.1. Varige tillæg'!E13</f>
        <v>51378.1872</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334772.6167202096</v>
      </c>
      <c r="D16" s="8" t="s">
        <v>3</v>
      </c>
      <c r="E16" s="1"/>
    </row>
    <row r="17" spans="1:5" ht="17.25" customHeight="1" x14ac:dyDescent="0.25">
      <c r="A17" s="1"/>
      <c r="B17" s="83" t="s">
        <v>10</v>
      </c>
      <c r="C17" s="44">
        <f>-SUM(C9,C10:C16)*'Fane 5. Individuelt eff. krav'!G9</f>
        <v>-1338038.8641779027</v>
      </c>
      <c r="D17" s="8" t="s">
        <v>3</v>
      </c>
      <c r="E17" s="1"/>
    </row>
    <row r="18" spans="1:5" ht="17.25" customHeight="1" x14ac:dyDescent="0.25">
      <c r="A18" s="1"/>
      <c r="B18" s="83" t="s">
        <v>24</v>
      </c>
      <c r="C18" s="44">
        <f>-'Fane 4.1. Gen. krav - drift'!G45</f>
        <v>-899424.1302270547</v>
      </c>
      <c r="D18" s="8" t="s">
        <v>3</v>
      </c>
      <c r="E18" s="1"/>
    </row>
    <row r="19" spans="1:5" ht="17.25" customHeight="1" x14ac:dyDescent="0.25">
      <c r="A19" s="1"/>
      <c r="B19" s="83" t="s">
        <v>25</v>
      </c>
      <c r="C19" s="44">
        <f>-'Fane 4.2. Gen. krav - anlæg'!G43</f>
        <v>-937029.93372321071</v>
      </c>
      <c r="D19" s="8" t="s">
        <v>3</v>
      </c>
      <c r="E19" s="48"/>
    </row>
    <row r="20" spans="1:5" ht="17.25" customHeight="1" x14ac:dyDescent="0.25">
      <c r="A20" s="1"/>
      <c r="B20" s="89" t="s">
        <v>21</v>
      </c>
      <c r="C20" s="10">
        <f>SUM(C9:C19)</f>
        <v>96501759.366691917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2615614.9050873602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99117374.271779284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Ubf2YfJgQKAhTZ/zQ/OLZUbmqZ0ErYpE0keh9hG4U0vrb7df9qkZD1pZ4sscRvXEvmiQGbKzzNnXL1xtFPg2Rg==" saltValue="laJhFjjK+6ts9N85SAZIz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rNsMSM99YYEITmyEr1g0SHbDclC8YxnCYMRT7rRQ6NKm2jei/UBncrBvt6EEnRiyiJ1LYcnLp4B2/GNZy/dmoQ==" saltValue="N38/sLAEPmL9JKnnYnysH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96501759.366691917</v>
      </c>
      <c r="D9" s="8" t="s">
        <v>3</v>
      </c>
      <c r="E9" s="1"/>
    </row>
    <row r="10" spans="1:5" ht="15" customHeight="1" x14ac:dyDescent="0.25">
      <c r="A10" s="1"/>
      <c r="B10" s="25" t="s">
        <v>19</v>
      </c>
      <c r="C10" s="7">
        <f>SUM(C9:C9)*'Fane 15. Nøgletal'!C15</f>
        <v>3435462.633454232</v>
      </c>
      <c r="D10" s="8" t="s">
        <v>3</v>
      </c>
      <c r="E10" s="1"/>
    </row>
    <row r="11" spans="1:5" ht="15" customHeight="1" x14ac:dyDescent="0.25">
      <c r="A11" s="1"/>
      <c r="B11" s="25" t="s">
        <v>10</v>
      </c>
      <c r="C11" s="9">
        <f>-SUM(C9:C10)*'Fane 5. Individuelt eff. krav'!G9</f>
        <v>-1341542.0818457028</v>
      </c>
      <c r="D11" s="8" t="s">
        <v>3</v>
      </c>
      <c r="E11" s="1"/>
    </row>
    <row r="12" spans="1:5" ht="15" customHeight="1" x14ac:dyDescent="0.25">
      <c r="A12" s="1"/>
      <c r="B12" s="25" t="s">
        <v>24</v>
      </c>
      <c r="C12" s="9">
        <f>-'Fane 4.1. Gen. krav - drift'!G53</f>
        <v>-912814.7566778753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97682865.161622569</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2708730.7957084705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100391595.95733105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69yRDdK3Sojbjk672hXSFz8/gmdvtVVtDavI0OmTGBsUTWSE32DFIaN1Dm15VAEqdLtcGPnZmCA5cIxVhFmLTg==" saltValue="7R0aiBK0S+WVBX3V7/KOl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97682865.161622569</v>
      </c>
      <c r="D9" s="8" t="s">
        <v>3</v>
      </c>
      <c r="E9" s="1"/>
    </row>
    <row r="10" spans="1:5" ht="15" customHeight="1" x14ac:dyDescent="0.25">
      <c r="A10" s="1"/>
      <c r="B10" s="25" t="s">
        <v>19</v>
      </c>
      <c r="C10" s="7">
        <f>SUM(C9:C9)*'Fane 15. Nøgletal'!C15</f>
        <v>3477509.9997537634</v>
      </c>
      <c r="D10" s="8" t="s">
        <v>3</v>
      </c>
      <c r="E10" s="1"/>
    </row>
    <row r="11" spans="1:5" ht="15" customHeight="1" x14ac:dyDescent="0.25">
      <c r="A11" s="1"/>
      <c r="B11" s="25" t="s">
        <v>10</v>
      </c>
      <c r="C11" s="9">
        <f>-SUM(C9:C10)*'Fane 5. Individuelt eff. krav'!G9</f>
        <v>-1357961.5040138564</v>
      </c>
      <c r="D11" s="8" t="s">
        <v>3</v>
      </c>
      <c r="E11" s="1"/>
    </row>
    <row r="12" spans="1:5" ht="15" customHeight="1" x14ac:dyDescent="0.25">
      <c r="A12" s="1"/>
      <c r="B12" s="25" t="s">
        <v>24</v>
      </c>
      <c r="C12" s="9">
        <f>-'Fane 4.1. Gen. krav - drift'!G58</f>
        <v>-926404.74277529551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98876008.914587185</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2805161.6120356922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101681170.52662288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953q4aza7aOG08ODp8MEzTfvtkoiUTIhP1wLIp5Ida+fOYovrJj0rtz7b47cW3H2zJuESOQJW1uVA0hbOLcNw==" saltValue="EV+0ExXHBzqZU7MsqMdiA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98876008.914587185</v>
      </c>
      <c r="D9" s="8" t="s">
        <v>3</v>
      </c>
      <c r="E9" s="1"/>
    </row>
    <row r="10" spans="1:5" ht="15" customHeight="1" x14ac:dyDescent="0.25">
      <c r="A10" s="1"/>
      <c r="B10" s="25" t="s">
        <v>19</v>
      </c>
      <c r="C10" s="7">
        <f>SUM(C9:C9)*'Fane 15. Nøgletal'!C15</f>
        <v>3519985.9173593037</v>
      </c>
      <c r="D10" s="8" t="s">
        <v>3</v>
      </c>
      <c r="E10" s="1"/>
    </row>
    <row r="11" spans="1:5" ht="15" customHeight="1" x14ac:dyDescent="0.25">
      <c r="A11" s="1"/>
      <c r="B11" s="25" t="s">
        <v>10</v>
      </c>
      <c r="C11" s="9">
        <f>-SUM(C9:C10)*'Fane 5. Individuelt eff. krav'!G9</f>
        <v>-1374548.2747090012</v>
      </c>
      <c r="D11" s="8" t="s">
        <v>3</v>
      </c>
      <c r="E11" s="1"/>
    </row>
    <row r="12" spans="1:5" ht="15" customHeight="1" x14ac:dyDescent="0.25">
      <c r="A12" s="1"/>
      <c r="B12" s="25" t="s">
        <v>24</v>
      </c>
      <c r="C12" s="9">
        <f>-'Fane 4.1. Gen. krav - drift'!G63</f>
        <v>-940197.05658573424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100081249.50065176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2905025.3654241627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102986274.86607592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t1p4ohS54z9cVT+OWTnRFxoQANKvwYhzE9uWY8JTO+p1u1oRVZV5538CFOJAMUJ8W4y9kEKNGb/kWUPeO9xIFg==" saltValue="Y/v7S3nXUr6S9JCSlluOR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0"/>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30" t="s">
        <v>192</v>
      </c>
      <c r="C9" s="131"/>
      <c r="D9" s="132"/>
      <c r="E9" s="7">
        <v>100231822.15453629</v>
      </c>
      <c r="F9" s="8" t="s">
        <v>3</v>
      </c>
      <c r="G9" s="1"/>
    </row>
    <row r="10" spans="1:7" ht="15" customHeight="1" x14ac:dyDescent="0.25">
      <c r="A10" s="1"/>
      <c r="B10" s="121" t="s">
        <v>39</v>
      </c>
      <c r="C10" s="122"/>
      <c r="D10" s="123"/>
      <c r="E10" s="7">
        <v>772584.14190000005</v>
      </c>
      <c r="F10" s="8" t="s">
        <v>3</v>
      </c>
      <c r="G10" s="1"/>
    </row>
    <row r="11" spans="1:7" ht="15" customHeight="1" x14ac:dyDescent="0.25">
      <c r="A11" s="1"/>
      <c r="B11" s="121" t="s">
        <v>40</v>
      </c>
      <c r="C11" s="122"/>
      <c r="D11" s="123"/>
      <c r="E11" s="9">
        <v>1018712.6946</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336676.29267041979</v>
      </c>
      <c r="F16" s="8" t="s">
        <v>3</v>
      </c>
      <c r="G16" s="1"/>
    </row>
    <row r="17" spans="1:7" ht="15" customHeight="1" x14ac:dyDescent="0.25">
      <c r="A17" s="1"/>
      <c r="B17" s="130" t="s">
        <v>10</v>
      </c>
      <c r="C17" s="131"/>
      <c r="D17" s="132"/>
      <c r="E17" s="9">
        <v>-1374062.33747425</v>
      </c>
      <c r="F17" s="8" t="s">
        <v>3</v>
      </c>
      <c r="G17" s="1"/>
    </row>
    <row r="18" spans="1:7" ht="15" customHeight="1" x14ac:dyDescent="0.25">
      <c r="A18" s="1"/>
      <c r="B18" s="130" t="s">
        <v>24</v>
      </c>
      <c r="C18" s="131"/>
      <c r="D18" s="132"/>
      <c r="E18" s="9">
        <f>-'Fane 4.1. Gen. krav - drift'!G39</f>
        <v>-911313.48599789036</v>
      </c>
      <c r="F18" s="8" t="s">
        <v>3</v>
      </c>
      <c r="G18" s="1"/>
    </row>
    <row r="19" spans="1:7" ht="15" customHeight="1" x14ac:dyDescent="0.25">
      <c r="A19" s="1"/>
      <c r="B19" s="130" t="s">
        <v>25</v>
      </c>
      <c r="C19" s="131"/>
      <c r="D19" s="132"/>
      <c r="E19" s="9">
        <f>-'Fane 4.2. Gen. krav - anlæg'!G37</f>
        <v>-947977.97973468981</v>
      </c>
      <c r="F19" s="8" t="s">
        <v>3</v>
      </c>
      <c r="G19" s="1"/>
    </row>
    <row r="20" spans="1:7" ht="15" customHeight="1" x14ac:dyDescent="0.25">
      <c r="A20" s="1"/>
      <c r="B20" s="54" t="s">
        <v>21</v>
      </c>
      <c r="C20" s="90"/>
      <c r="D20" s="96"/>
      <c r="E20" s="51">
        <f>SUM(E9:E19)</f>
        <v>99126441.480499879</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1963834.4299039303</v>
      </c>
      <c r="F22" s="11" t="s">
        <v>3</v>
      </c>
      <c r="G22" s="1"/>
    </row>
    <row r="23" spans="1:7" ht="15" customHeight="1" x14ac:dyDescent="0.25">
      <c r="A23" s="1"/>
      <c r="B23" s="127" t="s">
        <v>86</v>
      </c>
      <c r="C23" s="128"/>
      <c r="D23" s="129"/>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0</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0</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101090275.9104038</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EJ5lHz7UbP31D5ktQEC4LnGGYTMljFdfwM814e9jakbqN44XTy5YpnCRjOPf9S6RcwmZIvOPoWNsXguEltj6tw==" saltValue="h+k/s9a33SlPbEb9ZjDIh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43844294.323008828</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876885.88646017655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43719338.084188253</v>
      </c>
      <c r="H11" s="14" t="s">
        <v>3</v>
      </c>
      <c r="I11" s="1"/>
    </row>
    <row r="12" spans="1:9" ht="15" customHeight="1" x14ac:dyDescent="0.25">
      <c r="A12" s="1"/>
      <c r="B12" s="137" t="s">
        <v>121</v>
      </c>
      <c r="C12" s="138"/>
      <c r="D12" s="138"/>
      <c r="E12" s="138"/>
      <c r="F12" s="139"/>
      <c r="G12" s="77">
        <v>1978.4107200033964</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874426.32989816519</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43596710.742897771</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871934.21485795546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43566454.625642203</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871329.09251284413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43536219.506132007</v>
      </c>
      <c r="H31" s="14" t="s">
        <v>3</v>
      </c>
      <c r="I31" s="1"/>
    </row>
    <row r="32" spans="1:9" x14ac:dyDescent="0.25">
      <c r="A32" s="1"/>
      <c r="B32" s="137" t="s">
        <v>137</v>
      </c>
      <c r="C32" s="138"/>
      <c r="D32" s="138"/>
      <c r="E32" s="138"/>
      <c r="F32" s="139"/>
      <c r="G32" s="76">
        <v>2018084.5866131999</v>
      </c>
      <c r="H32" s="14" t="s">
        <v>3</v>
      </c>
      <c r="I32" s="1"/>
    </row>
    <row r="33" spans="1:9" x14ac:dyDescent="0.25">
      <c r="A33" s="1"/>
      <c r="B33" s="137" t="s">
        <v>60</v>
      </c>
      <c r="C33" s="138"/>
      <c r="D33" s="138"/>
      <c r="E33" s="138"/>
      <c r="F33" s="139"/>
      <c r="G33" s="76">
        <f>(G31+G32)*'Fane 15. Nøgletal'!C31</f>
        <v>911086.08185490419</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44790540.630326249</v>
      </c>
      <c r="H37" s="14" t="s">
        <v>3</v>
      </c>
      <c r="I37" s="1"/>
    </row>
    <row r="38" spans="1:9" x14ac:dyDescent="0.25">
      <c r="A38" s="1"/>
      <c r="B38" s="137" t="s">
        <v>164</v>
      </c>
      <c r="C38" s="138"/>
      <c r="D38" s="138"/>
      <c r="E38" s="138"/>
      <c r="F38" s="139"/>
      <c r="G38" s="76">
        <v>775133.6695682701</v>
      </c>
      <c r="H38" s="14" t="s">
        <v>3</v>
      </c>
      <c r="I38" s="1"/>
    </row>
    <row r="39" spans="1:9" x14ac:dyDescent="0.25">
      <c r="A39" s="1"/>
      <c r="B39" s="137" t="s">
        <v>162</v>
      </c>
      <c r="C39" s="138"/>
      <c r="D39" s="138"/>
      <c r="E39" s="138"/>
      <c r="F39" s="139"/>
      <c r="G39" s="76">
        <f>(G37+G38)*'Fane 15. Nøgletal'!C31</f>
        <v>911313.48599789036</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44801720.20458249</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169486.30677024001</v>
      </c>
      <c r="H44" s="14" t="s">
        <v>3</v>
      </c>
      <c r="I44" s="1"/>
    </row>
    <row r="45" spans="1:9" x14ac:dyDescent="0.25">
      <c r="A45" s="1"/>
      <c r="B45" s="137" t="s">
        <v>163</v>
      </c>
      <c r="C45" s="138"/>
      <c r="D45" s="138"/>
      <c r="E45" s="138"/>
      <c r="F45" s="139"/>
      <c r="G45" s="76">
        <f>SUM(G43:G44)*'Fane 15. Nøgletal'!C31</f>
        <v>899424.1302270547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45640737.833893761</v>
      </c>
      <c r="H52" s="14" t="s">
        <v>3</v>
      </c>
      <c r="I52" s="1"/>
    </row>
    <row r="53" spans="1:9" x14ac:dyDescent="0.25">
      <c r="A53" s="1"/>
      <c r="B53" s="137" t="s">
        <v>138</v>
      </c>
      <c r="C53" s="138"/>
      <c r="D53" s="138"/>
      <c r="E53" s="138"/>
      <c r="F53" s="139"/>
      <c r="G53" s="76">
        <f>(G52)*'Fane 15. Nøgletal'!C31</f>
        <v>912814.7566778753</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46320237.138764776</v>
      </c>
      <c r="H57" s="14" t="s">
        <v>3</v>
      </c>
      <c r="I57" s="1"/>
    </row>
    <row r="58" spans="1:9" x14ac:dyDescent="0.25">
      <c r="A58" s="1"/>
      <c r="B58" s="91" t="s">
        <v>152</v>
      </c>
      <c r="C58" s="92"/>
      <c r="D58" s="92"/>
      <c r="E58" s="92"/>
      <c r="F58" s="93"/>
      <c r="G58" s="76">
        <f>(G57)*'Fane 15. Nøgletal'!C31</f>
        <v>926404.74277529551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47009852.829286709</v>
      </c>
      <c r="H62" s="14" t="s">
        <v>3</v>
      </c>
      <c r="I62" s="1"/>
    </row>
    <row r="63" spans="1:9" x14ac:dyDescent="0.25">
      <c r="A63" s="1"/>
      <c r="B63" s="91" t="s">
        <v>195</v>
      </c>
      <c r="C63" s="92"/>
      <c r="D63" s="92"/>
      <c r="E63" s="92"/>
      <c r="F63" s="93"/>
      <c r="G63" s="76">
        <f>(G62)*'Fane 15. Nøgletal'!C31</f>
        <v>940197.05658573424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edGrJh19HBKqmmtz+6PqtDy/cQ7CckFhpijXbyDQVcEXgAtabGHvzjrd4+Aysnt8+FKmAK4J/BIGIEl7zPr8zg==" saltValue="p5I53J6ugLtQEMbEAU9F+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62712116.447401807</v>
      </c>
      <c r="H5" s="14" t="s">
        <v>3</v>
      </c>
      <c r="I5" s="1"/>
    </row>
    <row r="6" spans="1:9" x14ac:dyDescent="0.25">
      <c r="A6" s="1"/>
      <c r="B6" s="137" t="s">
        <v>57</v>
      </c>
      <c r="C6" s="138"/>
      <c r="D6" s="138"/>
      <c r="E6" s="138"/>
      <c r="F6" s="139"/>
      <c r="G6" s="76">
        <f>G5*'Fane 15. Nøgletal'!C20</f>
        <v>570680.25967135641</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63228911.321015738</v>
      </c>
      <c r="H10" s="14" t="s">
        <v>3</v>
      </c>
      <c r="I10" s="1"/>
    </row>
    <row r="11" spans="1:9" x14ac:dyDescent="0.25">
      <c r="A11" s="1"/>
      <c r="B11" s="137" t="s">
        <v>122</v>
      </c>
      <c r="C11" s="138"/>
      <c r="D11" s="138"/>
      <c r="E11" s="138"/>
      <c r="F11" s="139"/>
      <c r="G11" s="76">
        <v>-725183.87095605722</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1106315.9758660565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62471866.174992017</v>
      </c>
      <c r="H17" s="14" t="s">
        <v>3</v>
      </c>
      <c r="I17" s="1"/>
    </row>
    <row r="18" spans="1:9" x14ac:dyDescent="0.25">
      <c r="A18" s="1"/>
      <c r="B18" s="140" t="s">
        <v>68</v>
      </c>
      <c r="C18" s="141"/>
      <c r="D18" s="141"/>
      <c r="E18" s="141"/>
      <c r="F18" s="142"/>
      <c r="G18" s="76">
        <v>0</v>
      </c>
      <c r="H18" s="14" t="s">
        <v>3</v>
      </c>
      <c r="I18" s="1"/>
    </row>
    <row r="19" spans="1:9" x14ac:dyDescent="0.25">
      <c r="A19" s="1"/>
      <c r="B19" s="137" t="s">
        <v>69</v>
      </c>
      <c r="C19" s="138"/>
      <c r="D19" s="138"/>
      <c r="E19" s="138"/>
      <c r="F19" s="139"/>
      <c r="G19" s="76">
        <f>G17*'Fane 15. Nøgletal'!C21+G18*'Fane 15. Nøgletal'!C22</f>
        <v>1105752.0312973587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62575026.592325449</v>
      </c>
      <c r="H23" s="14" t="s">
        <v>3</v>
      </c>
      <c r="I23" s="1"/>
    </row>
    <row r="24" spans="1:9" x14ac:dyDescent="0.25">
      <c r="A24" s="1"/>
      <c r="B24" s="140" t="s">
        <v>72</v>
      </c>
      <c r="C24" s="141"/>
      <c r="D24" s="141"/>
      <c r="E24" s="141"/>
      <c r="F24" s="142"/>
      <c r="G24" s="76">
        <v>172924.03788363002</v>
      </c>
      <c r="H24" s="14" t="s">
        <v>3</v>
      </c>
      <c r="I24" s="1"/>
    </row>
    <row r="25" spans="1:9" x14ac:dyDescent="0.25">
      <c r="A25" s="1"/>
      <c r="B25" s="137" t="s">
        <v>73</v>
      </c>
      <c r="C25" s="138"/>
      <c r="D25" s="138"/>
      <c r="E25" s="138"/>
      <c r="F25" s="139"/>
      <c r="G25" s="76">
        <f>(G23+G24)*'Fane 15. Nøgletal'!C23</f>
        <v>1782041.7978979379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62166937.236307681</v>
      </c>
      <c r="H29" s="14" t="s">
        <v>3</v>
      </c>
      <c r="I29" s="1"/>
    </row>
    <row r="30" spans="1:9" x14ac:dyDescent="0.25">
      <c r="A30" s="1"/>
      <c r="B30" s="137" t="s">
        <v>139</v>
      </c>
      <c r="C30" s="138"/>
      <c r="D30" s="138"/>
      <c r="E30" s="138"/>
      <c r="F30" s="139"/>
      <c r="G30" s="76">
        <v>2490261.23866212</v>
      </c>
      <c r="H30" s="14" t="s">
        <v>3</v>
      </c>
      <c r="I30" s="1"/>
    </row>
    <row r="31" spans="1:9" x14ac:dyDescent="0.25">
      <c r="A31" s="1"/>
      <c r="B31" s="137" t="s">
        <v>76</v>
      </c>
      <c r="C31" s="138"/>
      <c r="D31" s="138"/>
      <c r="E31" s="138"/>
      <c r="F31" s="139"/>
      <c r="G31" s="76">
        <f>G29*'Fane 15. Nøgletal'!C23+G30*'Fane 15. Nøgletal'!C24</f>
        <v>1834023.2015743465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63030491.751797669</v>
      </c>
      <c r="H35" s="14" t="s">
        <v>3</v>
      </c>
      <c r="I35" s="1"/>
    </row>
    <row r="36" spans="1:9" x14ac:dyDescent="0.25">
      <c r="A36" s="1"/>
      <c r="B36" s="137" t="s">
        <v>167</v>
      </c>
      <c r="C36" s="138"/>
      <c r="D36" s="138"/>
      <c r="E36" s="138"/>
      <c r="F36" s="139"/>
      <c r="G36" s="76">
        <v>1022074.4464921801</v>
      </c>
      <c r="H36" s="14" t="s">
        <v>3</v>
      </c>
      <c r="I36" s="1"/>
    </row>
    <row r="37" spans="1:9" x14ac:dyDescent="0.25">
      <c r="A37" s="1"/>
      <c r="B37" s="137" t="s">
        <v>166</v>
      </c>
      <c r="C37" s="138"/>
      <c r="D37" s="138"/>
      <c r="E37" s="138"/>
      <c r="F37" s="139"/>
      <c r="G37" s="76">
        <f>(G35+G36)*'Fane 15. Nøgletal'!C25</f>
        <v>947977.97973468981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63312833.359676398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53207.250664320003</v>
      </c>
      <c r="H42" s="14" t="s">
        <v>3</v>
      </c>
      <c r="I42" s="1"/>
    </row>
    <row r="43" spans="1:9" x14ac:dyDescent="0.25">
      <c r="A43" s="1"/>
      <c r="B43" s="137" t="s">
        <v>168</v>
      </c>
      <c r="C43" s="138"/>
      <c r="D43" s="138"/>
      <c r="E43" s="138"/>
      <c r="F43" s="139"/>
      <c r="G43" s="76">
        <f>(G41)*'Fane 15. Nøgletal'!C25+G42*'Fane 15. Nøgletal'!C26</f>
        <v>937029.93372321071</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64651483.456705101</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66953076.267763808</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69336605.782896206</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lrM6OWdZpaybJ0BN3Yk/f5VzuyGodVI+O5oan099ZP1AQ4wlPT7SM5jRs4xtuABTVNe3ii2Tx55SOeRntyr2Kg==" saltValue="rCHBtEET0Gs40EK+yMlVJ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8"/>
      <c r="H8" s="1"/>
    </row>
    <row r="9" spans="1:8" x14ac:dyDescent="0.25">
      <c r="A9" s="1"/>
      <c r="B9" s="137" t="s">
        <v>154</v>
      </c>
      <c r="C9" s="138"/>
      <c r="D9" s="138"/>
      <c r="E9" s="138"/>
      <c r="F9" s="139"/>
      <c r="G9" s="35">
        <v>1.3423848041761067E-2</v>
      </c>
      <c r="H9" s="1"/>
    </row>
    <row r="10" spans="1:8" x14ac:dyDescent="0.25">
      <c r="A10" s="1"/>
      <c r="B10" s="32"/>
      <c r="C10" s="27"/>
      <c r="D10" s="27"/>
      <c r="E10" s="27"/>
      <c r="F10" s="27"/>
      <c r="G10" s="27"/>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f1Hb50PeJzm3HM+zqipVBmf6hNQJ6xeag+Nv4g+GTn+c5Y7zVvaqXlKQT1Mi6PfAuFL6w01JOTubeHu2QEBQPQ==" saltValue="m9BU2n+B8n6MIa9dc+aa+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2022-12-06T11:26:43Z</dcterms:modified>
</cp:coreProperties>
</file>