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Ballerup AS (V197)\ØR2024\"/>
    </mc:Choice>
  </mc:AlternateContent>
  <xr:revisionPtr revIDLastSave="0" documentId="13_ncr:1_{3699963E-3646-4129-AEB8-2ADD831228F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G48" i="30" l="1"/>
  <c r="G43" i="30"/>
  <c r="G47" i="30" s="1"/>
  <c r="G49" i="30" s="1"/>
  <c r="C17" i="2" s="1"/>
  <c r="G41" i="30"/>
  <c r="E23" i="42" l="1"/>
  <c r="E31" i="42" s="1"/>
  <c r="E33" i="42" s="1"/>
  <c r="C17" i="22" s="1"/>
  <c r="C17" i="15" l="1"/>
  <c r="E27" i="42"/>
  <c r="C29" i="2"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G49"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C9" i="2"/>
  <c r="C13" i="2"/>
  <c r="C21" i="2" l="1"/>
  <c r="G37" i="36" l="1"/>
  <c r="G41" i="36" s="1"/>
  <c r="G53" i="30" l="1"/>
  <c r="G54" i="30" s="1"/>
  <c r="G43" i="36"/>
  <c r="G47" i="36" s="1"/>
  <c r="G58" i="30" l="1"/>
  <c r="G59" i="30" s="1"/>
  <c r="C11" i="15"/>
  <c r="C18" i="2"/>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<sst xmlns="http://schemas.openxmlformats.org/spreadsheetml/2006/main" count="551" uniqueCount="264">
  <si>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</si>
  <si>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</si>
  <si>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</si>
  <si>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</si>
  <si>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</si>
  <si>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</si>
  <si>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</si>
  <si>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</si>
  <si>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</si>
  <si>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</si>
  <si>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</si>
  <si>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</si>
  <si>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</si>
  <si>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</si>
  <si>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</si>
  <si>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</si>
  <si>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</si>
  <si>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</si>
  <si>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</si>
  <si>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</si>
  <si>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</si>
  <si>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</si>
  <si>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</si>
  <si>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</si>
  <si>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</si>
  <si>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</si>
  <si>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</si>
  <si>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</si>
  <si>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</si>
  <si>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</si>
  <si>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</si>
  <si>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</si>
  <si>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</si>
  <si>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</si>
  <si>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</si>
  <si>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</si>
  <si>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</si>
  <si>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</si>
  <si>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</si>
  <si>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</si>
  <si>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</si>
  <si>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</si>
  <si>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</si>
  <si>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</si>
  <si>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</si>
  <si>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</si>
  <si>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</si>
  <si>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</si>
  <si>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</si>
  <si>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</si>
  <si>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</si>
  <si>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</si>
  <si>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</si>
  <si>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</si>
  <si>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</si>
  <si>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</si>
  <si>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</si>
  <si>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</si>
  <si>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</si>
  <si>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</si>
  <si>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</si>
  <si>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</si>
  <si>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</si>
  <si>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</si>
  <si>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</si>
  <si>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</si>
  <si>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</si>
  <si>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</si>
  <si>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</si>
  <si>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</si>
  <si>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</si>
  <si>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</si>
  <si>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</si>
  <si>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</si>
  <si>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</si>
  <si>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</si>
  <si>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</si>
  <si>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</si>
  <si>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</si>
  <si>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</si>
  <si>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</si>
  <si>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</si>
  <si>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</si>
  <si>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</si>
  <si>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</si>
  <si>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</si>
  <si>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</si>
  <si>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</si>
  <si>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</si>
  <si>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</si>
  <si>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</si>
  <si>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</si>
  <si>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</si>
  <si>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</si>
  <si>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</si>
  <si>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</si>
  <si>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</si>
  <si>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</si>
  <si>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</si>
  <si>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</si>
  <si>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</si>
  <si>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</si>
  <si>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</si>
  <si>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</si>
  <si>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</si>
  <si>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</si>
  <si>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</si>
  <si>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</si>
  <si>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</si>
  <si>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</si>
  <si>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</si>
  <si>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</si>
  <si>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</si>
  <si>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</si>
  <si>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</si>
  <si>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</si>
  <si>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</si>
  <si>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</si>
  <si>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</si>
  <si>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</si>
  <si>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</si>
  <si>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</si>
  <si>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</si>
  <si>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</si>
  <si>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</si>
  <si>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</si>
  <si>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</si>
  <si>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</si>
  <si>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</si>
  <si>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</si>
  <si>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</si>
  <si>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</si>
  <si>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</si>
  <si>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</si>
  <si>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</si>
  <si>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</si>
  <si>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</si>
  <si>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</si>
  <si>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</si>
  <si>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</si>
  <si>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</si>
  <si>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</si>
  <si>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</si>
  <si>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</si>
  <si>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</si>
  <si>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</si>
  <si>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</si>
  <si>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</si>
  <si>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</si>
  <si>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</si>
  <si>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</si>
  <si>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</si>
  <si>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</si>
  <si>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</si>
  <si>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</si>
  <si>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</si>
  <si>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</si>
  <si>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</si>
  <si>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</si>
  <si>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</si>
  <si>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</si>
  <si>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</si>
  <si>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</si>
  <si>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</si>
  <si>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</si>
  <si>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</si>
  <si>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</si>
  <si>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</si>
  <si>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</si>
  <si>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</si>
  <si>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</si>
  <si>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</si>
  <si>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</si>
  <si>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</si>
  <si>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</si>
  <si>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</si>
  <si>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</si>
  <si>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</si>
  <si>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</si>
  <si>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</si>
  <si>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</si>
  <si>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</si>
  <si>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</si>
  <si>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</si>
  <si>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</si>
  <si>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</si>
  <si>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</si>
  <si>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</si>
  <si>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</si>
  <si>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</si>
  <si>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</si>
  <si>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</si>
  <si>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</si>
  <si>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</si>
  <si>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</si>
  <si>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</si>
  <si>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</si>
  <si>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</si>
  <si>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</si>
  <si>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</si>
  <si>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</si>
  <si>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</si>
  <si>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</si>
  <si>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</si>
  <si>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</si>
  <si>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</si>
  <si>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</si>
  <si>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</si>
  <si>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</si>
  <si>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</si>
  <si>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</si>
  <si>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</si>
  <si>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</si>
  <si>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</si>
  <si>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</si>
  <si>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</si>
  <si>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</si>
  <si>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</si>
  <si>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</si>
  <si>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</si>
  <si>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</si>
  <si>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</si>
  <si>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</si>
  <si>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</si>
  <si>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</si>
  <si>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</si>
  <si>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</si>
  <si>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</si>
  <si>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</si>
  <si>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</si>
  <si>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</si>
  <si>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</si>
  <si>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</si>
  <si>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</si>
  <si>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</si>
  <si>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</si>
  <si>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</si>
  <si>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</si>
  <si>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</si>
  <si>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</si>
  <si>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</si>
  <si>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</si>
  <si>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</si>
  <si>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VBA Baltorpplænen Omlægning af ledninger</t>
  </si>
  <si>
    <t>Udvidelse og byggemodning Baltorpplænen, Schæfergården og stiketablering</t>
  </si>
  <si>
    <t>Ingen engangstillæg</t>
  </si>
  <si>
    <t>Afgift for ledningsført vand</t>
  </si>
  <si>
    <t>Afgift til Forsyningssekretariatet</t>
  </si>
  <si>
    <t>Køb af ydelser og produkter fra andre vandselskaber</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</si>
  <si>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</si>
  <si>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</si>
  <si>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</si>
  <si>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</si>
  <si>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</si>
  <si>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</si>
  <si>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</si>
  <si>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</si>
  <si>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</si>
  <si>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</si>
  <si>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</si>
  <si>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</si>
  <si>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</si>
  <si>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</si>
  <si>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Afgift på ledningsført vand for vandspild over 10 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</si>
</sst>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C5">
            <v>1.0168999999999999</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YPx9ErLQcj1EQWCMdTUa0c8C6eAH2XysUuHRXng8OMH+B8XlRPcsZBHYccBGftfpoSCqA/h/GbKHHZojuCuhWQ==" saltValue="aQeVazuO3JyVDVN8ly8BZ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election activeCell="B11" sqref="B11:D11"/>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68" t="s">
        <v>246</v>
      </c>
      <c r="C10" s="9">
        <v>19873205</v>
      </c>
      <c r="D10" s="14" t="s">
        <v>3</v>
      </c>
      <c r="E10" s="1"/>
      <c r="F10" s="1"/>
    </row>
    <row r="11" spans="1:6" x14ac:dyDescent="0.25">
      <c r="A11" s="1"/>
      <c r="B11" s="68" t="s">
        <v>247</v>
      </c>
      <c r="C11" s="9">
        <v>129466</v>
      </c>
      <c r="D11" s="14" t="s">
        <v>3</v>
      </c>
      <c r="E11" s="1"/>
      <c r="F11" s="1"/>
    </row>
    <row r="12" spans="1:6" x14ac:dyDescent="0.25">
      <c r="A12" s="1"/>
      <c r="B12" s="68" t="s">
        <v>248</v>
      </c>
      <c r="C12" s="9">
        <v>7793430</v>
      </c>
      <c r="D12" s="14" t="s">
        <v>3</v>
      </c>
      <c r="E12" s="1"/>
      <c r="F12" s="1"/>
    </row>
    <row r="13" spans="1:6" x14ac:dyDescent="0.25">
      <c r="A13" s="1"/>
      <c r="B13" s="68" t="s">
        <v>249</v>
      </c>
      <c r="C13" s="9">
        <v>106526</v>
      </c>
      <c r="D13" s="14" t="s">
        <v>3</v>
      </c>
      <c r="E13" s="1"/>
      <c r="F13" s="1"/>
    </row>
    <row r="14" spans="1:6" x14ac:dyDescent="0.25">
      <c r="A14" s="1"/>
      <c r="B14" s="68" t="s">
        <v>263</v>
      </c>
      <c r="C14" s="9">
        <v>80986</v>
      </c>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27983613</v>
      </c>
      <c r="D19" s="13" t="s">
        <v>3</v>
      </c>
      <c r="E19" s="1"/>
      <c r="F19" s="1"/>
    </row>
    <row r="20" spans="1:6" x14ac:dyDescent="0.25">
      <c r="A20" s="1"/>
      <c r="B20" s="52" t="s">
        <v>214</v>
      </c>
      <c r="C20" s="12">
        <f>C19*(1+'Fane 13. Nøgletal'!C16)^2</f>
        <v>32688459.795976318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1puRsaMZz+qTe/q86zQyd5kO+Ou5zb/RGCSSiF+mRxbuPkaZuXZzjXYts5dDnUlvQJag+/4CODfiCQbwvHGkrQ==" saltValue="/jvDO3Wi9ep8qzWCAi7M0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F844-4BE1-4692-A5C2-6C77FA43AAF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7" t="s">
        <v>250</v>
      </c>
      <c r="C8" s="108"/>
      <c r="D8" s="108"/>
      <c r="E8" s="108"/>
      <c r="F8" s="109"/>
      <c r="G8" s="1"/>
    </row>
    <row r="9" spans="1:7" x14ac:dyDescent="0.25">
      <c r="A9" s="1"/>
      <c r="B9" s="101" t="s">
        <v>251</v>
      </c>
      <c r="C9" s="102"/>
      <c r="D9" s="103"/>
      <c r="E9" s="28">
        <v>-2675020</v>
      </c>
      <c r="F9" s="14" t="s">
        <v>3</v>
      </c>
      <c r="G9" s="1"/>
    </row>
    <row r="10" spans="1:7" x14ac:dyDescent="0.25">
      <c r="A10" s="1"/>
      <c r="B10" s="52"/>
      <c r="C10" s="53"/>
      <c r="D10" s="53"/>
      <c r="E10" s="53"/>
      <c r="F10" s="19"/>
      <c r="G10" s="1"/>
    </row>
    <row r="11" spans="1:7" ht="53.25" customHeight="1" x14ac:dyDescent="0.25">
      <c r="A11" s="1"/>
      <c r="B11" s="126" t="s">
        <v>252</v>
      </c>
      <c r="C11" s="127"/>
      <c r="D11" s="127"/>
      <c r="E11" s="127"/>
      <c r="F11" s="128"/>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253</v>
      </c>
      <c r="C14" s="102"/>
      <c r="D14" s="103"/>
      <c r="E14" s="9">
        <v>-1337510</v>
      </c>
      <c r="F14" s="14" t="s">
        <v>3</v>
      </c>
      <c r="G14" s="1"/>
    </row>
    <row r="15" spans="1:7" x14ac:dyDescent="0.25">
      <c r="A15" s="1"/>
      <c r="B15" s="101" t="s">
        <v>254</v>
      </c>
      <c r="C15" s="102"/>
      <c r="D15" s="103"/>
      <c r="E15" s="9">
        <v>-1337510</v>
      </c>
      <c r="F15" s="14" t="s">
        <v>3</v>
      </c>
      <c r="G15" s="1"/>
    </row>
    <row r="16" spans="1:7" x14ac:dyDescent="0.25">
      <c r="A16" s="1"/>
      <c r="B16" s="52"/>
      <c r="C16" s="53"/>
      <c r="D16" s="53"/>
      <c r="E16" s="53"/>
      <c r="F16" s="19"/>
      <c r="G16" s="1"/>
    </row>
    <row r="17" spans="1:7" ht="32.25" customHeight="1" x14ac:dyDescent="0.25">
      <c r="A17" s="1"/>
      <c r="B17" s="126" t="s">
        <v>255</v>
      </c>
      <c r="C17" s="127"/>
      <c r="D17" s="127"/>
      <c r="E17" s="127"/>
      <c r="F17" s="128"/>
      <c r="G17" s="1"/>
    </row>
    <row r="18" spans="1:7" x14ac:dyDescent="0.25">
      <c r="A18" s="1"/>
      <c r="B18" s="1"/>
      <c r="C18" s="1"/>
      <c r="D18" s="1"/>
      <c r="E18" s="1"/>
      <c r="F18" s="1"/>
      <c r="G18" s="1"/>
    </row>
    <row r="19" spans="1:7" x14ac:dyDescent="0.25">
      <c r="A19" s="1"/>
      <c r="B19" s="69" t="s">
        <v>256</v>
      </c>
      <c r="C19" s="70"/>
      <c r="D19" s="70"/>
      <c r="E19" s="70"/>
      <c r="F19" s="71"/>
      <c r="G19" s="1"/>
    </row>
    <row r="20" spans="1:7" x14ac:dyDescent="0.25">
      <c r="A20" s="1"/>
      <c r="B20" s="65" t="s">
        <v>257</v>
      </c>
      <c r="C20" s="66"/>
      <c r="D20" s="67"/>
      <c r="E20" s="9">
        <v>53905480</v>
      </c>
      <c r="F20" s="14" t="s">
        <v>3</v>
      </c>
      <c r="G20" s="1"/>
    </row>
    <row r="21" spans="1:7" x14ac:dyDescent="0.25">
      <c r="A21" s="1"/>
      <c r="B21" s="65" t="s">
        <v>258</v>
      </c>
      <c r="C21" s="66"/>
      <c r="D21" s="67"/>
      <c r="E21" s="9">
        <v>52067506</v>
      </c>
      <c r="F21" s="14" t="s">
        <v>3</v>
      </c>
      <c r="G21" s="1"/>
    </row>
    <row r="22" spans="1:7" x14ac:dyDescent="0.25">
      <c r="A22" s="1"/>
      <c r="B22" s="65" t="s">
        <v>29</v>
      </c>
      <c r="C22" s="66"/>
      <c r="D22" s="67"/>
      <c r="E22" s="9">
        <v>0</v>
      </c>
      <c r="F22" s="14" t="s">
        <v>3</v>
      </c>
      <c r="G22" s="1"/>
    </row>
    <row r="23" spans="1:7" x14ac:dyDescent="0.25">
      <c r="A23" s="1"/>
      <c r="B23" s="73" t="s">
        <v>259</v>
      </c>
      <c r="C23" s="74"/>
      <c r="D23" s="75"/>
      <c r="E23" s="10">
        <f>E20-(E21-E22)</f>
        <v>1837974</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260</v>
      </c>
      <c r="C26" s="108"/>
      <c r="D26" s="108"/>
      <c r="E26" s="108"/>
      <c r="F26" s="109"/>
      <c r="G26" s="1"/>
    </row>
    <row r="27" spans="1:7" x14ac:dyDescent="0.25">
      <c r="A27" s="1"/>
      <c r="B27" s="129" t="s">
        <v>261</v>
      </c>
      <c r="C27" s="130"/>
      <c r="D27" s="131"/>
      <c r="E27" s="62">
        <f>IF(AND(E15&lt;0,E23&gt;0,ABS(SUM(E14:E15))&lt;E23),ABS(E14),IF(AND(E15&lt;0,E23&gt;0,ABS(SUM(E14:E15))&gt;E23),SUM(E14,E23),0))</f>
        <v>500464</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262</v>
      </c>
      <c r="C30" s="108"/>
      <c r="D30" s="108"/>
      <c r="E30" s="108"/>
      <c r="F30" s="109"/>
      <c r="G30" s="1"/>
    </row>
    <row r="31" spans="1:7" x14ac:dyDescent="0.25">
      <c r="A31" s="1"/>
      <c r="B31" s="119" t="s">
        <v>117</v>
      </c>
      <c r="C31" s="120"/>
      <c r="D31" s="121"/>
      <c r="E31" s="63">
        <f>IF(AND(E9&gt;0,(E9+E23)&gt;0),0,IF(AND(E9&gt;0,(E9+E23)&lt;0),(E9+E23),IF(AND(E9&lt;0,E23&lt;0),E23,0)))</f>
        <v>0</v>
      </c>
      <c r="F31" s="14" t="s">
        <v>3</v>
      </c>
      <c r="G31" s="1"/>
    </row>
    <row r="32" spans="1:7" x14ac:dyDescent="0.25">
      <c r="A32" s="1"/>
      <c r="B32" s="119" t="s">
        <v>85</v>
      </c>
      <c r="C32" s="120"/>
      <c r="D32" s="121"/>
      <c r="E32" s="9">
        <v>2</v>
      </c>
      <c r="F32" s="14" t="s">
        <v>18</v>
      </c>
      <c r="G32" s="1"/>
    </row>
    <row r="33" spans="1:7" x14ac:dyDescent="0.25">
      <c r="A33" s="1"/>
      <c r="B33" s="122" t="s">
        <v>116</v>
      </c>
      <c r="C33" s="122"/>
      <c r="D33" s="122"/>
      <c r="E33" s="62">
        <f>E31/E32</f>
        <v>0</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dAfiHypUqmj2dgrWFR+W3wpl541Yq+VMhtuWGKfZiEBLu3SCBtOaN4Eh5Fec7SCds3Zax9HhzcTfTf1I4mfRQ==" saltValue="kq24kfAneFWIqlHdyHlVMw=="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2AkOqxolxat7H8D5H6X4Qhzz25Sgf8rS+j1SCAKwwh/8ORjQ1ut3QhqpD1D14OPVmKPyTSaUx5vRsBBVzZHgQ==" saltValue="9WfWH/OHtXSSFyiD2SVhh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8a8R2r2A3+FgonC5nJJuAviF4YewjI7dd2xX2BsFp1lbWUZL6VHA2s8QoymVoX3OuI/OlBmheS8KN88pKzInlg==" saltValue="KmAPlcWpAhuIo3G6JWZH8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0</v>
      </c>
      <c r="D11" s="14" t="s">
        <v>3</v>
      </c>
      <c r="E11" s="9">
        <v>11173</v>
      </c>
      <c r="F11" s="14" t="s">
        <v>3</v>
      </c>
      <c r="G11" s="1"/>
    </row>
    <row r="12" spans="1:7" x14ac:dyDescent="0.25">
      <c r="A12" s="1"/>
      <c r="B12" s="27" t="s">
        <v>244</v>
      </c>
      <c r="C12" s="21">
        <v>318699</v>
      </c>
      <c r="D12" s="14" t="s">
        <v>3</v>
      </c>
      <c r="E12" s="9">
        <v>54342</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318699</v>
      </c>
      <c r="D17" s="13" t="s">
        <v>3</v>
      </c>
      <c r="E17" s="12">
        <f>SUM(E10:E16)</f>
        <v>65515</v>
      </c>
      <c r="F17" s="13" t="s">
        <v>3</v>
      </c>
      <c r="G17" s="1"/>
    </row>
    <row r="18" spans="1:7" x14ac:dyDescent="0.25">
      <c r="A18" s="1"/>
      <c r="B18" s="52" t="s">
        <v>209</v>
      </c>
      <c r="C18" s="12">
        <f>C17*(1+'Fane 13. Nøgletal'!C16)</f>
        <v>344449.87919999997</v>
      </c>
      <c r="D18" s="13" t="s">
        <v>3</v>
      </c>
      <c r="E18" s="12">
        <f>E17*(1+'Fane 13. Nøgletal'!C16)</f>
        <v>70808.611999999994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0dit4npfUdTbybKESL+IGw+INdDkBnZ2bxuv1DsCorgPuw9r5KhrAOiMY+s69Z8pR4fNUUo/MgfMAMb3ZYrOxA==" saltValue="BGlSwdsqyziPvouHCgpuh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245</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Ut4WtmccwURukAnlfvIE1Vk9wZC8d/lgoIZzbws8oOIf/ZfPfBhWVAjaXOTuD7UVkty0VyAxInrgtilNLw6pg==" saltValue="nLMXjgzrdXT2s/LCwXTGw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UGR5f5K9U6x0Kp7ERTns87EOeTEaReL3cIp+ckX1y42y7J08ipwP6C0Gq+1OTGZmmsbfM5laYhiDMTh/K/cbzg==" saltValue="HUnccx8mcFFyPTO0uKIy4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0RIFAkz9BndVx0CvzAMOFJ2r+DsoLqWi/rRa/o7QSxZJS54Kb1YDWKMg84JUM+9uhdlEvHtVFm/bNsHoDcMjQ==" saltValue="u9AOCaKOJ5YfRMOntpxTm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iXwL2d2HSBB4sOya/yn6WW8YtP7tPpIH36m+WVXVrDymW98JP0mx5dxDsaUjJAWxOxny1EBIXIlYAnfUrazCLA==" saltValue="fMjoyoZ1rQLFFS9DRiyuH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28041261.237146955</v>
      </c>
      <c r="D8" s="8" t="s">
        <v>3</v>
      </c>
      <c r="E8" s="1"/>
    </row>
    <row r="9" spans="1:5" ht="17.100000000000001" customHeight="1" x14ac:dyDescent="0.25">
      <c r="A9" s="1"/>
      <c r="B9" s="24" t="s">
        <v>33</v>
      </c>
      <c r="C9" s="7">
        <f>'Fane 10.1. Varige tillæg'!C18</f>
        <v>344449.87919999997</v>
      </c>
      <c r="D9" s="8" t="s">
        <v>3</v>
      </c>
      <c r="E9" s="1"/>
    </row>
    <row r="10" spans="1:5" ht="17.100000000000001" customHeight="1" x14ac:dyDescent="0.25">
      <c r="A10" s="1"/>
      <c r="B10" s="24" t="s">
        <v>34</v>
      </c>
      <c r="C10" s="9">
        <f>'Fane 10.1. Varige tillæg'!E18</f>
        <v>70808.611999999994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1031821.7861313915</v>
      </c>
      <c r="D15" s="8" t="s">
        <v>3</v>
      </c>
      <c r="E15" s="1"/>
    </row>
    <row r="16" spans="1:5" ht="17.100000000000001" customHeight="1" x14ac:dyDescent="0.25">
      <c r="A16" s="1"/>
      <c r="B16" s="24" t="s">
        <v>9</v>
      </c>
      <c r="C16" s="9">
        <f>-SUM(C8,C9:C15)*'Fane 5. Individuelt eff. krav'!G9</f>
        <v>-589766.83028956701</v>
      </c>
      <c r="D16" s="8" t="s">
        <v>3</v>
      </c>
      <c r="E16" s="1"/>
    </row>
    <row r="17" spans="1:5" ht="17.100000000000001" customHeight="1" x14ac:dyDescent="0.25">
      <c r="A17" s="1"/>
      <c r="B17" s="24" t="s">
        <v>22</v>
      </c>
      <c r="C17" s="9">
        <f>-'Fane 4.1. Gen. krav - drift'!G49</f>
        <v>-410291.26727242104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28488283.416916359</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32688459.795976318</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10">
        <f>SUM(C23:C26)</f>
        <v>0</v>
      </c>
      <c r="D27" s="11" t="s">
        <v>3</v>
      </c>
      <c r="E27" s="1"/>
    </row>
    <row r="28" spans="1:5" ht="15" customHeight="1" x14ac:dyDescent="0.25">
      <c r="A28" s="1"/>
      <c r="B28" s="26" t="s">
        <v>117</v>
      </c>
      <c r="C28" s="53"/>
      <c r="D28" s="19"/>
      <c r="E28" s="1"/>
    </row>
    <row r="29" spans="1:5" x14ac:dyDescent="0.25">
      <c r="A29" s="1"/>
      <c r="B29" s="72" t="s">
        <v>118</v>
      </c>
      <c r="C29" s="10">
        <f>'Fane 7. Kontrol af ØR2022'!E27</f>
        <v>500464</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61677207.212892681</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iOfEKFtgJuOLyUUuxD2uG7mqcnJFymQgLjcWoaDH/3sC7c0vDMk+OwqRd6ofP8QtlzuF7NvmH4h+58FbeuXTw==" saltValue="seG7lr+ieDcgWuuJ2Xv6X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28488283.416916359</v>
      </c>
      <c r="D8" s="8" t="s">
        <v>3</v>
      </c>
      <c r="E8" s="1"/>
    </row>
    <row r="9" spans="1:5" ht="15" customHeight="1" x14ac:dyDescent="0.25">
      <c r="A9" s="1"/>
      <c r="B9" s="29" t="s">
        <v>17</v>
      </c>
      <c r="C9" s="9">
        <f>SUM(C8:C8)*'Fane 13. Nøgletal'!C16</f>
        <v>2301853.3000868419</v>
      </c>
      <c r="D9" s="8" t="s">
        <v>3</v>
      </c>
      <c r="E9" s="1"/>
    </row>
    <row r="10" spans="1:5" ht="15" customHeight="1" x14ac:dyDescent="0.25">
      <c r="A10" s="1"/>
      <c r="B10" s="29" t="s">
        <v>9</v>
      </c>
      <c r="C10" s="9">
        <f>-SUM(C8:C9)*'Fane 5. Individuelt eff. krav'!G9</f>
        <v>-615802.73434006399</v>
      </c>
      <c r="D10" s="8" t="s">
        <v>3</v>
      </c>
      <c r="E10" s="1"/>
    </row>
    <row r="11" spans="1:5" ht="15" customHeight="1" x14ac:dyDescent="0.25">
      <c r="A11" s="1"/>
      <c r="B11" s="29" t="s">
        <v>22</v>
      </c>
      <c r="C11" s="9">
        <f>-'Fane 4.1. Gen. krav - drift'!G54</f>
        <v>-434573.94563467195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29739760.037028465</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35329687.347491205</v>
      </c>
      <c r="D15" s="11" t="s">
        <v>3</v>
      </c>
      <c r="E15" s="1"/>
    </row>
    <row r="16" spans="1:5" x14ac:dyDescent="0.25">
      <c r="A16" s="1"/>
      <c r="B16" s="26" t="s">
        <v>117</v>
      </c>
      <c r="C16" s="53"/>
      <c r="D16" s="19"/>
      <c r="E16" s="1"/>
    </row>
    <row r="17" spans="1:5" ht="15" customHeight="1" x14ac:dyDescent="0.25">
      <c r="A17" s="1"/>
      <c r="B17" s="72" t="s">
        <v>118</v>
      </c>
      <c r="C17" s="10">
        <f>'Fane 7. Kontrol af ØR2022'!E33</f>
        <v>0</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65069447.384519666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vbkdImt86Q8EKphmsFO7X4yCKnYxkgOjk9DHrBYFFFAh9ORiK0IHUtnrCm4/5CTPamw4v4gmMLZ/l7a9vRznw==" saltValue="2t54DSBJ7n+RZji5eFAS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29739760.037028465</v>
      </c>
      <c r="D8" s="8" t="s">
        <v>3</v>
      </c>
      <c r="E8" s="1"/>
    </row>
    <row r="9" spans="1:5" ht="15" customHeight="1" x14ac:dyDescent="0.25">
      <c r="A9" s="1"/>
      <c r="B9" s="29" t="s">
        <v>17</v>
      </c>
      <c r="C9" s="9">
        <f>SUM(C8:C8)*'Fane 13. Nøgletal'!C16</f>
        <v>2402972.6109918999</v>
      </c>
      <c r="D9" s="8" t="s">
        <v>3</v>
      </c>
      <c r="E9" s="1"/>
    </row>
    <row r="10" spans="1:5" ht="15" customHeight="1" x14ac:dyDescent="0.25">
      <c r="A10" s="1"/>
      <c r="B10" s="29" t="s">
        <v>9</v>
      </c>
      <c r="C10" s="9">
        <f>-SUM(C8:C9)*'Fane 5. Individuelt eff. krav'!G9</f>
        <v>-642854.65296040731</v>
      </c>
      <c r="D10" s="8" t="s">
        <v>3</v>
      </c>
      <c r="E10" s="1"/>
    </row>
    <row r="11" spans="1:5" ht="15" customHeight="1" x14ac:dyDescent="0.25">
      <c r="A11" s="1"/>
      <c r="B11" s="29" t="s">
        <v>22</v>
      </c>
      <c r="C11" s="9">
        <f>-'Fane 4.1. Gen. krav - drift'!G59</f>
        <v>-460293.77003311442</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31039584.225026842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38184326.085168496</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69223910.310195342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Kq5goGaU3LWDTbhxmnLAVEhyEbxsc8nY5vQ1HazjlFyJsa9LGg6bKsoClfKM61jLo3CqQCaKvh4idTvF4wG0w==" saltValue="ppri3Pp8XMPuhl5TkmRS/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31039584.225026842</v>
      </c>
      <c r="D8" s="8" t="s">
        <v>3</v>
      </c>
      <c r="E8" s="1"/>
    </row>
    <row r="9" spans="1:5" ht="15" customHeight="1" x14ac:dyDescent="0.25">
      <c r="A9" s="1"/>
      <c r="B9" s="29" t="s">
        <v>17</v>
      </c>
      <c r="C9" s="9">
        <f>SUM(C8:C8)*'Fane 13. Nøgletal'!C16</f>
        <v>2507998.4053821689</v>
      </c>
      <c r="D9" s="8" t="s">
        <v>3</v>
      </c>
      <c r="E9" s="1"/>
    </row>
    <row r="10" spans="1:5" ht="15" customHeight="1" x14ac:dyDescent="0.25">
      <c r="A10" s="1"/>
      <c r="B10" s="29" t="s">
        <v>9</v>
      </c>
      <c r="C10" s="9">
        <f>-SUM(C8:C9)*'Fane 5. Individuelt eff. krav'!G9</f>
        <v>-670951.65260818019</v>
      </c>
      <c r="D10" s="8" t="s">
        <v>3</v>
      </c>
      <c r="E10" s="1"/>
    </row>
    <row r="11" spans="1:5" ht="15" customHeight="1" x14ac:dyDescent="0.25">
      <c r="A11" s="1"/>
      <c r="B11" s="29" t="s">
        <v>22</v>
      </c>
      <c r="C11" s="9">
        <f>-'Fane 4.1. Gen. krav - drift'!G64</f>
        <v>-487535.79651875427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32389095.181282077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41269619.632850103</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73658714.814132184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nU4S9tIxwzMhFX2d3brbIp8Ng3g4NA42h0UV6JdR3cOA0rZ3VrM1HjliJ5ZhW1oxsdO2pPA6Xkw8ZocoWU2gA==" saltValue="4rPSK0ISa7L0j3DWVbMjh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election activeCell="B3" sqref="B3:D4"/>
    </sheetView>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26873294.926771007</v>
      </c>
      <c r="D8" s="8" t="s">
        <v>3</v>
      </c>
      <c r="E8" s="1"/>
    </row>
    <row r="9" spans="1:5" x14ac:dyDescent="0.25">
      <c r="A9" s="1"/>
      <c r="B9" s="24" t="s">
        <v>33</v>
      </c>
      <c r="C9" s="7">
        <v>844135.54796859517</v>
      </c>
      <c r="D9" s="8" t="s">
        <v>3</v>
      </c>
      <c r="E9" s="1"/>
    </row>
    <row r="10" spans="1:5" x14ac:dyDescent="0.25">
      <c r="A10" s="1"/>
      <c r="B10" s="24" t="s">
        <v>34</v>
      </c>
      <c r="C10" s="9">
        <v>303589.86627162056</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997548.32413999946</v>
      </c>
      <c r="D15" s="8" t="s">
        <v>3</v>
      </c>
      <c r="E15" s="1"/>
    </row>
    <row r="16" spans="1:5" x14ac:dyDescent="0.25">
      <c r="A16" s="1"/>
      <c r="B16" s="24" t="s">
        <v>9</v>
      </c>
      <c r="C16" s="9">
        <v>-580371.37330302445</v>
      </c>
      <c r="D16" s="8" t="s">
        <v>3</v>
      </c>
      <c r="E16" s="1"/>
    </row>
    <row r="17" spans="1:5" x14ac:dyDescent="0.25">
      <c r="A17" s="1"/>
      <c r="B17" s="24" t="s">
        <v>22</v>
      </c>
      <c r="C17" s="9">
        <v>-396936.05470124172</v>
      </c>
      <c r="D17" s="8" t="s">
        <v>3</v>
      </c>
      <c r="E17" s="1"/>
    </row>
    <row r="18" spans="1:5" x14ac:dyDescent="0.25">
      <c r="A18" s="1"/>
      <c r="B18" s="24" t="s">
        <v>23</v>
      </c>
      <c r="C18" s="9">
        <v>0</v>
      </c>
      <c r="D18" s="8" t="s">
        <v>3</v>
      </c>
      <c r="E18" s="1"/>
    </row>
    <row r="19" spans="1:5" x14ac:dyDescent="0.25">
      <c r="A19" s="1"/>
      <c r="B19" s="73" t="s">
        <v>19</v>
      </c>
      <c r="C19" s="10">
        <v>28041261.237146955</v>
      </c>
      <c r="D19" s="11" t="s">
        <v>3</v>
      </c>
      <c r="E19" s="1"/>
    </row>
    <row r="20" spans="1:5" x14ac:dyDescent="0.25">
      <c r="A20" s="1"/>
      <c r="B20" s="52" t="s">
        <v>11</v>
      </c>
      <c r="C20" s="53"/>
      <c r="D20" s="19"/>
      <c r="E20" s="1"/>
    </row>
    <row r="21" spans="1:5" x14ac:dyDescent="0.25">
      <c r="A21" s="1"/>
      <c r="B21" s="54" t="s">
        <v>11</v>
      </c>
      <c r="C21" s="10">
        <v>30549078.293028262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-1337509.857472904</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57252829.672702312</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Pb0TGU/xJS8BwM8YO8V4biTc5Xjwusxq09GX0rMTIWi8iuw22vPBBIa4nn3Y2stdn6iQB74gi/lNPBxjy3gvxg==" saltValue="sPli+57pF3BAbw53tWUEm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topLeftCell="A13" zoomScaleNormal="100" workbookViewId="0">
      <selection activeCell="B1" sqref="B1:H3"/>
    </sheetView>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17899150.102455098</v>
      </c>
      <c r="H5" s="14" t="s">
        <v>3</v>
      </c>
      <c r="I5" s="1"/>
    </row>
    <row r="6" spans="1:9" x14ac:dyDescent="0.25">
      <c r="A6" s="1"/>
      <c r="B6" s="101" t="s">
        <v>37</v>
      </c>
      <c r="C6" s="102"/>
      <c r="D6" s="102"/>
      <c r="E6" s="102"/>
      <c r="F6" s="103"/>
      <c r="G6" s="22">
        <f>G5*'Fane 13. Nøgletal'!C33</f>
        <v>357983.00204910198</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17763939.922581151</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355278.79845162301</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17702867.497127313</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354057.34994254628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17642005.038672186</v>
      </c>
      <c r="H23" s="14" t="s">
        <v>3</v>
      </c>
      <c r="I23" s="1"/>
    </row>
    <row r="24" spans="1:9" x14ac:dyDescent="0.25">
      <c r="A24" s="1"/>
      <c r="B24" s="104" t="s">
        <v>230</v>
      </c>
      <c r="C24" s="105"/>
      <c r="D24" s="105"/>
      <c r="E24" s="105"/>
      <c r="F24" s="106"/>
      <c r="G24" s="47">
        <v>73649.23020279</v>
      </c>
      <c r="H24" s="14" t="s">
        <v>3</v>
      </c>
      <c r="I24" s="1"/>
    </row>
    <row r="25" spans="1:9" x14ac:dyDescent="0.25">
      <c r="A25" s="1"/>
      <c r="B25" s="101" t="s">
        <v>43</v>
      </c>
      <c r="C25" s="102"/>
      <c r="D25" s="102"/>
      <c r="E25" s="102"/>
      <c r="F25" s="103"/>
      <c r="G25" s="22">
        <f>(G23+G24)*'Fane 13. Nøgletal'!C33</f>
        <v>354313.08537749952</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17573149.545936145</v>
      </c>
      <c r="H29" s="14" t="s">
        <v>3</v>
      </c>
      <c r="I29" s="1"/>
    </row>
    <row r="30" spans="1:9" x14ac:dyDescent="0.25">
      <c r="A30" s="1"/>
      <c r="B30" s="101" t="s">
        <v>231</v>
      </c>
      <c r="C30" s="102"/>
      <c r="D30" s="102"/>
      <c r="E30" s="102"/>
      <c r="F30" s="103"/>
      <c r="G30" s="47">
        <v>77398.517568959986</v>
      </c>
      <c r="H30" s="14" t="s">
        <v>3</v>
      </c>
      <c r="I30" s="1"/>
    </row>
    <row r="31" spans="1:9" x14ac:dyDescent="0.25">
      <c r="A31" s="1"/>
      <c r="B31" s="101" t="s">
        <v>115</v>
      </c>
      <c r="C31" s="102"/>
      <c r="D31" s="102"/>
      <c r="E31" s="102"/>
      <c r="F31" s="103"/>
      <c r="G31" s="22">
        <f>(G29+G30)*'Fane 13. Nøgletal'!C33</f>
        <v>353010.96127010213</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17508567.054882269</v>
      </c>
      <c r="H35" s="14" t="s">
        <v>3</v>
      </c>
      <c r="I35" s="1"/>
    </row>
    <row r="36" spans="1:9" x14ac:dyDescent="0.25">
      <c r="A36" s="1"/>
      <c r="B36" s="101" t="s">
        <v>232</v>
      </c>
      <c r="C36" s="102"/>
      <c r="D36" s="102"/>
      <c r="E36" s="102"/>
      <c r="F36" s="103"/>
      <c r="G36" s="47">
        <v>1185728.2383774901</v>
      </c>
      <c r="H36" s="14" t="s">
        <v>3</v>
      </c>
      <c r="I36" s="1"/>
    </row>
    <row r="37" spans="1:9" x14ac:dyDescent="0.25">
      <c r="A37" s="1"/>
      <c r="B37" s="101" t="s">
        <v>123</v>
      </c>
      <c r="C37" s="102"/>
      <c r="D37" s="102"/>
      <c r="E37" s="102"/>
      <c r="F37" s="103"/>
      <c r="G37" s="22">
        <f>(G35+G36)*'Fane 13. Nøgletal'!C33</f>
        <v>373885.90586519515</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18972615.961585809</v>
      </c>
      <c r="H41" s="14" t="s">
        <v>3</v>
      </c>
      <c r="I41" s="1"/>
    </row>
    <row r="42" spans="1:9" x14ac:dyDescent="0.25">
      <c r="A42" s="1"/>
      <c r="B42" s="101" t="s">
        <v>156</v>
      </c>
      <c r="C42" s="102"/>
      <c r="D42" s="102"/>
      <c r="E42" s="102"/>
      <c r="F42" s="103"/>
      <c r="G42" s="22">
        <v>874186.77347627725</v>
      </c>
      <c r="H42" s="14" t="s">
        <v>3</v>
      </c>
      <c r="I42" s="1"/>
    </row>
    <row r="43" spans="1:9" x14ac:dyDescent="0.25">
      <c r="A43" s="1"/>
      <c r="B43" s="101" t="s">
        <v>166</v>
      </c>
      <c r="C43" s="102"/>
      <c r="D43" s="102"/>
      <c r="E43" s="102"/>
      <c r="F43" s="103"/>
      <c r="G43" s="22">
        <f>(G41+G42)*'Fane 13. Nøgletal'!C33</f>
        <v>396936.05470124172</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20142281.93418169</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372281.42943935998</v>
      </c>
      <c r="H48" s="14" t="s">
        <v>3</v>
      </c>
      <c r="I48" s="1"/>
    </row>
    <row r="49" spans="1:9" x14ac:dyDescent="0.25">
      <c r="A49" s="1"/>
      <c r="B49" s="101" t="s">
        <v>167</v>
      </c>
      <c r="C49" s="102"/>
      <c r="D49" s="102"/>
      <c r="E49" s="102"/>
      <c r="F49" s="103"/>
      <c r="G49" s="22">
        <f>G47*'Fane 13. Nøgletal'!C33+G48*'Fane 13. Nøgletal'!C33</f>
        <v>410291.26727242104</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21728697.281733599</v>
      </c>
      <c r="H53" s="14" t="s">
        <v>3</v>
      </c>
      <c r="I53" s="1"/>
    </row>
    <row r="54" spans="1:9" x14ac:dyDescent="0.25">
      <c r="A54" s="1"/>
      <c r="B54" s="101" t="s">
        <v>135</v>
      </c>
      <c r="C54" s="102"/>
      <c r="D54" s="102"/>
      <c r="E54" s="102"/>
      <c r="F54" s="103"/>
      <c r="G54" s="22">
        <f>(G53)*'Fane 13. Nøgletal'!C33</f>
        <v>434573.94563467195</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23014688.50165572</v>
      </c>
      <c r="H58" s="14" t="s">
        <v>3</v>
      </c>
      <c r="I58" s="1"/>
    </row>
    <row r="59" spans="1:9" x14ac:dyDescent="0.25">
      <c r="A59" s="1"/>
      <c r="B59" s="101" t="s">
        <v>146</v>
      </c>
      <c r="C59" s="102"/>
      <c r="D59" s="102"/>
      <c r="E59" s="102"/>
      <c r="F59" s="103"/>
      <c r="G59" s="22">
        <f>(G58)*'Fane 13. Nøgletal'!C33</f>
        <v>460293.77003311442</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24376789.825937714</v>
      </c>
      <c r="H63" s="14" t="s">
        <v>3</v>
      </c>
      <c r="I63" s="1"/>
    </row>
    <row r="64" spans="1:9" x14ac:dyDescent="0.25">
      <c r="A64" s="1"/>
      <c r="B64" s="101" t="s">
        <v>222</v>
      </c>
      <c r="C64" s="102"/>
      <c r="D64" s="102"/>
      <c r="E64" s="102"/>
      <c r="F64" s="103"/>
      <c r="G64" s="22">
        <f>(G63)*'Fane 13. Nøgletal'!C33</f>
        <v>487535.79651875427</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V56E3cKJxktzN6hioy+QD8/lEkbxpvoQZgV8udLKOBeB+LVW0r8wedzsapHgQlmQrsTSM8w/R+J7qObPWF5cWQ==" saltValue="c8o4TVsoIobmYzxV/h36N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topLeftCell="A22" zoomScaleNormal="120" workbookViewId="0">
      <selection activeCell="G42" sqref="G42"/>
    </sheetView>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10146511.14422214</v>
      </c>
      <c r="H5" s="14" t="s">
        <v>3</v>
      </c>
      <c r="I5" s="1"/>
    </row>
    <row r="6" spans="1:9" x14ac:dyDescent="0.25">
      <c r="A6" s="1"/>
      <c r="B6" s="101" t="s">
        <v>49</v>
      </c>
      <c r="C6" s="102"/>
      <c r="D6" s="102"/>
      <c r="E6" s="102"/>
      <c r="F6" s="103"/>
      <c r="G6" s="22">
        <f>G5*'Fane 13. Nøgletal'!C21</f>
        <v>92333.251412421479</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10181865.952048402</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92654.980163640459</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10259718.637309613</v>
      </c>
      <c r="H16" s="14" t="s">
        <v>3</v>
      </c>
      <c r="I16" s="1"/>
    </row>
    <row r="17" spans="1:9" x14ac:dyDescent="0.25">
      <c r="A17" s="1"/>
      <c r="B17" s="101" t="s">
        <v>101</v>
      </c>
      <c r="C17" s="102"/>
      <c r="D17" s="102"/>
      <c r="E17" s="102"/>
      <c r="F17" s="103"/>
      <c r="G17" s="47">
        <v>129414.28448585492</v>
      </c>
      <c r="H17" s="14" t="s">
        <v>3</v>
      </c>
      <c r="I17" s="1"/>
    </row>
    <row r="18" spans="1:9" x14ac:dyDescent="0.25">
      <c r="A18" s="1"/>
      <c r="B18" s="104" t="s">
        <v>58</v>
      </c>
      <c r="C18" s="105"/>
      <c r="D18" s="105"/>
      <c r="E18" s="105"/>
      <c r="F18" s="106"/>
      <c r="G18" s="47">
        <v>659073.42944789003</v>
      </c>
      <c r="H18" s="14" t="s">
        <v>3</v>
      </c>
      <c r="I18" s="1"/>
    </row>
    <row r="19" spans="1:9" x14ac:dyDescent="0.25">
      <c r="A19" s="1"/>
      <c r="B19" s="101" t="s">
        <v>59</v>
      </c>
      <c r="C19" s="102"/>
      <c r="D19" s="102"/>
      <c r="E19" s="102"/>
      <c r="F19" s="103"/>
      <c r="G19" s="22">
        <f>(G16+G17+G18)*'Fane 13. Nøgletal'!C23</f>
        <v>96119.395255817188</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11137177.225543728</v>
      </c>
      <c r="H23" s="14" t="s">
        <v>3</v>
      </c>
      <c r="I23" s="1"/>
    </row>
    <row r="24" spans="1:9" x14ac:dyDescent="0.25">
      <c r="A24" s="1"/>
      <c r="B24" s="104" t="s">
        <v>62</v>
      </c>
      <c r="C24" s="105"/>
      <c r="D24" s="105"/>
      <c r="E24" s="105"/>
      <c r="F24" s="106"/>
      <c r="G24" s="47">
        <v>9053.8820085087009</v>
      </c>
      <c r="H24" s="14" t="s">
        <v>3</v>
      </c>
      <c r="I24" s="1"/>
    </row>
    <row r="25" spans="1:9" x14ac:dyDescent="0.25">
      <c r="A25" s="1"/>
      <c r="B25" s="101" t="s">
        <v>63</v>
      </c>
      <c r="C25" s="102"/>
      <c r="D25" s="102"/>
      <c r="E25" s="102"/>
      <c r="F25" s="103"/>
      <c r="G25" s="22">
        <f>G23*'Fane 13. Nøgletal'!C23+G24*'Fane 13. Nøgletal'!C24</f>
        <v>97150.572111272064</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11183879.317973344</v>
      </c>
      <c r="H29" s="14" t="s">
        <v>3</v>
      </c>
      <c r="I29" s="1"/>
    </row>
    <row r="30" spans="1:9" x14ac:dyDescent="0.25">
      <c r="A30" s="1"/>
      <c r="B30" s="101" t="s">
        <v>113</v>
      </c>
      <c r="C30" s="102"/>
      <c r="D30" s="102"/>
      <c r="E30" s="102"/>
      <c r="F30" s="103"/>
      <c r="G30" s="47">
        <v>292460.54002451996</v>
      </c>
      <c r="H30" s="14" t="s">
        <v>3</v>
      </c>
      <c r="I30" s="1"/>
    </row>
    <row r="31" spans="1:9" x14ac:dyDescent="0.25">
      <c r="A31" s="1"/>
      <c r="B31" s="101" t="s">
        <v>120</v>
      </c>
      <c r="C31" s="102"/>
      <c r="D31" s="102"/>
      <c r="E31" s="102"/>
      <c r="F31" s="103"/>
      <c r="G31" s="22">
        <f>(G29+G30)*'Fane 13. Nøgletal'!C25</f>
        <v>315599.34609494125</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11296901.546148138</v>
      </c>
      <c r="H35" s="14" t="s">
        <v>3</v>
      </c>
      <c r="I35" s="1"/>
    </row>
    <row r="36" spans="1:9" x14ac:dyDescent="0.25">
      <c r="A36" s="1"/>
      <c r="B36" s="101" t="s">
        <v>129</v>
      </c>
      <c r="C36" s="102"/>
      <c r="D36" s="102"/>
      <c r="E36" s="102"/>
      <c r="F36" s="103"/>
      <c r="G36" s="22">
        <v>446464.14126348007</v>
      </c>
      <c r="H36" s="14" t="s">
        <v>3</v>
      </c>
      <c r="I36" s="1"/>
    </row>
    <row r="37" spans="1:9" x14ac:dyDescent="0.25">
      <c r="A37" s="1"/>
      <c r="B37" s="101" t="s">
        <v>125</v>
      </c>
      <c r="C37" s="102"/>
      <c r="D37" s="102"/>
      <c r="E37" s="102"/>
      <c r="F37" s="103"/>
      <c r="G37" s="22">
        <f>G35*'Fane 13. Nøgletal'!C25+G36*'Fane 13. Nøgletal'!C26</f>
        <v>317272.46180977335</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11832862.144433271</v>
      </c>
      <c r="H41" s="14" t="s">
        <v>3</v>
      </c>
      <c r="I41" s="1"/>
    </row>
    <row r="42" spans="1:9" x14ac:dyDescent="0.25">
      <c r="A42" s="1"/>
      <c r="B42" s="101" t="s">
        <v>169</v>
      </c>
      <c r="C42" s="102"/>
      <c r="D42" s="102"/>
      <c r="E42" s="102"/>
      <c r="F42" s="103"/>
      <c r="G42" s="9">
        <v>280416.96815184003</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12544511.848993141</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76529.947849599994</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13640821.974027634</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14743000.389529066</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15934234.821003014</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YJM7NSNe7F0B5niufZiQATnFTk8DmYH0Apc/bHLEgjpnlvrkkcQjgPGJqxzDNTXMzO/H6liJyu61C+Vltr3aYw==" saltValue="eFsWTOafgXml6DxsLqW9b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5" t="s">
        <v>150</v>
      </c>
      <c r="C9" s="66"/>
      <c r="D9" s="66"/>
      <c r="E9" s="66"/>
      <c r="F9" s="67"/>
      <c r="G9" s="51">
        <v>0.02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dXN+0bB9sU6hLgfhRSU5u53d2j/8pX/g3QfJjEttMY0iEqE6HBoD1ioI3+ziOtHml1C4PWlO34PiRqpoigP/xg==" saltValue="DgpxKJUFofd1WPrPZKd6X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2024-01-10T12:45:02Z</dcterms:modified>
</cp:coreProperties>
</file>