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Vallensbæk AS (V093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29" i="8" l="1"/>
  <c r="E33" i="8" l="1"/>
  <c r="E25" i="8" l="1"/>
  <c r="E35" i="8" s="1"/>
  <c r="E20" i="5" l="1"/>
  <c r="E20" i="4"/>
  <c r="E21" i="3"/>
  <c r="E25" i="2"/>
  <c r="E10" i="2"/>
  <c r="E14" i="6"/>
  <c r="C11" i="12" l="1"/>
  <c r="C12" i="12" s="1"/>
  <c r="C13" i="7"/>
  <c r="C14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<sst xmlns="http://schemas.openxmlformats.org/spreadsheetml/2006/main" count="403" uniqueCount="153">
  <si>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</si>
  <si>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</si>
  <si>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</si>
  <si>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</si>
  <si>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</si>
  <si>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</si>
  <si>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</si>
  <si>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</si>
  <si>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</si>
  <si>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</si>
  <si>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</si>
  <si>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</si>
  <si>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</si>
  <si>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</si>
  <si>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</si>
  <si>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</si>
  <si>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</si>
  <si>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</si>
  <si>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</si>
  <si>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</si>
  <si>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</si>
  <si>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</si>
  <si>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</si>
  <si>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</si>
  <si>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</si>
  <si>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</si>
  <si>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</si>
  <si>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</si>
  <si>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</si>
  <si>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</si>
  <si>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</si>
  <si>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</si>
  <si>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</si>
  <si>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</si>
  <si>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</si>
  <si>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</si>
  <si>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</si>
  <si>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</si>
  <si>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</si>
  <si>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</si>
  <si>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</si>
  <si>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</si>
  <si>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</si>
  <si>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</si>
  <si>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</si>
  <si>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</si>
  <si>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</si>
  <si>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</si>
  <si>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</si>
  <si>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</si>
  <si>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</si>
  <si>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</si>
  <si>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</si>
  <si>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</si>
  <si>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</si>
  <si>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</si>
  <si>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</si>
  <si>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</si>
  <si>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</si>
  <si>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</si>
  <si>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</si>
  <si>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</si>
  <si>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</si>
  <si>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</si>
  <si>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</si>
  <si>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</si>
  <si>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</si>
  <si>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</si>
  <si>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</si>
  <si>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</si>
  <si>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</si>
  <si>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</si>
  <si>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</si>
  <si>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</si>
  <si>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</si>
  <si>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</si>
  <si>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</si>
  <si>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</si>
  <si>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</si>
  <si>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</si>
  <si>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</si>
  <si>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</si>
  <si>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</si>
  <si>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</si>
  <si>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</si>
  <si>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</si>
  <si>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</si>
  <si>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</si>
  <si>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</si>
  <si>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</si>
  <si>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</si>
  <si>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</si>
  <si>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</si>
  <si>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</si>
  <si>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</si>
  <si>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</si>
  <si>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</si>
  <si>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</si>
  <si>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</si>
  <si>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</si>
  <si>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</si>
  <si>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</si>
  <si>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</si>
  <si>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</si>
  <si>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</si>
  <si>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</si>
  <si>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</si>
  <si>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</si>
  <si>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</si>
  <si>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</si>
  <si>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</si>
  <si>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</si>
  <si>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</si>
  <si>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</si>
  <si>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</si>
  <si>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</si>
  <si>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</si>
  <si>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</si>
  <si>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</si>
  <si>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</si>
  <si>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</si>
  <si>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</si>
  <si>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</si>
  <si>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</si>
  <si>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</si>
  <si>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</si>
  <si>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</si>
  <si>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</si>
  <si>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</si>
  <si>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</si>
  <si>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</si>
  <si>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for ledningsført vand</t>
  </si>
  <si>
    <t>Afgift til Forsyningssekretariatet</t>
  </si>
  <si>
    <t>Køb af produkter og ydelser fra andre vandselskaber reguleret af vandsektorloven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</si>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</sst>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6" fillId="7" borderId="1" xfId="0" applyFont="1" applyFill="1" applyBorder="1" applyAlignment="1" applyProtection="1"/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3" fontId="0" fillId="0" borderId="0" xfId="0" applyNumberForma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>
      <selection activeCell="K18" sqref="K18"/>
    </sheetView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2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25">
      <c r="A8" s="1"/>
      <c r="B8" s="1"/>
      <c r="C8" s="4"/>
      <c r="D8" s="73" t="s">
        <v>94</v>
      </c>
      <c r="E8" s="73"/>
      <c r="F8" s="73"/>
      <c r="G8" s="7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2" t="s">
        <v>5</v>
      </c>
      <c r="E11" s="72"/>
      <c r="F11" s="72"/>
      <c r="G11" s="7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8" t="s">
        <v>87</v>
      </c>
      <c r="E13" s="69"/>
      <c r="F13" s="69"/>
      <c r="G13" s="70"/>
      <c r="H13" s="1"/>
      <c r="I13" s="1"/>
    </row>
    <row r="14" spans="1:9" x14ac:dyDescent="0.25">
      <c r="A14" s="1"/>
      <c r="B14" s="1"/>
      <c r="C14" s="6" t="s">
        <v>15</v>
      </c>
      <c r="D14" s="68" t="s">
        <v>37</v>
      </c>
      <c r="E14" s="69"/>
      <c r="F14" s="69"/>
      <c r="G14" s="70"/>
      <c r="H14" s="1"/>
      <c r="I14" s="1"/>
    </row>
    <row r="15" spans="1:9" x14ac:dyDescent="0.25">
      <c r="A15" s="1"/>
      <c r="B15" s="1"/>
      <c r="C15" s="6" t="s">
        <v>32</v>
      </c>
      <c r="D15" s="68" t="s">
        <v>63</v>
      </c>
      <c r="E15" s="69"/>
      <c r="F15" s="69"/>
      <c r="G15" s="70"/>
      <c r="H15" s="1"/>
      <c r="I15" s="1"/>
    </row>
    <row r="16" spans="1:9" x14ac:dyDescent="0.25">
      <c r="A16" s="1"/>
      <c r="B16" s="1"/>
      <c r="C16" s="6" t="s">
        <v>33</v>
      </c>
      <c r="D16" s="68" t="s">
        <v>95</v>
      </c>
      <c r="E16" s="69"/>
      <c r="F16" s="69"/>
      <c r="G16" s="70"/>
      <c r="H16" s="1"/>
      <c r="I16" s="1"/>
    </row>
    <row r="17" spans="1:9" x14ac:dyDescent="0.25">
      <c r="A17" s="1"/>
      <c r="B17" s="1"/>
      <c r="C17" s="6" t="s">
        <v>59</v>
      </c>
      <c r="D17" s="68" t="s">
        <v>96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7</v>
      </c>
      <c r="D18" s="65" t="s">
        <v>12</v>
      </c>
      <c r="E18" s="66"/>
      <c r="F18" s="66"/>
      <c r="G18" s="67"/>
      <c r="H18" s="1"/>
      <c r="I18" s="1"/>
    </row>
    <row r="19" spans="1:9" x14ac:dyDescent="0.25">
      <c r="A19" s="1"/>
      <c r="B19" s="1"/>
      <c r="C19" s="6" t="s">
        <v>8</v>
      </c>
      <c r="D19" s="59" t="s">
        <v>97</v>
      </c>
      <c r="E19" s="60"/>
      <c r="F19" s="60"/>
      <c r="G19" s="61"/>
      <c r="H19" s="1"/>
      <c r="I19" s="1"/>
    </row>
    <row r="20" spans="1:9" x14ac:dyDescent="0.25">
      <c r="A20" s="1"/>
      <c r="B20" s="1"/>
      <c r="C20" s="6" t="s">
        <v>56</v>
      </c>
      <c r="D20" s="59" t="s">
        <v>34</v>
      </c>
      <c r="E20" s="60"/>
      <c r="F20" s="60"/>
      <c r="G20" s="61"/>
      <c r="H20" s="1"/>
      <c r="I20" s="1"/>
    </row>
    <row r="21" spans="1:9" x14ac:dyDescent="0.25">
      <c r="A21" s="1"/>
      <c r="B21" s="1"/>
      <c r="C21" s="6" t="s">
        <v>82</v>
      </c>
      <c r="D21" s="59" t="s">
        <v>41</v>
      </c>
      <c r="E21" s="60"/>
      <c r="F21" s="60"/>
      <c r="G21" s="61"/>
      <c r="H21" s="1"/>
      <c r="I21" s="1"/>
    </row>
    <row r="22" spans="1:9" x14ac:dyDescent="0.25">
      <c r="A22" s="1"/>
      <c r="B22" s="1"/>
      <c r="C22" s="6" t="s">
        <v>83</v>
      </c>
      <c r="D22" s="59" t="s">
        <v>42</v>
      </c>
      <c r="E22" s="60"/>
      <c r="F22" s="60"/>
      <c r="G22" s="61"/>
      <c r="H22" s="1"/>
      <c r="I22" s="1"/>
    </row>
    <row r="23" spans="1:9" x14ac:dyDescent="0.25">
      <c r="A23" s="1"/>
      <c r="B23" s="1"/>
      <c r="C23" s="6" t="s">
        <v>84</v>
      </c>
      <c r="D23" s="59" t="s">
        <v>64</v>
      </c>
      <c r="E23" s="60"/>
      <c r="F23" s="60"/>
      <c r="G23" s="61"/>
      <c r="H23" s="1"/>
      <c r="I23" s="1"/>
    </row>
    <row r="24" spans="1:9" x14ac:dyDescent="0.25">
      <c r="A24" s="1"/>
      <c r="B24" s="1"/>
      <c r="C24" s="6" t="s">
        <v>9</v>
      </c>
      <c r="D24" s="59" t="s">
        <v>35</v>
      </c>
      <c r="E24" s="60"/>
      <c r="F24" s="60"/>
      <c r="G24" s="61"/>
      <c r="H24" s="1"/>
      <c r="I24" s="1"/>
    </row>
    <row r="25" spans="1:9" x14ac:dyDescent="0.25">
      <c r="A25" s="1"/>
      <c r="B25" s="1"/>
      <c r="C25" s="6" t="s">
        <v>50</v>
      </c>
      <c r="D25" s="62" t="s">
        <v>57</v>
      </c>
      <c r="E25" s="63"/>
      <c r="F25" s="63"/>
      <c r="G25" s="64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M2cKgSeiW/gNU5cIVBM4Eq53Ch6pS5WmsA+3HRLXJM9/n6/BFQexWQvs6K29fPr/uXh4PS3ZTV/E/lq0SSf0g==" saltValue="K7L0wLapJ1of32LuNnwbCA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89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2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2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56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6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TTZr801v+T/ccxr1XfQMk2JCDysNokJu7f5QOHdiynbjtXEwTPNZfZJth5SpeR7HtF7Po3Gezlnqh+Y8Gq7gQw==" saltValue="jUbg0CMrLw3PNfTeBmu8rg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90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51</v>
      </c>
      <c r="C8" s="90"/>
      <c r="D8" s="90"/>
      <c r="E8" s="90"/>
      <c r="F8" s="91"/>
      <c r="G8" s="1"/>
    </row>
    <row r="9" spans="1:7" x14ac:dyDescent="0.2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2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2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9" t="s">
        <v>52</v>
      </c>
      <c r="C15" s="90"/>
      <c r="D15" s="90"/>
      <c r="E15" s="90"/>
      <c r="F15" s="91"/>
      <c r="G15" s="1"/>
    </row>
    <row r="16" spans="1:7" x14ac:dyDescent="0.2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2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2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9" t="s">
        <v>77</v>
      </c>
      <c r="C22" s="90"/>
      <c r="D22" s="90"/>
      <c r="E22" s="90"/>
      <c r="F22" s="91"/>
      <c r="G22" s="1"/>
    </row>
    <row r="23" spans="1:7" x14ac:dyDescent="0.2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2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2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9" t="s">
        <v>112</v>
      </c>
      <c r="C29" s="90"/>
      <c r="D29" s="90"/>
      <c r="E29" s="90"/>
      <c r="F29" s="91"/>
      <c r="G29" s="1"/>
    </row>
    <row r="30" spans="1:7" x14ac:dyDescent="0.2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2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2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2xGtnQ7ZEn1HDJLfb+GUoYUyEc6wT8YImNEigPo2ooafL4JfVlEQFyOv464AEkFhkoJF/BwgHe7mGwdYiXrN1A==" saltValue="uZiLF8H4M/4Ef45DEbO8cg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91</v>
      </c>
      <c r="C3" s="76"/>
      <c r="D3" s="76"/>
      <c r="E3" s="76"/>
      <c r="F3" s="76"/>
      <c r="G3" s="1"/>
    </row>
    <row r="4" spans="1:7" ht="25.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71</v>
      </c>
      <c r="C8" s="90"/>
      <c r="D8" s="90"/>
      <c r="E8" s="90"/>
      <c r="F8" s="91"/>
      <c r="G8" s="1"/>
    </row>
    <row r="9" spans="1:7" ht="15" customHeight="1" x14ac:dyDescent="0.25">
      <c r="A9" s="1"/>
      <c r="B9" s="54" t="s">
        <v>78</v>
      </c>
      <c r="C9" s="105" t="s">
        <v>11</v>
      </c>
      <c r="D9" s="106"/>
      <c r="E9" s="105" t="s">
        <v>28</v>
      </c>
      <c r="F9" s="106"/>
      <c r="G9" s="1"/>
    </row>
    <row r="10" spans="1:7" x14ac:dyDescent="0.2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HxNpI25tEOjv3/29tOUqfXAyVM960palrR0UluxNFsLu1a7LD0zHIeAwhfVqtT3nCJ4LZe6EuZuZnf/b0QONfA==" saltValue="1o4YFLnjtszqB0IcJtZIwg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92</v>
      </c>
      <c r="C3" s="76"/>
      <c r="D3" s="76"/>
      <c r="E3" s="76"/>
      <c r="F3" s="76"/>
      <c r="G3" s="1"/>
    </row>
    <row r="4" spans="1:7" ht="25.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48</v>
      </c>
      <c r="C8" s="90"/>
      <c r="D8" s="90"/>
      <c r="E8" s="90"/>
      <c r="F8" s="91"/>
      <c r="G8" s="1"/>
    </row>
    <row r="9" spans="1:7" ht="15" customHeight="1" x14ac:dyDescent="0.2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25">
      <c r="A10" s="1"/>
      <c r="B10" s="20" t="s">
        <v>134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49</v>
      </c>
      <c r="C14" s="90"/>
      <c r="D14" s="90"/>
      <c r="E14" s="90"/>
      <c r="F14" s="91"/>
      <c r="G14" s="1"/>
    </row>
    <row r="15" spans="1:7" ht="26.25" x14ac:dyDescent="0.2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25">
      <c r="A16" s="1"/>
      <c r="B16" s="20" t="s">
        <v>134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73</v>
      </c>
      <c r="C20" s="90"/>
      <c r="D20" s="90"/>
      <c r="E20" s="90"/>
      <c r="F20" s="91"/>
      <c r="G20" s="1"/>
    </row>
    <row r="21" spans="1:7" ht="26.25" x14ac:dyDescent="0.2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25">
      <c r="A22" s="1"/>
      <c r="B22" s="20" t="s">
        <v>134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116</v>
      </c>
      <c r="C26" s="90"/>
      <c r="D26" s="90"/>
      <c r="E26" s="90"/>
      <c r="F26" s="91"/>
      <c r="G26" s="1"/>
    </row>
    <row r="27" spans="1:7" ht="26.25" x14ac:dyDescent="0.2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25">
      <c r="A28" s="1"/>
      <c r="B28" s="20" t="s">
        <v>134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lZ1fotP2rGMkNvAjzzfRq3o3eLu67BYnF45sQ6u/hOL80rl0gLWOhC4EVeI6T7J6krJ/2Qyx/C59ec9BaoVYVw==" saltValue="ZVhA0rZYYiBvg0wuNqqx8g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6" t="s">
        <v>93</v>
      </c>
      <c r="C3" s="76"/>
      <c r="D3" s="1"/>
    </row>
    <row r="4" spans="1:4" ht="25.5" customHeight="1" x14ac:dyDescent="0.25">
      <c r="A4" s="1"/>
      <c r="B4" s="76"/>
      <c r="C4" s="7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6" t="s">
        <v>14</v>
      </c>
      <c r="C8" s="57"/>
      <c r="D8" s="1"/>
    </row>
    <row r="9" spans="1:4" x14ac:dyDescent="0.25">
      <c r="A9" s="1"/>
      <c r="B9" s="28" t="s">
        <v>127</v>
      </c>
      <c r="C9" s="21">
        <v>1.2699999999999999E-2</v>
      </c>
      <c r="D9" s="1"/>
    </row>
    <row r="10" spans="1:4" x14ac:dyDescent="0.25">
      <c r="A10" s="1"/>
      <c r="B10" s="28" t="s">
        <v>118</v>
      </c>
      <c r="C10" s="21">
        <v>1.7500000000000002E-2</v>
      </c>
      <c r="D10" s="1"/>
    </row>
    <row r="11" spans="1:4" x14ac:dyDescent="0.25">
      <c r="A11" s="1"/>
      <c r="B11" s="28" t="s">
        <v>22</v>
      </c>
      <c r="C11" s="21">
        <v>1.6899999999999998E-2</v>
      </c>
      <c r="D11" s="1"/>
    </row>
    <row r="12" spans="1:4" x14ac:dyDescent="0.25">
      <c r="A12" s="1"/>
      <c r="B12" s="28" t="s">
        <v>36</v>
      </c>
      <c r="C12" s="21">
        <v>1.9699999999999999E-2</v>
      </c>
      <c r="D12" s="1"/>
    </row>
    <row r="13" spans="1:4" x14ac:dyDescent="0.25">
      <c r="A13" s="1"/>
      <c r="B13" s="30" t="s">
        <v>74</v>
      </c>
      <c r="C13" s="31">
        <v>1.2200000000000001E-2</v>
      </c>
      <c r="D13" s="1"/>
    </row>
    <row r="14" spans="1:4" x14ac:dyDescent="0.25">
      <c r="A14" s="1"/>
      <c r="B14" s="30" t="s">
        <v>119</v>
      </c>
      <c r="C14" s="31">
        <v>3.3E-3</v>
      </c>
      <c r="D14" s="1"/>
    </row>
    <row r="15" spans="1:4" x14ac:dyDescent="0.25">
      <c r="A15" s="1"/>
      <c r="B15" s="56"/>
      <c r="C15" s="5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6" t="s">
        <v>54</v>
      </c>
      <c r="C18" s="57"/>
      <c r="D18" s="1"/>
    </row>
    <row r="19" spans="1:4" x14ac:dyDescent="0.25">
      <c r="A19" s="1"/>
      <c r="B19" s="28" t="s">
        <v>58</v>
      </c>
      <c r="C19" s="21">
        <v>1.7000000000000001E-2</v>
      </c>
      <c r="D19" s="1"/>
    </row>
    <row r="20" spans="1:4" x14ac:dyDescent="0.25">
      <c r="A20" s="1"/>
      <c r="B20" s="107"/>
      <c r="C20" s="108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1ieJxV+kpiSKLl9L5J02qQlDdqzQ3lqeHsnfrioJW9+EnrllZJzk+cLt5r9sjsRWLm2wTzkN5FzC2c5hYyUpSQ==" saltValue="K58YnHcBj6BTuJ4HaNtLWg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>
      <selection activeCell="E25" sqref="E25"/>
    </sheetView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98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</v>
      </c>
      <c r="C8" s="40"/>
      <c r="D8" s="40"/>
      <c r="E8" s="40"/>
      <c r="F8" s="40"/>
      <c r="G8" s="1"/>
    </row>
    <row r="9" spans="1:7" x14ac:dyDescent="0.25">
      <c r="A9" s="1"/>
      <c r="B9" s="46" t="s">
        <v>24</v>
      </c>
      <c r="C9" s="46"/>
      <c r="D9" s="46"/>
      <c r="E9" s="7">
        <f>'Fane 3. Omkostninger i ØR2021'!E16</f>
        <v>3826082.8088675383</v>
      </c>
      <c r="F9" s="46" t="s">
        <v>3</v>
      </c>
      <c r="G9" s="1"/>
    </row>
    <row r="10" spans="1:7" ht="17.100000000000001" customHeight="1" x14ac:dyDescent="0.25">
      <c r="A10" s="1"/>
      <c r="B10" s="33" t="s">
        <v>121</v>
      </c>
      <c r="C10" s="46"/>
      <c r="D10" s="46"/>
      <c r="E10" s="7">
        <f>'Fane 3. Omkostninger i ØR2021'!E13*(1-'Fane 10. Nøgletal'!C19)*(1+'Fane 10. Nøgletal'!C13)</f>
        <v>0</v>
      </c>
      <c r="F10" s="46" t="s">
        <v>3</v>
      </c>
      <c r="G10" s="1"/>
    </row>
    <row r="11" spans="1:7" ht="17.100000000000001" customHeight="1" x14ac:dyDescent="0.25">
      <c r="A11" s="1"/>
      <c r="B11" s="29" t="s">
        <v>60</v>
      </c>
      <c r="C11" s="46"/>
      <c r="D11" s="46"/>
      <c r="E11" s="7">
        <f>'Fane 7.1. Varige tillæg'!C12+'Fane 7.1. Varige tillæg'!E12</f>
        <v>0</v>
      </c>
      <c r="F11" s="46" t="s">
        <v>3</v>
      </c>
      <c r="G11" s="1"/>
    </row>
    <row r="12" spans="1:7" ht="17.100000000000001" customHeight="1" x14ac:dyDescent="0.25">
      <c r="A12" s="1"/>
      <c r="B12" s="29" t="s">
        <v>62</v>
      </c>
      <c r="C12" s="46"/>
      <c r="D12" s="46"/>
      <c r="E12" s="8">
        <f>-('Fane 9. Bortfald'!C12+'Fane 9. Bortfald'!E12)</f>
        <v>0</v>
      </c>
      <c r="F12" s="46" t="s">
        <v>3</v>
      </c>
      <c r="G12" s="1"/>
    </row>
    <row r="13" spans="1:7" ht="17.100000000000001" customHeight="1" x14ac:dyDescent="0.25">
      <c r="A13" s="1"/>
      <c r="B13" s="29" t="s">
        <v>65</v>
      </c>
      <c r="C13" s="46"/>
      <c r="D13" s="46"/>
      <c r="E13" s="8">
        <f>'Fane 8. Tilknyttet virksomhed'!C12+'Fane 8. Tilknyttet virksomhed'!E12</f>
        <v>0</v>
      </c>
      <c r="F13" s="46" t="s">
        <v>3</v>
      </c>
      <c r="G13" s="1"/>
    </row>
    <row r="14" spans="1:7" ht="17.100000000000001" customHeight="1" x14ac:dyDescent="0.25">
      <c r="A14" s="1"/>
      <c r="B14" s="29" t="s">
        <v>18</v>
      </c>
      <c r="C14" s="46"/>
      <c r="D14" s="46"/>
      <c r="E14" s="8">
        <f>E9*'Fane 10. Nøgletal'!C13+SUM(E11:E13)*'Fane 10. Nøgletal'!C14</f>
        <v>46678.210268183968</v>
      </c>
      <c r="F14" s="46" t="s">
        <v>3</v>
      </c>
      <c r="G14" s="1"/>
    </row>
    <row r="15" spans="1:7" ht="17.100000000000001" customHeight="1" x14ac:dyDescent="0.25">
      <c r="A15" s="1"/>
      <c r="B15" s="29" t="s">
        <v>54</v>
      </c>
      <c r="C15" s="46"/>
      <c r="D15" s="46"/>
      <c r="E15" s="8">
        <f>-SUM(E9,E11:E14)*'Fane 10. Nøgletal'!C19</f>
        <v>-65836.937325307284</v>
      </c>
      <c r="F15" s="46" t="s">
        <v>3</v>
      </c>
      <c r="G15" s="1"/>
    </row>
    <row r="16" spans="1:7" ht="15" customHeight="1" x14ac:dyDescent="0.25">
      <c r="A16" s="1"/>
      <c r="B16" s="50" t="s">
        <v>20</v>
      </c>
      <c r="C16" s="39"/>
      <c r="D16" s="39"/>
      <c r="E16" s="9">
        <f>SUM(E9,E11:E15)</f>
        <v>3806924.0818104153</v>
      </c>
      <c r="F16" s="41" t="s">
        <v>3</v>
      </c>
      <c r="G16" s="1"/>
    </row>
    <row r="17" spans="1:7" ht="15" customHeight="1" x14ac:dyDescent="0.2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25">
      <c r="A18" s="1"/>
      <c r="B18" s="41" t="s">
        <v>12</v>
      </c>
      <c r="C18" s="41"/>
      <c r="D18" s="41"/>
      <c r="E18" s="9">
        <f>'Fane 4. Ikke-påvirkelige omk.'!C14</f>
        <v>4514599.5111055011</v>
      </c>
      <c r="F18" s="41" t="s">
        <v>3</v>
      </c>
      <c r="G18" s="1"/>
    </row>
    <row r="19" spans="1:7" ht="15" customHeight="1" x14ac:dyDescent="0.2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25">
      <c r="A20" s="1"/>
      <c r="B20" s="29" t="s">
        <v>39</v>
      </c>
      <c r="C20" s="46"/>
      <c r="D20" s="46"/>
      <c r="E20" s="8">
        <f>'Fane 7.2. Engangstillæg'!C13</f>
        <v>0</v>
      </c>
      <c r="F20" s="46" t="s">
        <v>3</v>
      </c>
      <c r="G20" s="1"/>
    </row>
    <row r="21" spans="1:7" x14ac:dyDescent="0.25">
      <c r="A21" s="1"/>
      <c r="B21" s="29" t="s">
        <v>40</v>
      </c>
      <c r="C21" s="46"/>
      <c r="D21" s="46"/>
      <c r="E21" s="8">
        <f>'Fane 7.2. Engangstillæg'!E13</f>
        <v>0</v>
      </c>
      <c r="F21" s="46" t="s">
        <v>3</v>
      </c>
      <c r="G21" s="1"/>
    </row>
    <row r="22" spans="1:7" ht="15" customHeight="1" x14ac:dyDescent="0.25">
      <c r="A22" s="1"/>
      <c r="B22" s="50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25">
      <c r="A23" s="1"/>
      <c r="B23" s="40" t="s">
        <v>85</v>
      </c>
      <c r="C23" s="40"/>
      <c r="D23" s="40"/>
      <c r="E23" s="40"/>
      <c r="F23" s="40"/>
      <c r="G23" s="1"/>
    </row>
    <row r="24" spans="1:7" x14ac:dyDescent="0.25">
      <c r="A24" s="1"/>
      <c r="B24" s="50" t="s">
        <v>31</v>
      </c>
      <c r="C24" s="39"/>
      <c r="D24" s="39"/>
      <c r="E24" s="9">
        <v>-228486.01026666665</v>
      </c>
      <c r="F24" s="41" t="s">
        <v>3</v>
      </c>
      <c r="G24" s="1"/>
    </row>
    <row r="25" spans="1:7" x14ac:dyDescent="0.25">
      <c r="A25" s="1"/>
      <c r="B25" s="50" t="s">
        <v>86</v>
      </c>
      <c r="C25" s="39"/>
      <c r="D25" s="39"/>
      <c r="E25" s="9">
        <f>'Fane 5. Kontrol af ØR2020'!E29</f>
        <v>-1096071.4612343265</v>
      </c>
      <c r="F25" s="41" t="s">
        <v>3</v>
      </c>
      <c r="G25" s="1"/>
    </row>
    <row r="26" spans="1:7" x14ac:dyDescent="0.25">
      <c r="A26" s="1"/>
      <c r="B26" s="40" t="s">
        <v>148</v>
      </c>
      <c r="C26" s="40"/>
      <c r="D26" s="40"/>
      <c r="E26" s="40"/>
      <c r="F26" s="40"/>
      <c r="G26" s="1"/>
    </row>
    <row r="27" spans="1:7" x14ac:dyDescent="0.25">
      <c r="A27" s="1"/>
      <c r="B27" s="41" t="s">
        <v>149</v>
      </c>
      <c r="C27" s="41"/>
      <c r="D27" s="41"/>
      <c r="E27" s="9">
        <v>0</v>
      </c>
      <c r="F27" s="41" t="s">
        <v>3</v>
      </c>
      <c r="G27" s="1"/>
    </row>
    <row r="28" spans="1:7" x14ac:dyDescent="0.25">
      <c r="A28" s="1"/>
      <c r="B28" s="40" t="s">
        <v>26</v>
      </c>
      <c r="C28" s="40"/>
      <c r="D28" s="40"/>
      <c r="E28" s="10">
        <f>SUM(E16,E18,E22,E24,E25,E27)</f>
        <v>6996966.121414924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2:6" x14ac:dyDescent="0.25">
      <c r="B49" s="1"/>
      <c r="C49" s="1"/>
      <c r="D49" s="1"/>
      <c r="E49" s="1"/>
      <c r="F49" s="1"/>
    </row>
    <row r="50" spans="2:6" x14ac:dyDescent="0.25">
      <c r="B50" s="1"/>
      <c r="C50" s="1"/>
      <c r="D50" s="1"/>
      <c r="E50" s="1"/>
      <c r="F50" s="1"/>
    </row>
  </sheetData>
  <sheetProtection algorithmName="SHA-512" hashValue="R/1PVDDAZXT0dYcedklc1cjZGwNXGWNWBr7EIcnEigkQDsdSaADTJu0NPBW/BkuM4COX2iiGpKWc/YO3stTlqQ==" saltValue="Idcj4WMgA+4x+Z4ck/ezAg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99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5" t="s">
        <v>101</v>
      </c>
      <c r="C5" s="75"/>
      <c r="D5" s="75"/>
      <c r="E5" s="75"/>
      <c r="F5" s="7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25">
      <c r="A9" s="1"/>
      <c r="B9" s="46" t="s">
        <v>66</v>
      </c>
      <c r="C9" s="46"/>
      <c r="D9" s="46"/>
      <c r="E9" s="7">
        <f>'Fane 2.1. Økonomisk ramme 2022'!E16</f>
        <v>3806924.0818104153</v>
      </c>
      <c r="F9" s="46" t="s">
        <v>3</v>
      </c>
      <c r="G9" s="1"/>
    </row>
    <row r="10" spans="1:7" ht="15" customHeight="1" x14ac:dyDescent="0.25">
      <c r="A10" s="1"/>
      <c r="B10" s="29" t="s">
        <v>62</v>
      </c>
      <c r="C10" s="46"/>
      <c r="D10" s="46"/>
      <c r="E10" s="7">
        <f>-('Fane 9. Bortfald'!C18+'Fane 9. Bortfald'!E18)</f>
        <v>0</v>
      </c>
      <c r="F10" s="46" t="s">
        <v>3</v>
      </c>
      <c r="G10" s="1"/>
    </row>
    <row r="11" spans="1:7" ht="15" customHeight="1" x14ac:dyDescent="0.25">
      <c r="A11" s="1"/>
      <c r="B11" s="38" t="s">
        <v>18</v>
      </c>
      <c r="C11" s="46"/>
      <c r="D11" s="46"/>
      <c r="E11" s="8">
        <f>SUM(E9:E10)*'Fane 10. Nøgletal'!C14</f>
        <v>12562.84946997437</v>
      </c>
      <c r="F11" s="46" t="s">
        <v>3</v>
      </c>
      <c r="G11" s="1"/>
    </row>
    <row r="12" spans="1:7" ht="15" customHeight="1" x14ac:dyDescent="0.25">
      <c r="A12" s="1"/>
      <c r="B12" s="38" t="s">
        <v>54</v>
      </c>
      <c r="C12" s="46"/>
      <c r="D12" s="46"/>
      <c r="E12" s="8">
        <f>-SUM(E9:E11)*'Fane 10. Nøgletal'!C19</f>
        <v>-64931.277831766623</v>
      </c>
      <c r="F12" s="46" t="s">
        <v>3</v>
      </c>
      <c r="G12" s="1"/>
    </row>
    <row r="13" spans="1:7" ht="15" customHeight="1" x14ac:dyDescent="0.25">
      <c r="A13" s="1"/>
      <c r="B13" s="39" t="s">
        <v>20</v>
      </c>
      <c r="C13" s="39"/>
      <c r="D13" s="39"/>
      <c r="E13" s="9">
        <f>SUM(E9:E12)</f>
        <v>3754555.6534486227</v>
      </c>
      <c r="F13" s="41" t="s">
        <v>3</v>
      </c>
      <c r="G13" s="1"/>
    </row>
    <row r="14" spans="1:7" x14ac:dyDescent="0.2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25">
      <c r="A15" s="1"/>
      <c r="B15" s="41" t="s">
        <v>12</v>
      </c>
      <c r="C15" s="41"/>
      <c r="D15" s="41"/>
      <c r="E15" s="9">
        <f>'Fane 4. Ikke-påvirkelige omk.'!C14*(1+'Fane 10. Nøgletal'!C14)</f>
        <v>4529497.6894921493</v>
      </c>
      <c r="F15" s="41" t="s">
        <v>3</v>
      </c>
      <c r="G15" s="1"/>
    </row>
    <row r="16" spans="1:7" ht="15" customHeight="1" x14ac:dyDescent="0.2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25">
      <c r="A17" s="1"/>
      <c r="B17" s="29" t="s">
        <v>39</v>
      </c>
      <c r="C17" s="46"/>
      <c r="D17" s="46"/>
      <c r="E17" s="8">
        <f>'Fane 7.2. Engangstillæg'!C20</f>
        <v>0</v>
      </c>
      <c r="F17" s="46" t="s">
        <v>3</v>
      </c>
      <c r="G17" s="1"/>
    </row>
    <row r="18" spans="1:7" ht="15" customHeight="1" x14ac:dyDescent="0.25">
      <c r="A18" s="1"/>
      <c r="B18" s="29" t="s">
        <v>40</v>
      </c>
      <c r="C18" s="46"/>
      <c r="D18" s="46"/>
      <c r="E18" s="8">
        <f>'Fane 7.2. Engangstillæg'!E20</f>
        <v>0</v>
      </c>
      <c r="F18" s="46" t="s">
        <v>3</v>
      </c>
      <c r="G18" s="1"/>
    </row>
    <row r="19" spans="1:7" ht="15" customHeight="1" x14ac:dyDescent="0.25">
      <c r="A19" s="1"/>
      <c r="B19" s="50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25">
      <c r="A20" s="1"/>
      <c r="B20" s="40" t="s">
        <v>85</v>
      </c>
      <c r="C20" s="40"/>
      <c r="D20" s="40"/>
      <c r="E20" s="40"/>
      <c r="F20" s="40"/>
      <c r="G20" s="1"/>
    </row>
    <row r="21" spans="1:7" x14ac:dyDescent="0.25">
      <c r="A21" s="1"/>
      <c r="B21" s="41" t="s">
        <v>150</v>
      </c>
      <c r="C21" s="41"/>
      <c r="D21" s="41"/>
      <c r="E21" s="9">
        <f>'Fane 5. Kontrol af ØR2020'!E35</f>
        <v>-95497.993793681264</v>
      </c>
      <c r="F21" s="41" t="s">
        <v>3</v>
      </c>
      <c r="G21" s="1"/>
    </row>
    <row r="22" spans="1:7" x14ac:dyDescent="0.25">
      <c r="A22" s="1"/>
      <c r="B22" s="40" t="s">
        <v>47</v>
      </c>
      <c r="C22" s="40"/>
      <c r="D22" s="40"/>
      <c r="E22" s="10">
        <f>SUM(E13,E15,E19,E21)</f>
        <v>8188555.3491470907</v>
      </c>
      <c r="F22" s="11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B47" s="1"/>
      <c r="C47" s="1"/>
      <c r="D47" s="1"/>
      <c r="E47" s="1"/>
      <c r="F47" s="1"/>
    </row>
    <row r="48" spans="1:7" x14ac:dyDescent="0.25">
      <c r="B48" s="1"/>
      <c r="C48" s="1"/>
      <c r="D48" s="1"/>
      <c r="E48" s="1"/>
      <c r="F48" s="1"/>
    </row>
  </sheetData>
  <sheetProtection algorithmName="SHA-512" hashValue="PnmfuZkgAIHihLItksMyORUSs3Tv1xk8CIjg6RWKZGK3asCFpABtKGvhD5nL5/aRUzh8fwxAR+FknuQMtnggVA==" saltValue="EB+M4gU5nZTdkuZL44MWu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100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5" t="s">
        <v>21</v>
      </c>
      <c r="C5" s="75"/>
      <c r="D5" s="75"/>
      <c r="E5" s="75"/>
      <c r="F5" s="7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25">
      <c r="A8" s="1"/>
      <c r="B8" s="46" t="s">
        <v>67</v>
      </c>
      <c r="C8" s="46"/>
      <c r="D8" s="46"/>
      <c r="E8" s="7">
        <f>'Fane 2.2. Økonomisk ramme 2023'!E13</f>
        <v>3754555.6534486227</v>
      </c>
      <c r="F8" s="46" t="s">
        <v>3</v>
      </c>
      <c r="G8" s="1"/>
    </row>
    <row r="9" spans="1:7" ht="15" customHeight="1" x14ac:dyDescent="0.25">
      <c r="A9" s="1"/>
      <c r="B9" s="46" t="s">
        <v>62</v>
      </c>
      <c r="C9" s="46"/>
      <c r="D9" s="46"/>
      <c r="E9" s="7">
        <f>-('Fane 9. Bortfald'!C24+'Fane 9. Bortfald'!E24)</f>
        <v>0</v>
      </c>
      <c r="F9" s="46" t="s">
        <v>3</v>
      </c>
      <c r="G9" s="1"/>
    </row>
    <row r="10" spans="1:7" ht="15" customHeight="1" x14ac:dyDescent="0.25">
      <c r="A10" s="1"/>
      <c r="B10" s="38" t="s">
        <v>18</v>
      </c>
      <c r="C10" s="46"/>
      <c r="D10" s="46"/>
      <c r="E10" s="8">
        <f>SUM(E8:E9)*'Fane 10. Nøgletal'!C14</f>
        <v>12390.033656380454</v>
      </c>
      <c r="F10" s="46" t="s">
        <v>3</v>
      </c>
      <c r="G10" s="1"/>
    </row>
    <row r="11" spans="1:7" ht="15" customHeight="1" x14ac:dyDescent="0.25">
      <c r="A11" s="1"/>
      <c r="B11" s="38" t="s">
        <v>54</v>
      </c>
      <c r="C11" s="46"/>
      <c r="D11" s="46"/>
      <c r="E11" s="8">
        <f>-SUM(E8:E10)*'Fane 10. Nøgletal'!C19</f>
        <v>-64038.07668078506</v>
      </c>
      <c r="F11" s="46" t="s">
        <v>3</v>
      </c>
      <c r="G11" s="1"/>
    </row>
    <row r="12" spans="1:7" x14ac:dyDescent="0.25">
      <c r="A12" s="1"/>
      <c r="B12" s="39" t="s">
        <v>20</v>
      </c>
      <c r="C12" s="39"/>
      <c r="D12" s="39"/>
      <c r="E12" s="9">
        <f>SUM(E8:E11)</f>
        <v>3702907.6104242182</v>
      </c>
      <c r="F12" s="41" t="s">
        <v>3</v>
      </c>
      <c r="G12" s="1"/>
    </row>
    <row r="13" spans="1:7" x14ac:dyDescent="0.2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25">
      <c r="A14" s="1"/>
      <c r="B14" s="41" t="s">
        <v>12</v>
      </c>
      <c r="C14" s="41"/>
      <c r="D14" s="41"/>
      <c r="E14" s="9">
        <f>'Fane 4. Ikke-påvirkelige omk.'!C14*(1+'Fane 10. Nøgletal'!C14)^2</f>
        <v>4544445.0318674743</v>
      </c>
      <c r="F14" s="41" t="s">
        <v>3</v>
      </c>
      <c r="G14" s="1"/>
    </row>
    <row r="15" spans="1:7" ht="15" customHeight="1" x14ac:dyDescent="0.2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25">
      <c r="A16" s="1"/>
      <c r="B16" s="29" t="s">
        <v>39</v>
      </c>
      <c r="C16" s="46"/>
      <c r="D16" s="46"/>
      <c r="E16" s="8">
        <f>'Fane 7.2. Engangstillæg'!C27</f>
        <v>0</v>
      </c>
      <c r="F16" s="46" t="s">
        <v>3</v>
      </c>
      <c r="G16" s="1"/>
    </row>
    <row r="17" spans="1:7" ht="15" customHeight="1" x14ac:dyDescent="0.25">
      <c r="A17" s="1"/>
      <c r="B17" s="29" t="s">
        <v>40</v>
      </c>
      <c r="C17" s="46"/>
      <c r="D17" s="46"/>
      <c r="E17" s="8">
        <f>'Fane 7.2. Engangstillæg'!E27</f>
        <v>0</v>
      </c>
      <c r="F17" s="46" t="s">
        <v>3</v>
      </c>
      <c r="G17" s="1"/>
    </row>
    <row r="18" spans="1:7" ht="15" customHeight="1" x14ac:dyDescent="0.2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2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25">
      <c r="A20" s="1"/>
      <c r="B20" s="41" t="s">
        <v>86</v>
      </c>
      <c r="C20" s="41"/>
      <c r="D20" s="41"/>
      <c r="E20" s="9">
        <f>'Fane 5. Kontrol af ØR2020'!E35</f>
        <v>-95497.993793681264</v>
      </c>
      <c r="F20" s="41" t="s">
        <v>3</v>
      </c>
      <c r="G20" s="1"/>
    </row>
    <row r="21" spans="1:7" x14ac:dyDescent="0.25">
      <c r="A21" s="1"/>
      <c r="B21" s="40" t="s">
        <v>68</v>
      </c>
      <c r="C21" s="40"/>
      <c r="D21" s="40"/>
      <c r="E21" s="10">
        <f>SUM(E12,E14,E18,E20)</f>
        <v>8151854.6484980118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B50" s="1"/>
      <c r="C50" s="1"/>
      <c r="D50" s="1"/>
      <c r="E50" s="1"/>
      <c r="F50" s="1"/>
    </row>
    <row r="51" spans="1:7" x14ac:dyDescent="0.25">
      <c r="B51" s="1"/>
      <c r="C51" s="1"/>
      <c r="D51" s="1"/>
      <c r="E51" s="1"/>
      <c r="F51" s="1"/>
    </row>
  </sheetData>
  <sheetProtection algorithmName="SHA-512" hashValue="jhUqE1Q7bmIivKldqXXW4IWoHw5Xwve+4V10eHv8DSFU6AU2MCDnfAKcS2XYgM42w9tBjLZ6bVCl5JJrZvzhNA==" saltValue="mLQONkHyvCCJO30rabHjY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102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5" t="s">
        <v>21</v>
      </c>
      <c r="C5" s="75"/>
      <c r="D5" s="75"/>
      <c r="E5" s="75"/>
      <c r="F5" s="7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25">
      <c r="A8" s="1"/>
      <c r="B8" s="46" t="s">
        <v>103</v>
      </c>
      <c r="C8" s="46"/>
      <c r="D8" s="46"/>
      <c r="E8" s="7">
        <f>'Fane 2.3. Økonomisk ramme 2024'!E12</f>
        <v>3702907.6104242182</v>
      </c>
      <c r="F8" s="46" t="s">
        <v>3</v>
      </c>
      <c r="G8" s="1"/>
    </row>
    <row r="9" spans="1:7" ht="15" customHeight="1" x14ac:dyDescent="0.25">
      <c r="A9" s="1"/>
      <c r="B9" s="46" t="s">
        <v>62</v>
      </c>
      <c r="C9" s="46"/>
      <c r="D9" s="46"/>
      <c r="E9" s="7">
        <f>-('Fane 9. Bortfald'!C30+'Fane 9. Bortfald'!E30)</f>
        <v>0</v>
      </c>
      <c r="F9" s="46" t="s">
        <v>3</v>
      </c>
      <c r="G9" s="1"/>
    </row>
    <row r="10" spans="1:7" ht="15" customHeight="1" x14ac:dyDescent="0.25">
      <c r="A10" s="1"/>
      <c r="B10" s="38" t="s">
        <v>18</v>
      </c>
      <c r="C10" s="46"/>
      <c r="D10" s="46"/>
      <c r="E10" s="8">
        <f>SUM(E8:E9)*'Fane 10. Nøgletal'!C14</f>
        <v>12219.595114399921</v>
      </c>
      <c r="F10" s="46" t="s">
        <v>3</v>
      </c>
      <c r="G10" s="1"/>
    </row>
    <row r="11" spans="1:7" ht="15" customHeight="1" x14ac:dyDescent="0.25">
      <c r="A11" s="1"/>
      <c r="B11" s="38" t="s">
        <v>54</v>
      </c>
      <c r="C11" s="46"/>
      <c r="D11" s="46"/>
      <c r="E11" s="8">
        <f>-SUM(E8:E10)*'Fane 10. Nøgletal'!C19</f>
        <v>-63157.162494156517</v>
      </c>
      <c r="F11" s="46" t="s">
        <v>3</v>
      </c>
      <c r="G11" s="1"/>
    </row>
    <row r="12" spans="1:7" x14ac:dyDescent="0.25">
      <c r="A12" s="1"/>
      <c r="B12" s="39" t="s">
        <v>20</v>
      </c>
      <c r="C12" s="39"/>
      <c r="D12" s="39"/>
      <c r="E12" s="9">
        <f>SUM(E8:E11)</f>
        <v>3651970.0430444619</v>
      </c>
      <c r="F12" s="41" t="s">
        <v>3</v>
      </c>
      <c r="G12" s="1"/>
    </row>
    <row r="13" spans="1:7" x14ac:dyDescent="0.2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25">
      <c r="A14" s="1"/>
      <c r="B14" s="41" t="s">
        <v>12</v>
      </c>
      <c r="C14" s="41"/>
      <c r="D14" s="41"/>
      <c r="E14" s="9">
        <f>'Fane 4. Ikke-påvirkelige omk.'!C14*(1+'Fane 10. Nøgletal'!C14)^3</f>
        <v>4559441.7004726371</v>
      </c>
      <c r="F14" s="41" t="s">
        <v>3</v>
      </c>
      <c r="G14" s="1"/>
    </row>
    <row r="15" spans="1:7" ht="15" customHeight="1" x14ac:dyDescent="0.2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25">
      <c r="A16" s="1"/>
      <c r="B16" s="29" t="s">
        <v>39</v>
      </c>
      <c r="C16" s="46"/>
      <c r="D16" s="46"/>
      <c r="E16" s="8">
        <f>'Fane 7.2. Engangstillæg'!C34</f>
        <v>0</v>
      </c>
      <c r="F16" s="46" t="s">
        <v>3</v>
      </c>
      <c r="G16" s="1"/>
    </row>
    <row r="17" spans="1:7" ht="15" customHeight="1" x14ac:dyDescent="0.25">
      <c r="A17" s="1"/>
      <c r="B17" s="29" t="s">
        <v>40</v>
      </c>
      <c r="C17" s="46"/>
      <c r="D17" s="46"/>
      <c r="E17" s="8">
        <f>'Fane 7.2. Engangstillæg'!E34</f>
        <v>0</v>
      </c>
      <c r="F17" s="46" t="s">
        <v>3</v>
      </c>
      <c r="G17" s="1"/>
    </row>
    <row r="18" spans="1:7" ht="15" customHeight="1" x14ac:dyDescent="0.2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2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25">
      <c r="A20" s="1"/>
      <c r="B20" s="41" t="s">
        <v>86</v>
      </c>
      <c r="C20" s="41"/>
      <c r="D20" s="41"/>
      <c r="E20" s="9">
        <f>'Fane 5. Kontrol af ØR2020'!E35</f>
        <v>-95497.993793681264</v>
      </c>
      <c r="F20" s="41" t="s">
        <v>3</v>
      </c>
      <c r="G20" s="1"/>
    </row>
    <row r="21" spans="1:7" x14ac:dyDescent="0.25">
      <c r="A21" s="1"/>
      <c r="B21" s="40" t="s">
        <v>104</v>
      </c>
      <c r="C21" s="40"/>
      <c r="D21" s="40"/>
      <c r="E21" s="10">
        <f>SUM(E12,E14,E18,E20)</f>
        <v>8115913.7497234177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B50" s="1"/>
      <c r="C50" s="1"/>
      <c r="D50" s="1"/>
      <c r="E50" s="1"/>
      <c r="F50" s="1"/>
    </row>
    <row r="51" spans="1:7" x14ac:dyDescent="0.25">
      <c r="B51" s="1"/>
      <c r="C51" s="1"/>
      <c r="D51" s="1"/>
      <c r="E51" s="1"/>
      <c r="F51" s="1"/>
    </row>
  </sheetData>
  <sheetProtection algorithmName="SHA-512" hashValue="O7yqTeuTRk5JiZyA3O6GUGP0aoCBi2sRUNfKy7BonJ7JUVhUcEm+Si64jcsfdGXGNpYPNaus/nK4SAh8AX4YzQ==" saltValue="r+QbOnw1S5P7Kc+DcHrYg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H5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</row>
    <row r="2" spans="1:8" x14ac:dyDescent="0.25">
      <c r="A2" s="1"/>
      <c r="B2" s="1"/>
      <c r="C2" s="1"/>
      <c r="D2" s="1"/>
      <c r="E2" s="1"/>
      <c r="F2" s="1"/>
      <c r="G2" s="1"/>
    </row>
    <row r="3" spans="1:8" ht="15" customHeight="1" x14ac:dyDescent="0.25">
      <c r="A3" s="1"/>
      <c r="B3" s="76" t="s">
        <v>105</v>
      </c>
      <c r="C3" s="76"/>
      <c r="D3" s="76"/>
      <c r="E3" s="76"/>
      <c r="F3" s="76"/>
      <c r="G3" s="1"/>
    </row>
    <row r="4" spans="1:8" ht="29.25" customHeight="1" x14ac:dyDescent="0.25">
      <c r="A4" s="1"/>
      <c r="B4" s="76"/>
      <c r="C4" s="76"/>
      <c r="D4" s="76"/>
      <c r="E4" s="76"/>
      <c r="F4" s="76"/>
      <c r="G4" s="1"/>
    </row>
    <row r="5" spans="1:8" x14ac:dyDescent="0.25">
      <c r="A5" s="1"/>
      <c r="B5" s="1"/>
      <c r="C5" s="1"/>
      <c r="D5" s="1"/>
      <c r="E5" s="1"/>
      <c r="F5" s="1"/>
      <c r="G5" s="1"/>
    </row>
    <row r="6" spans="1:8" x14ac:dyDescent="0.25">
      <c r="A6" s="1"/>
      <c r="B6" s="1"/>
      <c r="C6" s="1"/>
      <c r="D6" s="1"/>
      <c r="E6" s="1"/>
      <c r="F6" s="1"/>
      <c r="G6" s="1"/>
    </row>
    <row r="7" spans="1:8" x14ac:dyDescent="0.25">
      <c r="A7" s="1"/>
      <c r="B7" s="1"/>
      <c r="C7" s="1"/>
      <c r="D7" s="1"/>
      <c r="E7" s="1"/>
      <c r="F7" s="1"/>
      <c r="G7" s="1"/>
    </row>
    <row r="8" spans="1:8" x14ac:dyDescent="0.25">
      <c r="A8" s="1"/>
      <c r="B8" s="40" t="s">
        <v>126</v>
      </c>
      <c r="C8" s="40"/>
      <c r="D8" s="40"/>
      <c r="E8" s="40"/>
      <c r="F8" s="40"/>
      <c r="G8" s="1"/>
    </row>
    <row r="9" spans="1:8" x14ac:dyDescent="0.25">
      <c r="A9" s="1"/>
      <c r="B9" s="77" t="s">
        <v>23</v>
      </c>
      <c r="C9" s="77"/>
      <c r="D9" s="77"/>
      <c r="E9" s="7">
        <v>3805787.889030525</v>
      </c>
      <c r="F9" s="46" t="s">
        <v>3</v>
      </c>
      <c r="G9" s="1"/>
      <c r="H9" s="58"/>
    </row>
    <row r="10" spans="1:8" x14ac:dyDescent="0.25">
      <c r="A10" s="1"/>
      <c r="B10" s="78" t="s">
        <v>128</v>
      </c>
      <c r="C10" s="78"/>
      <c r="D10" s="78"/>
      <c r="E10" s="7">
        <v>-40761.931691430698</v>
      </c>
      <c r="F10" s="46" t="s">
        <v>3</v>
      </c>
      <c r="G10" s="1"/>
    </row>
    <row r="11" spans="1:8" x14ac:dyDescent="0.25">
      <c r="A11" s="1"/>
      <c r="B11" s="78" t="s">
        <v>60</v>
      </c>
      <c r="C11" s="78"/>
      <c r="D11" s="78"/>
      <c r="E11" s="7">
        <v>80311.996800000008</v>
      </c>
      <c r="F11" s="46" t="s">
        <v>3</v>
      </c>
      <c r="G11" s="1"/>
    </row>
    <row r="12" spans="1:8" x14ac:dyDescent="0.25">
      <c r="A12" s="1"/>
      <c r="B12" s="78" t="s">
        <v>65</v>
      </c>
      <c r="C12" s="78"/>
      <c r="D12" s="78"/>
      <c r="E12" s="7">
        <v>0</v>
      </c>
      <c r="F12" s="46" t="s">
        <v>3</v>
      </c>
      <c r="G12" s="1"/>
    </row>
    <row r="13" spans="1:8" x14ac:dyDescent="0.25">
      <c r="A13" s="1"/>
      <c r="B13" s="78" t="s">
        <v>61</v>
      </c>
      <c r="C13" s="78"/>
      <c r="D13" s="78"/>
      <c r="E13" s="8">
        <v>0</v>
      </c>
      <c r="F13" s="46" t="s">
        <v>3</v>
      </c>
      <c r="G13" s="1"/>
    </row>
    <row r="14" spans="1:8" x14ac:dyDescent="0.25">
      <c r="A14" s="1"/>
      <c r="B14" s="78" t="s">
        <v>18</v>
      </c>
      <c r="C14" s="78"/>
      <c r="D14" s="78"/>
      <c r="E14" s="8">
        <f>SUM(E9:E13)*'Fane 10. Nøgletal'!C13</f>
        <v>46913.123040496954</v>
      </c>
      <c r="F14" s="46" t="s">
        <v>3</v>
      </c>
      <c r="G14" s="1"/>
    </row>
    <row r="15" spans="1:8" x14ac:dyDescent="0.25">
      <c r="A15" s="1"/>
      <c r="B15" s="78" t="s">
        <v>54</v>
      </c>
      <c r="C15" s="78"/>
      <c r="D15" s="78"/>
      <c r="E15" s="8">
        <f>-SUM(E9:E14)*'Fane 10. Nøgletal'!C19</f>
        <v>-66168.268312053056</v>
      </c>
      <c r="F15" s="46" t="s">
        <v>3</v>
      </c>
      <c r="G15" s="1"/>
    </row>
    <row r="16" spans="1:8" x14ac:dyDescent="0.25">
      <c r="A16" s="1"/>
      <c r="B16" s="80" t="s">
        <v>20</v>
      </c>
      <c r="C16" s="80"/>
      <c r="D16" s="80"/>
      <c r="E16" s="9">
        <f>SUM(E9:E15)</f>
        <v>3826082.8088675383</v>
      </c>
      <c r="F16" s="41" t="s">
        <v>3</v>
      </c>
      <c r="G16" s="1"/>
    </row>
    <row r="17" spans="1:7" x14ac:dyDescent="0.25">
      <c r="A17" s="1"/>
      <c r="B17" s="81" t="s">
        <v>12</v>
      </c>
      <c r="C17" s="81"/>
      <c r="D17" s="81"/>
      <c r="E17" s="40"/>
      <c r="F17" s="40"/>
      <c r="G17" s="1"/>
    </row>
    <row r="18" spans="1:7" x14ac:dyDescent="0.25">
      <c r="A18" s="1"/>
      <c r="B18" s="82" t="s">
        <v>12</v>
      </c>
      <c r="C18" s="82"/>
      <c r="D18" s="82"/>
      <c r="E18" s="9">
        <v>4792967.5421249997</v>
      </c>
      <c r="F18" s="41" t="s">
        <v>3</v>
      </c>
      <c r="G18" s="1"/>
    </row>
    <row r="19" spans="1:7" ht="15.4" customHeight="1" x14ac:dyDescent="0.2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25">
      <c r="A20" s="1"/>
      <c r="B20" s="83" t="s">
        <v>39</v>
      </c>
      <c r="C20" s="84"/>
      <c r="D20" s="85"/>
      <c r="E20" s="37">
        <v>0</v>
      </c>
      <c r="F20" s="32" t="s">
        <v>3</v>
      </c>
      <c r="G20" s="1"/>
    </row>
    <row r="21" spans="1:7" x14ac:dyDescent="0.25">
      <c r="A21" s="1"/>
      <c r="B21" s="83" t="s">
        <v>40</v>
      </c>
      <c r="C21" s="84"/>
      <c r="D21" s="85"/>
      <c r="E21" s="37">
        <v>0</v>
      </c>
      <c r="F21" s="32" t="s">
        <v>3</v>
      </c>
      <c r="G21" s="1"/>
    </row>
    <row r="22" spans="1:7" x14ac:dyDescent="0.25">
      <c r="A22" s="1"/>
      <c r="B22" s="86" t="s">
        <v>43</v>
      </c>
      <c r="C22" s="87"/>
      <c r="D22" s="88"/>
      <c r="E22" s="9">
        <v>0</v>
      </c>
      <c r="F22" s="9" t="s">
        <v>3</v>
      </c>
      <c r="G22" s="1"/>
    </row>
    <row r="23" spans="1:7" ht="15.75" customHeight="1" x14ac:dyDescent="0.25">
      <c r="A23" s="1"/>
      <c r="B23" s="40" t="s">
        <v>85</v>
      </c>
      <c r="C23" s="40"/>
      <c r="D23" s="40"/>
      <c r="E23" s="40"/>
      <c r="F23" s="40"/>
      <c r="G23" s="1"/>
    </row>
    <row r="24" spans="1:7" x14ac:dyDescent="0.25">
      <c r="A24" s="1"/>
      <c r="B24" s="50" t="s">
        <v>31</v>
      </c>
      <c r="C24" s="39"/>
      <c r="D24" s="39"/>
      <c r="E24" s="9">
        <v>-228486.01026666665</v>
      </c>
      <c r="F24" s="41" t="s">
        <v>3</v>
      </c>
      <c r="G24" s="1"/>
    </row>
    <row r="25" spans="1:7" x14ac:dyDescent="0.25">
      <c r="A25" s="1"/>
      <c r="B25" s="50" t="s">
        <v>86</v>
      </c>
      <c r="C25" s="39"/>
      <c r="D25" s="39"/>
      <c r="E25" s="9">
        <v>-1096071.4612343265</v>
      </c>
      <c r="F25" s="41" t="s">
        <v>3</v>
      </c>
      <c r="G25" s="1"/>
    </row>
    <row r="26" spans="1:7" ht="15" customHeight="1" x14ac:dyDescent="0.25">
      <c r="A26" s="1"/>
      <c r="B26" s="40" t="s">
        <v>25</v>
      </c>
      <c r="C26" s="40"/>
      <c r="D26" s="40"/>
      <c r="E26" s="10">
        <f>E16+E18+E22+E24+E25</f>
        <v>7294492.8794915443</v>
      </c>
      <c r="F26" s="11" t="s">
        <v>3</v>
      </c>
      <c r="G26" s="1"/>
    </row>
    <row r="27" spans="1:7" ht="27" customHeight="1" x14ac:dyDescent="0.25">
      <c r="A27" s="1"/>
      <c r="B27" s="79" t="s">
        <v>120</v>
      </c>
      <c r="C27" s="79"/>
      <c r="D27" s="79"/>
      <c r="E27" s="79"/>
      <c r="F27" s="79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B54" s="1"/>
      <c r="C54" s="1"/>
      <c r="D54" s="1"/>
      <c r="E54" s="1"/>
      <c r="F54" s="1"/>
    </row>
  </sheetData>
  <sheetProtection algorithmName="SHA-512" hashValue="jjAl6DrE8QvNDUwS/5O27LBBY1mlnISaLAoevyNaPR7wkqmj+Xc8HO//BDl3SAITHfxRcRoVuhOAucem8dopZQ==" saltValue="vYImchpZhhFfz77Ysqs/sg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4" t="s">
        <v>53</v>
      </c>
      <c r="C3" s="74"/>
      <c r="D3" s="74"/>
      <c r="E3" s="1"/>
      <c r="F3" s="1"/>
    </row>
    <row r="4" spans="1:6" ht="15" customHeight="1" x14ac:dyDescent="0.25">
      <c r="A4" s="1"/>
      <c r="B4" s="74"/>
      <c r="C4" s="74"/>
      <c r="D4" s="7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107</v>
      </c>
      <c r="C8" s="90"/>
      <c r="D8" s="91"/>
      <c r="E8" s="1"/>
      <c r="F8" s="1"/>
    </row>
    <row r="9" spans="1:6" ht="15" customHeight="1" x14ac:dyDescent="0.25">
      <c r="A9" s="1"/>
      <c r="B9" s="17" t="s">
        <v>29</v>
      </c>
      <c r="C9" s="41" t="s">
        <v>106</v>
      </c>
      <c r="D9" s="41"/>
      <c r="E9" s="1"/>
      <c r="F9" s="1"/>
    </row>
    <row r="10" spans="1:6" x14ac:dyDescent="0.25">
      <c r="A10" s="1"/>
      <c r="B10" s="28" t="s">
        <v>131</v>
      </c>
      <c r="C10" s="8">
        <v>2909720</v>
      </c>
      <c r="D10" s="12" t="s">
        <v>3</v>
      </c>
      <c r="E10" s="1"/>
      <c r="F10" s="1"/>
    </row>
    <row r="11" spans="1:6" x14ac:dyDescent="0.25">
      <c r="A11" s="1"/>
      <c r="B11" s="28" t="s">
        <v>132</v>
      </c>
      <c r="C11" s="8">
        <v>7695</v>
      </c>
      <c r="D11" s="12" t="s">
        <v>3</v>
      </c>
      <c r="E11" s="1"/>
      <c r="F11" s="1"/>
    </row>
    <row r="12" spans="1:6" x14ac:dyDescent="0.25">
      <c r="A12" s="1"/>
      <c r="B12" s="28" t="s">
        <v>133</v>
      </c>
      <c r="C12" s="8">
        <v>1567535</v>
      </c>
      <c r="D12" s="12" t="s">
        <v>3</v>
      </c>
      <c r="E12" s="1"/>
      <c r="F12" s="1"/>
    </row>
    <row r="13" spans="1:6" x14ac:dyDescent="0.25">
      <c r="A13" s="1"/>
      <c r="B13" s="56" t="s">
        <v>108</v>
      </c>
      <c r="C13" s="10">
        <f>SUM(C10:C12)</f>
        <v>4484950</v>
      </c>
      <c r="D13" s="11" t="s">
        <v>3</v>
      </c>
      <c r="E13" s="1"/>
      <c r="F13" s="1"/>
    </row>
    <row r="14" spans="1:6" x14ac:dyDescent="0.25">
      <c r="A14" s="1"/>
      <c r="B14" s="56" t="s">
        <v>109</v>
      </c>
      <c r="C14" s="10">
        <f>C13*(1+'Fane 10. Nøgletal'!C14)^2</f>
        <v>4514599.5111055011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KCo+T3PRYxs0yFj57b+z9LsCRV6pCr00xsxp7NM0UCZSFK+Hgca89NwadehRjQTfV4Y/L94lpcXp+HrQrS81Gg==" saltValue="SmbnKVVUjMf47HaUQ3q2mg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topLeftCell="A7" zoomScaleNormal="100" workbookViewId="0">
      <selection activeCell="E29" sqref="E29"/>
    </sheetView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6" t="s">
        <v>152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ht="15" customHeight="1" x14ac:dyDescent="0.25">
      <c r="A5" s="1"/>
      <c r="B5" s="45"/>
      <c r="C5" s="45"/>
      <c r="D5" s="45"/>
      <c r="E5" s="45"/>
      <c r="F5" s="45"/>
      <c r="G5" s="1"/>
    </row>
    <row r="6" spans="1:7" ht="15" customHeight="1" x14ac:dyDescent="0.25">
      <c r="A6" s="1"/>
      <c r="B6" s="45"/>
      <c r="C6" s="45"/>
      <c r="D6" s="45"/>
      <c r="E6" s="45"/>
      <c r="F6" s="45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135</v>
      </c>
      <c r="C8" s="90"/>
      <c r="D8" s="90"/>
      <c r="E8" s="90"/>
      <c r="F8" s="91"/>
      <c r="G8" s="1"/>
    </row>
    <row r="9" spans="1:7" x14ac:dyDescent="0.25">
      <c r="A9" s="1"/>
      <c r="B9" s="92" t="s">
        <v>136</v>
      </c>
      <c r="C9" s="93"/>
      <c r="D9" s="94"/>
      <c r="E9" s="8">
        <v>-356777.68899999931</v>
      </c>
      <c r="F9" s="12" t="s">
        <v>3</v>
      </c>
      <c r="G9" s="1"/>
    </row>
    <row r="10" spans="1:7" x14ac:dyDescent="0.25">
      <c r="A10" s="1"/>
      <c r="B10" s="92" t="s">
        <v>137</v>
      </c>
      <c r="C10" s="93"/>
      <c r="D10" s="94"/>
      <c r="E10" s="8">
        <v>-1974145.2334686536</v>
      </c>
      <c r="F10" s="12" t="s">
        <v>3</v>
      </c>
      <c r="G10" s="1"/>
    </row>
    <row r="11" spans="1:7" x14ac:dyDescent="0.25">
      <c r="A11" s="1"/>
      <c r="B11" s="92" t="s">
        <v>138</v>
      </c>
      <c r="C11" s="93"/>
      <c r="D11" s="94"/>
      <c r="E11" s="8">
        <v>138780.28727599606</v>
      </c>
      <c r="F11" s="12" t="s">
        <v>3</v>
      </c>
      <c r="G11" s="1"/>
    </row>
    <row r="12" spans="1:7" x14ac:dyDescent="0.25">
      <c r="A12" s="1"/>
      <c r="B12" s="56"/>
      <c r="C12" s="22"/>
      <c r="D12" s="22"/>
      <c r="E12" s="22"/>
      <c r="F12" s="57"/>
      <c r="G12" s="1"/>
    </row>
    <row r="13" spans="1:7" ht="51.75" customHeight="1" x14ac:dyDescent="0.25">
      <c r="A13" s="1"/>
      <c r="B13" s="95" t="s">
        <v>139</v>
      </c>
      <c r="C13" s="96"/>
      <c r="D13" s="96"/>
      <c r="E13" s="96"/>
      <c r="F13" s="97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9" t="s">
        <v>140</v>
      </c>
      <c r="C15" s="90"/>
      <c r="D15" s="90"/>
      <c r="E15" s="90"/>
      <c r="F15" s="91"/>
      <c r="G15" s="1"/>
    </row>
    <row r="16" spans="1:7" x14ac:dyDescent="0.25">
      <c r="A16" s="1"/>
      <c r="B16" s="92" t="s">
        <v>141</v>
      </c>
      <c r="C16" s="93"/>
      <c r="D16" s="94"/>
      <c r="E16" s="8">
        <v>-1096071.4612343265</v>
      </c>
      <c r="F16" s="12" t="s">
        <v>3</v>
      </c>
      <c r="G16" s="1"/>
    </row>
    <row r="17" spans="1:7" x14ac:dyDescent="0.25">
      <c r="A17" s="1"/>
      <c r="B17" s="92" t="s">
        <v>142</v>
      </c>
      <c r="C17" s="93"/>
      <c r="D17" s="94"/>
      <c r="E17" s="8">
        <v>-1096071.4612343265</v>
      </c>
      <c r="F17" s="12" t="s">
        <v>3</v>
      </c>
      <c r="G17" s="1"/>
    </row>
    <row r="18" spans="1:7" x14ac:dyDescent="0.25">
      <c r="A18" s="1"/>
      <c r="B18" s="56"/>
      <c r="C18" s="22"/>
      <c r="D18" s="22"/>
      <c r="E18" s="22"/>
      <c r="F18" s="57"/>
      <c r="G18" s="1"/>
    </row>
    <row r="19" spans="1:7" ht="29.25" customHeight="1" x14ac:dyDescent="0.25">
      <c r="A19" s="1"/>
      <c r="B19" s="95" t="s">
        <v>143</v>
      </c>
      <c r="C19" s="96"/>
      <c r="D19" s="96"/>
      <c r="E19" s="96"/>
      <c r="F19" s="97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47" t="s">
        <v>122</v>
      </c>
      <c r="C21" s="48"/>
      <c r="D21" s="48"/>
      <c r="E21" s="48"/>
      <c r="F21" s="49"/>
      <c r="G21" s="1"/>
    </row>
    <row r="22" spans="1:7" x14ac:dyDescent="0.25">
      <c r="A22" s="1"/>
      <c r="B22" s="51" t="s">
        <v>123</v>
      </c>
      <c r="C22" s="52"/>
      <c r="D22" s="53"/>
      <c r="E22" s="8">
        <v>9236887.0248252749</v>
      </c>
      <c r="F22" s="12" t="s">
        <v>3</v>
      </c>
      <c r="G22" s="1"/>
    </row>
    <row r="23" spans="1:7" x14ac:dyDescent="0.25">
      <c r="A23" s="1"/>
      <c r="B23" s="51" t="s">
        <v>124</v>
      </c>
      <c r="C23" s="52"/>
      <c r="D23" s="53"/>
      <c r="E23" s="8">
        <v>9618879</v>
      </c>
      <c r="F23" s="12" t="s">
        <v>3</v>
      </c>
      <c r="G23" s="1"/>
    </row>
    <row r="24" spans="1:7" x14ac:dyDescent="0.25">
      <c r="A24" s="1"/>
      <c r="B24" s="51" t="s">
        <v>30</v>
      </c>
      <c r="C24" s="52"/>
      <c r="D24" s="53"/>
      <c r="E24" s="8">
        <v>0</v>
      </c>
      <c r="F24" s="12" t="s">
        <v>3</v>
      </c>
      <c r="G24" s="1"/>
    </row>
    <row r="25" spans="1:7" x14ac:dyDescent="0.25">
      <c r="A25" s="1"/>
      <c r="B25" s="42" t="s">
        <v>125</v>
      </c>
      <c r="C25" s="43"/>
      <c r="D25" s="44"/>
      <c r="E25" s="34">
        <f>E22-(E23-E24)</f>
        <v>-381991.97517472506</v>
      </c>
      <c r="F25" s="15" t="s">
        <v>3</v>
      </c>
      <c r="G25" s="1"/>
    </row>
    <row r="26" spans="1:7" x14ac:dyDescent="0.25">
      <c r="A26" s="1"/>
      <c r="B26" s="56"/>
      <c r="C26" s="22"/>
      <c r="D26" s="22"/>
      <c r="E26" s="22"/>
      <c r="F26" s="57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89" t="s">
        <v>144</v>
      </c>
      <c r="C28" s="90"/>
      <c r="D28" s="90"/>
      <c r="E28" s="90"/>
      <c r="F28" s="91"/>
      <c r="G28" s="1"/>
    </row>
    <row r="29" spans="1:7" x14ac:dyDescent="0.25">
      <c r="A29" s="1"/>
      <c r="B29" s="86" t="s">
        <v>145</v>
      </c>
      <c r="C29" s="87"/>
      <c r="D29" s="88"/>
      <c r="E29" s="9">
        <f>E17</f>
        <v>-1096071.4612343265</v>
      </c>
      <c r="F29" s="15" t="s">
        <v>3</v>
      </c>
      <c r="G29" s="1"/>
    </row>
    <row r="30" spans="1:7" x14ac:dyDescent="0.25">
      <c r="A30" s="1"/>
      <c r="B30" s="89"/>
      <c r="C30" s="90"/>
      <c r="D30" s="90"/>
      <c r="E30" s="90"/>
      <c r="F30" s="9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146</v>
      </c>
      <c r="C32" s="90"/>
      <c r="D32" s="90"/>
      <c r="E32" s="90"/>
      <c r="F32" s="91"/>
      <c r="G32" s="1"/>
    </row>
    <row r="33" spans="1:7" x14ac:dyDescent="0.25">
      <c r="A33" s="1"/>
      <c r="B33" s="102" t="s">
        <v>85</v>
      </c>
      <c r="C33" s="103"/>
      <c r="D33" s="104"/>
      <c r="E33" s="8">
        <f>IF(AND(SUM(E9:E11)&gt;0,E25&lt;0,ABS(SUM(E9:E11))&lt;ABS(E25)),(SUM(E9:E11)-ABS(E25)),IF(AND(SUM(E9:E11)&lt;0,E25&lt;0),E25,0))</f>
        <v>-381991.97517472506</v>
      </c>
      <c r="F33" s="12" t="s">
        <v>3</v>
      </c>
      <c r="G33" s="1"/>
    </row>
    <row r="34" spans="1:7" x14ac:dyDescent="0.25">
      <c r="A34" s="1"/>
      <c r="B34" s="102" t="s">
        <v>55</v>
      </c>
      <c r="C34" s="103"/>
      <c r="D34" s="104"/>
      <c r="E34" s="8">
        <v>4</v>
      </c>
      <c r="F34" s="12" t="s">
        <v>19</v>
      </c>
      <c r="G34" s="1"/>
    </row>
    <row r="35" spans="1:7" x14ac:dyDescent="0.25">
      <c r="A35" s="1"/>
      <c r="B35" s="101" t="s">
        <v>147</v>
      </c>
      <c r="C35" s="101"/>
      <c r="D35" s="101"/>
      <c r="E35" s="9">
        <f>E33/E34</f>
        <v>-95497.993793681264</v>
      </c>
      <c r="F35" s="15" t="s">
        <v>3</v>
      </c>
      <c r="G35" s="1"/>
    </row>
    <row r="36" spans="1:7" x14ac:dyDescent="0.25">
      <c r="A36" s="1"/>
      <c r="B36" s="98"/>
      <c r="C36" s="99"/>
      <c r="D36" s="99"/>
      <c r="E36" s="99"/>
      <c r="F36" s="10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plsZEB1LC/8UJserIgzmUW4lz/veqOqUt4AbUakoxkTVh1R/cZ5JIT/QdyiQhDEIVB/s+1zpLFHfICYMmxVREg==" saltValue="iG4zoHUTTEh+dY6zmU3RKQ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5:D35"/>
    <mergeCell ref="B34:D34"/>
    <mergeCell ref="B33:D33"/>
    <mergeCell ref="B32:F32"/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88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79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5"/>
      <c r="I9" s="1"/>
    </row>
    <row r="10" spans="1:9" x14ac:dyDescent="0.25">
      <c r="A10" s="1"/>
      <c r="B10" s="35" t="s">
        <v>151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89" t="s">
        <v>80</v>
      </c>
      <c r="C11" s="90"/>
      <c r="D11" s="91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/byq5QvwGoOYeSeBwmedC+N2XkcLdrdtn+stEatvVxS0bAMW1drK8Fm8WG+jD5fwqLKOxDVVzMNHekydSnYlOw==" saltValue="lLTcaDBLBbspYyTSaXc3Ow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Amanda Fehler Vallgårda</cp:lastModifiedBy>
  <cp:lastPrinted>2016-06-14T12:57:30Z</cp:lastPrinted>
  <dcterms:created xsi:type="dcterms:W3CDTF">2016-06-02T08:51:18Z</dcterms:created>
  <dcterms:modified xsi:type="dcterms:W3CDTF">2022-06-13T07:22:31Z</dcterms:modified>
</cp:coreProperties>
</file>