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Lyngby-Taarbæk Spildevand AS (S064)\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E24" i="32" l="1"/>
  <c r="E32" i="32" s="1"/>
  <c r="E34" i="32" s="1"/>
  <c r="C20" i="15" l="1"/>
  <c r="C20" i="23"/>
  <c r="C20" i="22"/>
  <c r="E28" i="32"/>
  <c r="C32" i="2" s="1"/>
  <c r="C13" i="19"/>
  <c r="E34" i="27" l="1"/>
  <c r="C22" i="23"/>
  <c r="C22" i="22"/>
  <c r="C22" i="15"/>
  <c r="C36" i="2"/>
  <c r="G18" i="41" l="1"/>
  <c r="E12" i="37" l="1"/>
  <c r="F13" i="11" l="1"/>
  <c r="F12" i="11"/>
  <c r="F11" i="11"/>
  <c r="F14" i="11" l="1"/>
  <c r="F15" i="11"/>
  <c r="F16" i="11"/>
  <c r="F17" i="11"/>
  <c r="C11" i="29" l="1"/>
  <c r="E11" i="29"/>
  <c r="E11" i="39"/>
  <c r="C11" i="39"/>
  <c r="J18" i="11"/>
  <c r="H18" i="11"/>
  <c r="E16" i="27" l="1"/>
  <c r="E29" i="20" l="1"/>
  <c r="E23" i="20"/>
  <c r="E17" i="20"/>
  <c r="E11" i="20"/>
  <c r="F10" i="11" l="1"/>
  <c r="F18" i="11" s="1"/>
  <c r="E12" i="29" l="1"/>
  <c r="C12" i="29"/>
  <c r="C13" i="21" l="1"/>
  <c r="C12" i="21"/>
  <c r="C12" i="2" l="1"/>
  <c r="C15" i="2" l="1"/>
  <c r="C14" i="2"/>
  <c r="G6" i="36" l="1"/>
  <c r="C12" i="39" l="1"/>
  <c r="E12" i="39" l="1"/>
  <c r="C26" i="2" l="1"/>
  <c r="C28" i="2" s="1"/>
  <c r="C27" i="2" l="1"/>
  <c r="C29" i="2" s="1"/>
  <c r="C30" i="2" l="1"/>
  <c r="C14"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4" i="37" s="1"/>
  <c r="C15" i="37" l="1"/>
  <c r="C10" i="2" s="1"/>
  <c r="G44" i="30" s="1"/>
  <c r="G35" i="36"/>
  <c r="G37" i="36" l="1"/>
  <c r="E19" i="27" s="1"/>
  <c r="G41" i="36" l="1"/>
  <c r="G27" i="30"/>
  <c r="G31" i="30" l="1"/>
  <c r="E10" i="37"/>
  <c r="E14" i="37" s="1"/>
  <c r="G33" i="30" l="1"/>
  <c r="G37" i="30" s="1"/>
  <c r="G39" i="30" s="1"/>
  <c r="E15"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<sst xmlns="http://schemas.openxmlformats.org/spreadsheetml/2006/main" count="646" uniqueCount="295">
  <si>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</si>
  <si>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</si>
  <si>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</si>
  <si>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</si>
  <si>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</si>
  <si>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</si>
  <si>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</si>
  <si>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</si>
  <si>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</si>
  <si>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</si>
  <si>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</si>
  <si>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</si>
  <si>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</si>
  <si>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</si>
  <si>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</si>
  <si>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</si>
  <si>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</si>
  <si>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</si>
  <si>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</si>
  <si>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</si>
  <si>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</si>
  <si>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</si>
  <si>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</si>
  <si>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</si>
  <si>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</si>
  <si>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</si>
  <si>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</si>
  <si>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</si>
  <si>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</si>
  <si>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</si>
  <si>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</si>
  <si>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</si>
  <si>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</si>
  <si>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</si>
  <si>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</si>
  <si>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</si>
  <si>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</si>
  <si>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</si>
  <si>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</si>
  <si>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</si>
  <si>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</si>
  <si>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</si>
  <si>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</si>
  <si>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</si>
  <si>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</si>
  <si>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</si>
  <si>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</si>
  <si>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</si>
  <si>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</si>
  <si>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</si>
  <si>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</si>
  <si>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</si>
  <si>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</si>
  <si>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</si>
  <si>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</si>
  <si>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</si>
  <si>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</si>
  <si>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</si>
  <si>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</si>
  <si>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</si>
  <si>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</si>
  <si>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</si>
  <si>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</si>
  <si>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</si>
  <si>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</si>
  <si>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</si>
  <si>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</si>
  <si>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</si>
  <si>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</si>
  <si>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</si>
  <si>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</si>
  <si>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</si>
  <si>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</si>
  <si>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</si>
  <si>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</si>
  <si>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</si>
  <si>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</si>
  <si>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</si>
  <si>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</si>
  <si>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</si>
  <si>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</si>
  <si>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</si>
  <si>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</si>
  <si>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</si>
  <si>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</si>
  <si>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</si>
  <si>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</si>
  <si>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</si>
  <si>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</si>
  <si>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</si>
  <si>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</si>
  <si>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</si>
  <si>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</si>
  <si>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</si>
  <si>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</si>
  <si>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</si>
  <si>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</si>
  <si>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</si>
  <si>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</si>
  <si>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</si>
  <si>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</si>
  <si>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</si>
  <si>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</si>
  <si>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</si>
  <si>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</si>
  <si>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</si>
  <si>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</si>
  <si>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</si>
  <si>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</si>
  <si>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</si>
  <si>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</si>
  <si>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</si>
  <si>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</si>
  <si>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</si>
  <si>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</si>
  <si>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</si>
  <si>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</si>
  <si>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</si>
  <si>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</si>
  <si>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</si>
  <si>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</si>
  <si>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</si>
  <si>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</si>
  <si>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</si>
  <si>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</si>
  <si>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</si>
  <si>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</si>
  <si>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</si>
  <si>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</si>
  <si>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</si>
  <si>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</si>
  <si>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</si>
  <si>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</si>
  <si>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</si>
  <si>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</si>
  <si>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</si>
  <si>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</si>
  <si>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</si>
  <si>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</si>
  <si>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</si>
  <si>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</si>
  <si>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</si>
  <si>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</si>
  <si>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</si>
  <si>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</si>
  <si>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</si>
  <si>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</si>
  <si>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</si>
  <si>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</si>
  <si>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</si>
  <si>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</si>
  <si>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</si>
  <si>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</si>
  <si>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</si>
  <si>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</si>
  <si>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</si>
  <si>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</si>
  <si>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</si>
  <si>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</si>
  <si>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</si>
  <si>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</si>
  <si>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</si>
  <si>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</si>
  <si>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</si>
  <si>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</si>
  <si>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</si>
  <si>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</si>
  <si>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</si>
  <si>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</si>
  <si>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</si>
  <si>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</si>
  <si>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</si>
  <si>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</si>
  <si>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</si>
  <si>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</si>
  <si>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</si>
  <si>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</si>
  <si>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</si>
  <si>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</si>
  <si>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</si>
  <si>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</si>
  <si>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</si>
  <si>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</si>
  <si>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</si>
  <si>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</si>
  <si>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</si>
  <si>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</si>
  <si>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</si>
  <si>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</si>
  <si>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</si>
  <si>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</si>
  <si>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</si>
  <si>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</si>
  <si>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</si>
  <si>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</si>
  <si>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</si>
  <si>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</si>
  <si>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</si>
  <si>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</si>
  <si>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</si>
  <si>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</si>
  <si>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</si>
  <si>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</si>
  <si>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</si>
  <si>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</si>
  <si>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</si>
  <si>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</si>
  <si>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</si>
  <si>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</si>
  <si>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</si>
  <si>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</si>
  <si>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</si>
  <si>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</si>
  <si>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</si>
  <si>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</si>
  <si>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</si>
  <si>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</si>
  <si>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</si>
  <si>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</si>
  <si>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</si>
  <si>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</si>
  <si>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</si>
  <si>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</si>
  <si>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</si>
  <si>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</si>
  <si>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</si>
  <si>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</si>
  <si>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</si>
  <si>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</si>
  <si>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</si>
  <si>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</si>
  <si>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</si>
  <si>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</si>
  <si>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</si>
  <si>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</si>
  <si>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</si>
  <si>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</si>
  <si>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</si>
  <si>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</si>
  <si>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</si>
  <si>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</si>
  <si>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</si>
  <si>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</si>
  <si>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</si>
  <si>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</si>
  <si>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</si>
  <si>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</si>
  <si>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</si>
  <si>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</si>
  <si>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</si>
  <si>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</si>
  <si>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</si>
  <si>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</si>
  <si>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</si>
  <si>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</si>
  <si>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</si>
  <si>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</si>
  <si>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</si>
  <si>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</si>
  <si>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</si>
  <si>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</si>
  <si>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</si>
  <si>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</si>
  <si>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</si>
  <si>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</si>
  <si>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Afgift til Forsyningssekretariatet</t>
  </si>
  <si>
    <t>Køb af ydelser og produkter fra andre vandselskaber reguleret af vandsektorloven</t>
  </si>
  <si>
    <t>Ejendomsskatter</t>
  </si>
  <si>
    <t>Brønde</t>
  </si>
  <si>
    <t>Installationer "ingen eller faste riste" (mindre end 7 m2)</t>
  </si>
  <si>
    <t>Kælder (7 - 20 m2)</t>
  </si>
  <si>
    <t>Ledningsnet ≤ Ø 200 mm</t>
  </si>
  <si>
    <t>Værksteder, garager</t>
  </si>
  <si>
    <t>Ø 200 mm &lt; Ledningsnet ≤ Ø 500 mm</t>
  </si>
  <si>
    <t>Resultat af kontrol med overholdelse af den økonomiske ramme for 2021</t>
  </si>
  <si>
    <t>Ingen tilknyttet virksomhed under hovedvirksomheden</t>
  </si>
  <si>
    <t>Flytning af ledninger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</si>
  <si>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</si>
  <si>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</si>
  <si>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</si>
  <si>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</si>
  <si>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</si>
  <si>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</si>
  <si>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</si>
  <si>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</si>
  <si>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Ombygning af bygværker samt Ålebækken mm.</t>
  </si>
  <si>
    <t>Byggemodninger og nye stik</t>
  </si>
  <si>
    <t>Ingen engangstillæg</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</si>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</sst>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0" t="s">
        <v>4</v>
      </c>
      <c r="E6" s="110"/>
      <c r="F6" s="110"/>
      <c r="G6" s="110"/>
      <c r="H6" s="3"/>
      <c r="I6" s="1"/>
    </row>
    <row r="7" spans="1:9" ht="15" customHeight="1" x14ac:dyDescent="0.25">
      <c r="A7" s="1"/>
      <c r="B7" s="1"/>
      <c r="C7" s="3"/>
      <c r="D7" s="110"/>
      <c r="E7" s="110"/>
      <c r="F7" s="110"/>
      <c r="G7" s="110"/>
      <c r="H7" s="3"/>
      <c r="I7" s="1"/>
    </row>
    <row r="8" spans="1:9" ht="15.75" x14ac:dyDescent="0.25">
      <c r="A8" s="1"/>
      <c r="B8" s="1"/>
      <c r="C8" s="4"/>
      <c r="D8" s="115" t="s">
        <v>225</v>
      </c>
      <c r="E8" s="115"/>
      <c r="F8" s="115"/>
      <c r="G8" s="11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4" t="s">
        <v>5</v>
      </c>
      <c r="E11" s="114"/>
      <c r="F11" s="114"/>
      <c r="G11" s="114"/>
      <c r="H11" s="5"/>
      <c r="I11" s="1"/>
    </row>
    <row r="12" spans="1:9" x14ac:dyDescent="0.25">
      <c r="A12" s="1"/>
      <c r="B12" s="1"/>
      <c r="C12" s="1"/>
      <c r="D12" s="1"/>
      <c r="E12" s="1"/>
      <c r="F12" s="1"/>
      <c r="G12" s="1"/>
      <c r="H12" s="5"/>
      <c r="I12" s="1"/>
    </row>
    <row r="13" spans="1:9" x14ac:dyDescent="0.25">
      <c r="A13" s="1"/>
      <c r="B13" s="1"/>
      <c r="C13" s="6" t="s">
        <v>6</v>
      </c>
      <c r="D13" s="116" t="s">
        <v>169</v>
      </c>
      <c r="E13" s="117"/>
      <c r="F13" s="117"/>
      <c r="G13" s="118"/>
      <c r="H13" s="5"/>
      <c r="I13" s="1"/>
    </row>
    <row r="14" spans="1:9" x14ac:dyDescent="0.25">
      <c r="A14" s="1"/>
      <c r="B14" s="1"/>
      <c r="C14" s="6" t="s">
        <v>16</v>
      </c>
      <c r="D14" s="107" t="s">
        <v>235</v>
      </c>
      <c r="E14" s="108"/>
      <c r="F14" s="108"/>
      <c r="G14" s="109"/>
      <c r="H14" s="5"/>
      <c r="I14" s="1"/>
    </row>
    <row r="15" spans="1:9" x14ac:dyDescent="0.25">
      <c r="A15" s="1"/>
      <c r="B15" s="1"/>
      <c r="C15" s="6" t="s">
        <v>34</v>
      </c>
      <c r="D15" s="107" t="s">
        <v>170</v>
      </c>
      <c r="E15" s="108"/>
      <c r="F15" s="108"/>
      <c r="G15" s="109"/>
      <c r="H15" s="5"/>
      <c r="I15" s="1"/>
    </row>
    <row r="16" spans="1:9" x14ac:dyDescent="0.25">
      <c r="A16" s="1"/>
      <c r="B16" s="1"/>
      <c r="C16" s="6" t="s">
        <v>35</v>
      </c>
      <c r="D16" s="107" t="s">
        <v>182</v>
      </c>
      <c r="E16" s="108"/>
      <c r="F16" s="108"/>
      <c r="G16" s="109"/>
      <c r="H16" s="5"/>
      <c r="I16" s="1"/>
    </row>
    <row r="17" spans="1:9" x14ac:dyDescent="0.25">
      <c r="A17" s="1"/>
      <c r="B17" s="1"/>
      <c r="C17" s="6" t="s">
        <v>119</v>
      </c>
      <c r="D17" s="107" t="s">
        <v>183</v>
      </c>
      <c r="E17" s="108"/>
      <c r="F17" s="108"/>
      <c r="G17" s="109"/>
      <c r="H17" s="5"/>
      <c r="I17" s="1"/>
    </row>
    <row r="18" spans="1:9" x14ac:dyDescent="0.25">
      <c r="A18" s="1"/>
      <c r="B18" s="1"/>
      <c r="C18" s="6" t="s">
        <v>106</v>
      </c>
      <c r="D18" s="104" t="s">
        <v>95</v>
      </c>
      <c r="E18" s="105"/>
      <c r="F18" s="105"/>
      <c r="G18" s="106"/>
      <c r="H18" s="5"/>
      <c r="I18" s="1"/>
    </row>
    <row r="19" spans="1:9" x14ac:dyDescent="0.25">
      <c r="A19" s="1"/>
      <c r="B19" s="1"/>
      <c r="C19" s="6" t="s">
        <v>107</v>
      </c>
      <c r="D19" s="104" t="s">
        <v>96</v>
      </c>
      <c r="E19" s="105"/>
      <c r="F19" s="105"/>
      <c r="G19" s="106"/>
      <c r="H19" s="5"/>
      <c r="I19" s="1"/>
    </row>
    <row r="20" spans="1:9" x14ac:dyDescent="0.25">
      <c r="A20" s="1"/>
      <c r="B20" s="1"/>
      <c r="C20" s="6" t="s">
        <v>7</v>
      </c>
      <c r="D20" s="104" t="s">
        <v>10</v>
      </c>
      <c r="E20" s="105"/>
      <c r="F20" s="105"/>
      <c r="G20" s="106"/>
      <c r="H20" s="5"/>
      <c r="I20" s="1"/>
    </row>
    <row r="21" spans="1:9" x14ac:dyDescent="0.25">
      <c r="A21" s="1"/>
      <c r="B21" s="1"/>
      <c r="C21" s="6" t="s">
        <v>108</v>
      </c>
      <c r="D21" s="111" t="s">
        <v>12</v>
      </c>
      <c r="E21" s="112"/>
      <c r="F21" s="112"/>
      <c r="G21" s="113"/>
      <c r="H21" s="5"/>
      <c r="I21" s="1"/>
    </row>
    <row r="22" spans="1:9" x14ac:dyDescent="0.25">
      <c r="A22" s="1"/>
      <c r="B22" s="1"/>
      <c r="C22" s="6" t="s">
        <v>83</v>
      </c>
      <c r="D22" s="98" t="s">
        <v>184</v>
      </c>
      <c r="E22" s="99"/>
      <c r="F22" s="99"/>
      <c r="G22" s="100"/>
      <c r="H22" s="5"/>
      <c r="I22" s="1"/>
    </row>
    <row r="23" spans="1:9" x14ac:dyDescent="0.25">
      <c r="A23" s="1"/>
      <c r="B23" s="1"/>
      <c r="C23" s="6" t="s">
        <v>8</v>
      </c>
      <c r="D23" s="98" t="s">
        <v>253</v>
      </c>
      <c r="E23" s="99"/>
      <c r="F23" s="99"/>
      <c r="G23" s="100"/>
      <c r="H23" s="5"/>
      <c r="I23" s="1"/>
    </row>
    <row r="24" spans="1:9" x14ac:dyDescent="0.25">
      <c r="A24" s="1"/>
      <c r="B24" s="1"/>
      <c r="C24" s="6" t="s">
        <v>9</v>
      </c>
      <c r="D24" s="98" t="s">
        <v>185</v>
      </c>
      <c r="E24" s="99"/>
      <c r="F24" s="99"/>
      <c r="G24" s="100"/>
      <c r="H24" s="5"/>
      <c r="I24" s="1"/>
    </row>
    <row r="25" spans="1:9" x14ac:dyDescent="0.25">
      <c r="A25" s="1"/>
      <c r="B25" s="1"/>
      <c r="C25" s="6" t="s">
        <v>246</v>
      </c>
      <c r="D25" s="98" t="s">
        <v>237</v>
      </c>
      <c r="E25" s="99"/>
      <c r="F25" s="99"/>
      <c r="G25" s="100"/>
      <c r="H25" s="1"/>
      <c r="I25" s="1"/>
    </row>
    <row r="26" spans="1:9" x14ac:dyDescent="0.25">
      <c r="A26" s="1"/>
      <c r="B26" s="1"/>
      <c r="C26" s="6" t="s">
        <v>247</v>
      </c>
      <c r="D26" s="98" t="s">
        <v>84</v>
      </c>
      <c r="E26" s="99"/>
      <c r="F26" s="99"/>
      <c r="G26" s="100"/>
      <c r="H26" s="1"/>
      <c r="I26" s="1"/>
    </row>
    <row r="27" spans="1:9" x14ac:dyDescent="0.25">
      <c r="A27" s="1"/>
      <c r="B27" s="1"/>
      <c r="C27" s="6" t="s">
        <v>248</v>
      </c>
      <c r="D27" s="98" t="s">
        <v>85</v>
      </c>
      <c r="E27" s="99"/>
      <c r="F27" s="99"/>
      <c r="G27" s="100"/>
      <c r="H27" s="1"/>
      <c r="I27" s="1"/>
    </row>
    <row r="28" spans="1:9" x14ac:dyDescent="0.25">
      <c r="A28" s="1"/>
      <c r="B28" s="1"/>
      <c r="C28" s="6" t="s">
        <v>15</v>
      </c>
      <c r="D28" s="98" t="s">
        <v>86</v>
      </c>
      <c r="E28" s="99"/>
      <c r="F28" s="99"/>
      <c r="G28" s="100"/>
      <c r="H28" s="1"/>
      <c r="I28" s="1"/>
    </row>
    <row r="29" spans="1:9" x14ac:dyDescent="0.25">
      <c r="A29" s="1"/>
      <c r="B29" s="1"/>
      <c r="C29" s="6" t="s">
        <v>37</v>
      </c>
      <c r="D29" s="98" t="s">
        <v>134</v>
      </c>
      <c r="E29" s="99"/>
      <c r="F29" s="99"/>
      <c r="G29" s="100"/>
      <c r="H29" s="1"/>
      <c r="I29" s="1"/>
    </row>
    <row r="30" spans="1:9" x14ac:dyDescent="0.25">
      <c r="A30" s="1"/>
      <c r="B30" s="1"/>
      <c r="C30" s="6" t="s">
        <v>38</v>
      </c>
      <c r="D30" s="98" t="s">
        <v>36</v>
      </c>
      <c r="E30" s="99"/>
      <c r="F30" s="99"/>
      <c r="G30" s="100"/>
      <c r="H30" s="1"/>
      <c r="I30" s="1"/>
    </row>
    <row r="31" spans="1:9" x14ac:dyDescent="0.25">
      <c r="A31" s="1"/>
      <c r="B31" s="1"/>
      <c r="C31" s="6" t="s">
        <v>249</v>
      </c>
      <c r="D31" s="101" t="s">
        <v>105</v>
      </c>
      <c r="E31" s="102"/>
      <c r="F31" s="102"/>
      <c r="G31" s="10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CoKy/Ou+qzSkW82oZBW1A9+6bTaLCayjcd/nly5PRAoh9Vkpb9QLTCo4ncsI/oFmo5ADrs76pUaUqiWBTuv1TQ==" saltValue="0N8+8dW35MS5Vl7J6+VVBg=="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130174</v>
      </c>
      <c r="D10" s="14" t="s">
        <v>3</v>
      </c>
      <c r="E10" s="1"/>
      <c r="F10" s="1"/>
    </row>
    <row r="11" spans="1:6" x14ac:dyDescent="0.25">
      <c r="A11" s="1"/>
      <c r="B11" s="94" t="s">
        <v>266</v>
      </c>
      <c r="C11" s="9">
        <v>34737775</v>
      </c>
      <c r="D11" s="14" t="s">
        <v>3</v>
      </c>
      <c r="E11" s="1"/>
      <c r="F11" s="1"/>
    </row>
    <row r="12" spans="1:6" x14ac:dyDescent="0.25">
      <c r="A12" s="1"/>
      <c r="B12" s="94" t="s">
        <v>267</v>
      </c>
      <c r="C12" s="9">
        <v>582679</v>
      </c>
      <c r="D12" s="14" t="s">
        <v>3</v>
      </c>
      <c r="E12" s="1"/>
      <c r="F12" s="1"/>
    </row>
    <row r="13" spans="1:6" x14ac:dyDescent="0.25">
      <c r="A13" s="1"/>
      <c r="B13" s="32" t="s">
        <v>200</v>
      </c>
      <c r="C13" s="12">
        <f>SUM(C10:C12)</f>
        <v>35450628</v>
      </c>
      <c r="D13" s="13" t="s">
        <v>3</v>
      </c>
      <c r="E13" s="1"/>
      <c r="F13" s="1"/>
    </row>
    <row r="14" spans="1:6" x14ac:dyDescent="0.25">
      <c r="A14" s="1"/>
      <c r="B14" s="32" t="s">
        <v>201</v>
      </c>
      <c r="C14" s="12">
        <f>C13*(1+'Fane 15. Nøgletal'!C15)^2</f>
        <v>38019641.421502084</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31" t="s">
        <v>117</v>
      </c>
      <c r="C17" s="132"/>
      <c r="D17" s="133"/>
      <c r="E17" s="1"/>
      <c r="F17" s="1"/>
    </row>
    <row r="18" spans="1:6" x14ac:dyDescent="0.25">
      <c r="A18" s="1"/>
      <c r="B18" s="94" t="s">
        <v>99</v>
      </c>
      <c r="C18" s="9">
        <v>371800</v>
      </c>
      <c r="D18" s="14" t="s">
        <v>3</v>
      </c>
      <c r="E18" s="1"/>
      <c r="F18" s="1"/>
    </row>
    <row r="19" spans="1:6" x14ac:dyDescent="0.25">
      <c r="A19" s="1"/>
      <c r="B19" s="94" t="s">
        <v>129</v>
      </c>
      <c r="C19" s="9">
        <v>371800</v>
      </c>
      <c r="D19" s="14" t="s">
        <v>3</v>
      </c>
      <c r="E19" s="1"/>
      <c r="F19" s="1"/>
    </row>
    <row r="20" spans="1:6" x14ac:dyDescent="0.25">
      <c r="A20" s="1"/>
      <c r="B20" s="94" t="s">
        <v>155</v>
      </c>
      <c r="C20" s="9">
        <v>371800</v>
      </c>
      <c r="D20" s="14" t="s">
        <v>3</v>
      </c>
      <c r="E20" s="1"/>
      <c r="F20" s="1"/>
    </row>
    <row r="21" spans="1:6" x14ac:dyDescent="0.25">
      <c r="A21" s="1"/>
      <c r="B21" s="33" t="s">
        <v>202</v>
      </c>
      <c r="C21" s="9">
        <v>371800</v>
      </c>
      <c r="D21" s="40" t="s">
        <v>3</v>
      </c>
      <c r="E21" s="1"/>
      <c r="F21" s="1"/>
    </row>
    <row r="22" spans="1:6" x14ac:dyDescent="0.25">
      <c r="A22" s="1"/>
      <c r="B22" s="131"/>
      <c r="C22" s="132"/>
      <c r="D22" s="133"/>
      <c r="E22" s="1"/>
      <c r="F22" s="1"/>
    </row>
    <row r="23" spans="1:6" x14ac:dyDescent="0.25">
      <c r="A23" s="1"/>
      <c r="B23" s="1"/>
      <c r="C23" s="1"/>
      <c r="D23" s="1"/>
      <c r="E23" s="1"/>
      <c r="F23" s="1"/>
    </row>
    <row r="24" spans="1:6" x14ac:dyDescent="0.25">
      <c r="A24" s="1"/>
      <c r="B24" s="1"/>
      <c r="C24" s="1"/>
      <c r="D24" s="1"/>
      <c r="E24" s="1"/>
      <c r="F24" s="1"/>
    </row>
    <row r="25" spans="1:6" x14ac:dyDescent="0.25">
      <c r="A25" s="1"/>
      <c r="B25" s="131" t="s">
        <v>98</v>
      </c>
      <c r="C25" s="132"/>
      <c r="D25" s="133"/>
      <c r="E25" s="1"/>
      <c r="F25" s="1"/>
    </row>
    <row r="26" spans="1:6" x14ac:dyDescent="0.25">
      <c r="A26" s="1"/>
      <c r="B26" s="94" t="s">
        <v>99</v>
      </c>
      <c r="C26" s="9">
        <v>0</v>
      </c>
      <c r="D26" s="14" t="s">
        <v>3</v>
      </c>
      <c r="E26" s="1"/>
      <c r="F26" s="1"/>
    </row>
    <row r="27" spans="1:6" x14ac:dyDescent="0.25">
      <c r="A27" s="1"/>
      <c r="B27" s="94" t="s">
        <v>129</v>
      </c>
      <c r="C27" s="9">
        <v>0</v>
      </c>
      <c r="D27" s="14" t="s">
        <v>3</v>
      </c>
      <c r="E27" s="1"/>
      <c r="F27" s="1"/>
    </row>
    <row r="28" spans="1:6" x14ac:dyDescent="0.25">
      <c r="A28" s="1"/>
      <c r="B28" s="94" t="s">
        <v>155</v>
      </c>
      <c r="C28" s="9">
        <v>0</v>
      </c>
      <c r="D28" s="14" t="s">
        <v>3</v>
      </c>
      <c r="E28" s="1"/>
      <c r="F28" s="1"/>
    </row>
    <row r="29" spans="1:6" x14ac:dyDescent="0.25">
      <c r="A29" s="1"/>
      <c r="B29" s="33" t="s">
        <v>202</v>
      </c>
      <c r="C29" s="9">
        <v>0</v>
      </c>
      <c r="D29" s="40" t="s">
        <v>3</v>
      </c>
      <c r="E29" s="1"/>
      <c r="F29" s="1"/>
    </row>
    <row r="30" spans="1:6" x14ac:dyDescent="0.25">
      <c r="A30" s="1"/>
      <c r="B30" s="131"/>
      <c r="C30" s="132"/>
      <c r="D30" s="133"/>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49"/>
      <c r="B47" s="49"/>
      <c r="C47" s="49"/>
      <c r="D47" s="49"/>
      <c r="E47" s="49"/>
      <c r="F47" s="49"/>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sheetData>
  <sheetProtection algorithmName="SHA-512" hashValue="kMPtoh27VWw4WYec3AZmwU09fRti29fARdf/9rFg62c9bhYOzoyTkNaur4m+d6rA6Psc02r9Bp2ufunALFq/Qw==" saltValue="1ODH9k66snlU7qy7V+8hoA==" spinCount="100000" sheet="1" objects="1" scenarios="1"/>
  <mergeCells count="6">
    <mergeCell ref="B30:D30"/>
    <mergeCell ref="B3:D4"/>
    <mergeCell ref="B8:D8"/>
    <mergeCell ref="B17:D17"/>
    <mergeCell ref="B25:D25"/>
    <mergeCell ref="B22:D22"/>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203</v>
      </c>
      <c r="C3" s="124"/>
      <c r="D3" s="124"/>
      <c r="E3" s="124"/>
      <c r="F3" s="124"/>
      <c r="G3" s="1"/>
    </row>
    <row r="4" spans="1:7" ht="15" customHeight="1" x14ac:dyDescent="0.25">
      <c r="A4" s="1"/>
      <c r="B4" s="124"/>
      <c r="C4" s="124"/>
      <c r="D4" s="124"/>
      <c r="E4" s="124"/>
      <c r="F4" s="124"/>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36" t="s">
        <v>204</v>
      </c>
      <c r="C9" s="137"/>
      <c r="D9" s="138"/>
      <c r="E9" s="9">
        <v>-23720768.690923721</v>
      </c>
      <c r="F9" s="14" t="s">
        <v>3</v>
      </c>
      <c r="G9" s="1"/>
    </row>
    <row r="10" spans="1:7" x14ac:dyDescent="0.25">
      <c r="A10" s="1"/>
      <c r="B10" s="136" t="s">
        <v>263</v>
      </c>
      <c r="C10" s="137"/>
      <c r="D10" s="138"/>
      <c r="E10" s="9">
        <v>-23720768.690923721</v>
      </c>
      <c r="F10" s="14" t="s">
        <v>3</v>
      </c>
      <c r="G10" s="1"/>
    </row>
    <row r="11" spans="1:7" x14ac:dyDescent="0.25">
      <c r="A11" s="1"/>
      <c r="B11" s="32"/>
      <c r="C11" s="27"/>
      <c r="D11" s="27"/>
      <c r="E11" s="27"/>
      <c r="F11" s="19"/>
      <c r="G11" s="1"/>
    </row>
    <row r="12" spans="1:7" ht="82.5" customHeight="1" x14ac:dyDescent="0.25">
      <c r="A12" s="1"/>
      <c r="B12" s="121" t="s">
        <v>293</v>
      </c>
      <c r="C12" s="122"/>
      <c r="D12" s="122"/>
      <c r="E12" s="122"/>
      <c r="F12" s="123"/>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36" t="s">
        <v>288</v>
      </c>
      <c r="C15" s="137"/>
      <c r="D15" s="138"/>
      <c r="E15" s="9">
        <v>-15191648.34546186</v>
      </c>
      <c r="F15" s="14" t="s">
        <v>3</v>
      </c>
      <c r="G15" s="1"/>
    </row>
    <row r="16" spans="1:7" x14ac:dyDescent="0.25">
      <c r="A16" s="1"/>
      <c r="B16" s="136" t="s">
        <v>289</v>
      </c>
      <c r="C16" s="137"/>
      <c r="D16" s="138"/>
      <c r="E16" s="9">
        <v>-15191648.34546186</v>
      </c>
      <c r="F16" s="14" t="s">
        <v>3</v>
      </c>
      <c r="G16" s="1"/>
    </row>
    <row r="17" spans="1:7" x14ac:dyDescent="0.25">
      <c r="A17" s="1"/>
      <c r="B17" s="32"/>
      <c r="C17" s="27"/>
      <c r="D17" s="27"/>
      <c r="E17" s="27"/>
      <c r="F17" s="19"/>
      <c r="G17" s="1"/>
    </row>
    <row r="18" spans="1:7" ht="31.5" customHeight="1" x14ac:dyDescent="0.25">
      <c r="A18" s="1"/>
      <c r="B18" s="121" t="s">
        <v>294</v>
      </c>
      <c r="C18" s="122"/>
      <c r="D18" s="122"/>
      <c r="E18" s="122"/>
      <c r="F18" s="123"/>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74371184.531049058</v>
      </c>
      <c r="F21" s="14" t="s">
        <v>3</v>
      </c>
      <c r="G21" s="1"/>
    </row>
    <row r="22" spans="1:7" x14ac:dyDescent="0.25">
      <c r="A22" s="1"/>
      <c r="B22" s="91" t="s">
        <v>207</v>
      </c>
      <c r="C22" s="92"/>
      <c r="D22" s="93"/>
      <c r="E22" s="9">
        <v>88598518</v>
      </c>
      <c r="F22" s="14" t="s">
        <v>3</v>
      </c>
      <c r="G22" s="1"/>
    </row>
    <row r="23" spans="1:7" x14ac:dyDescent="0.25">
      <c r="A23" s="1"/>
      <c r="B23" s="91" t="s">
        <v>33</v>
      </c>
      <c r="C23" s="92"/>
      <c r="D23" s="93"/>
      <c r="E23" s="9">
        <v>70000</v>
      </c>
      <c r="F23" s="14" t="s">
        <v>3</v>
      </c>
      <c r="G23" s="1"/>
    </row>
    <row r="24" spans="1:7" x14ac:dyDescent="0.25">
      <c r="A24" s="1"/>
      <c r="B24" s="88" t="s">
        <v>274</v>
      </c>
      <c r="C24" s="89"/>
      <c r="D24" s="96"/>
      <c r="E24" s="72">
        <f>E21-(E22-E23)</f>
        <v>-14157333.468950942</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290</v>
      </c>
      <c r="C27" s="132"/>
      <c r="D27" s="132"/>
      <c r="E27" s="132"/>
      <c r="F27" s="133"/>
      <c r="G27" s="1"/>
    </row>
    <row r="28" spans="1:7" x14ac:dyDescent="0.25">
      <c r="A28" s="1"/>
      <c r="B28" s="134" t="s">
        <v>291</v>
      </c>
      <c r="C28" s="135"/>
      <c r="D28" s="158"/>
      <c r="E28" s="73">
        <f>IF(AND(E9&gt;0,(E9+E24)&gt;0),0,IF(AND(E9&gt;0,(E9+E24)&lt;0),0,IF(AND(E9&lt;0,E24&gt;0,E10=0),0,IF(AND(E9&lt;0,E24&gt;0,ABS(E10)&lt;ABS(E24)),ABS(E16),IF(AND(E9&lt;0,E24&gt;0,ABS(E10)&gt;ABS(E24),ABS(E16)&gt;ABS(E24)),-(ABS(E16)-ABS(E24)),IF(AND(E9&lt;0,E24&gt;0,ABS(E10)&gt;ABS(E24),ABS(E16)&lt;ABS(E24)),E24-ABS(E16),IF(AND(E9&lt;0,E24&lt;0),E16,0)))))))</f>
        <v>-15191648.34546186</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5" t="s">
        <v>143</v>
      </c>
      <c r="C32" s="156"/>
      <c r="D32" s="157"/>
      <c r="E32" s="74">
        <f>IF(AND(E9&gt;0,(E9+E24)&gt;0),0,IF(AND(E9&gt;0,(E9+E24)&lt;0),(E9+E24),IF(AND(E9&lt;0,E24&lt;0),E24,0)))</f>
        <v>-14157333.468950942</v>
      </c>
      <c r="F32" s="14" t="s">
        <v>3</v>
      </c>
      <c r="G32" s="1"/>
    </row>
    <row r="33" spans="1:7" x14ac:dyDescent="0.25">
      <c r="A33" s="1"/>
      <c r="B33" s="155" t="s">
        <v>102</v>
      </c>
      <c r="C33" s="156"/>
      <c r="D33" s="157"/>
      <c r="E33" s="9">
        <v>4</v>
      </c>
      <c r="F33" s="14" t="s">
        <v>20</v>
      </c>
      <c r="G33" s="1"/>
    </row>
    <row r="34" spans="1:7" x14ac:dyDescent="0.25">
      <c r="A34" s="1"/>
      <c r="B34" s="151" t="s">
        <v>144</v>
      </c>
      <c r="C34" s="151"/>
      <c r="D34" s="151"/>
      <c r="E34" s="73">
        <f>E32/E33</f>
        <v>-3539333.3672377355</v>
      </c>
      <c r="F34" s="17" t="s">
        <v>3</v>
      </c>
      <c r="G34" s="1"/>
    </row>
    <row r="35" spans="1:7" x14ac:dyDescent="0.25">
      <c r="A35" s="1"/>
      <c r="B35" s="152"/>
      <c r="C35" s="153"/>
      <c r="D35" s="153"/>
      <c r="E35" s="153"/>
      <c r="F35" s="154"/>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0yWDp+yJo7DcufBPtlOruCoP7gOa2OrhsuU7moRiVuvU5zwEQstYrSIxJCLqsVY5a/y44m1KhSE5z4RFEM7TXg==" saltValue="9Z6OESPMhEFcv0qjKrPSVg==" spinCount="100000" sheet="1" objects="1" scenarios="1"/>
  <mergeCells count="17">
    <mergeCell ref="B3:F4"/>
    <mergeCell ref="B8:F8"/>
    <mergeCell ref="B9:D9"/>
    <mergeCell ref="B10:D10"/>
    <mergeCell ref="B14:F14"/>
    <mergeCell ref="B12:F12"/>
    <mergeCell ref="B34:D34"/>
    <mergeCell ref="B35:F35"/>
    <mergeCell ref="B15:D15"/>
    <mergeCell ref="B16:D16"/>
    <mergeCell ref="B32:D32"/>
    <mergeCell ref="B29:F29"/>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59" t="s">
        <v>277</v>
      </c>
      <c r="C10" s="160"/>
      <c r="D10" s="160"/>
      <c r="E10" s="160"/>
      <c r="F10" s="161"/>
      <c r="G10" s="9">
        <v>0</v>
      </c>
      <c r="H10" s="9" t="s">
        <v>3</v>
      </c>
      <c r="I10" s="1"/>
    </row>
    <row r="11" spans="1:9" x14ac:dyDescent="0.25">
      <c r="A11" s="1"/>
      <c r="B11" s="159" t="s">
        <v>278</v>
      </c>
      <c r="C11" s="160"/>
      <c r="D11" s="160"/>
      <c r="E11" s="160"/>
      <c r="F11" s="161"/>
      <c r="G11" s="9">
        <v>0</v>
      </c>
      <c r="H11" s="9" t="s">
        <v>3</v>
      </c>
      <c r="I11" s="1"/>
    </row>
    <row r="12" spans="1:9" x14ac:dyDescent="0.25">
      <c r="A12" s="1"/>
      <c r="B12" s="159" t="s">
        <v>279</v>
      </c>
      <c r="C12" s="160"/>
      <c r="D12" s="160"/>
      <c r="E12" s="160"/>
      <c r="F12" s="161"/>
      <c r="G12" s="9">
        <v>0</v>
      </c>
      <c r="H12" s="9" t="s">
        <v>3</v>
      </c>
      <c r="I12" s="1"/>
    </row>
    <row r="13" spans="1:9" x14ac:dyDescent="0.25">
      <c r="A13" s="1"/>
      <c r="B13" s="159" t="s">
        <v>280</v>
      </c>
      <c r="C13" s="160"/>
      <c r="D13" s="160"/>
      <c r="E13" s="160"/>
      <c r="F13" s="161"/>
      <c r="G13" s="9">
        <v>0</v>
      </c>
      <c r="H13" s="9" t="s">
        <v>3</v>
      </c>
      <c r="I13" s="1"/>
    </row>
    <row r="14" spans="1:9" x14ac:dyDescent="0.25">
      <c r="A14" s="1"/>
      <c r="B14" s="159" t="s">
        <v>281</v>
      </c>
      <c r="C14" s="160"/>
      <c r="D14" s="160"/>
      <c r="E14" s="160"/>
      <c r="F14" s="161"/>
      <c r="G14" s="9">
        <v>0</v>
      </c>
      <c r="H14" s="9" t="s">
        <v>3</v>
      </c>
      <c r="I14" s="1"/>
    </row>
    <row r="15" spans="1:9" x14ac:dyDescent="0.25">
      <c r="A15" s="1"/>
      <c r="B15" s="159" t="s">
        <v>282</v>
      </c>
      <c r="C15" s="160"/>
      <c r="D15" s="160"/>
      <c r="E15" s="160"/>
      <c r="F15" s="161"/>
      <c r="G15" s="9">
        <v>0</v>
      </c>
      <c r="H15" s="9" t="s">
        <v>3</v>
      </c>
      <c r="I15" s="1"/>
    </row>
    <row r="16" spans="1:9" x14ac:dyDescent="0.25">
      <c r="A16" s="1"/>
      <c r="B16" s="159" t="s">
        <v>283</v>
      </c>
      <c r="C16" s="160"/>
      <c r="D16" s="160"/>
      <c r="E16" s="160"/>
      <c r="F16" s="161"/>
      <c r="G16" s="9">
        <v>0</v>
      </c>
      <c r="H16" s="9" t="s">
        <v>3</v>
      </c>
      <c r="I16" s="1"/>
    </row>
    <row r="17" spans="1:9" x14ac:dyDescent="0.25">
      <c r="A17" s="1"/>
      <c r="B17" s="159" t="s">
        <v>284</v>
      </c>
      <c r="C17" s="160"/>
      <c r="D17" s="160"/>
      <c r="E17" s="160"/>
      <c r="F17" s="161"/>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PQ38KGUu/ebMfqvoR1RXQaxWZzSWzN2uNPjiMt0h+kNt431SeTAutldELWasuhouLz+mmz4CuRiNCM2GpV33VQ==" saltValue="o/yXXU9hhE8bKhS31elrtg==" spinCount="100000" sheet="1" objects="1" scenarios="1"/>
  <mergeCells count="12">
    <mergeCell ref="B17:F17"/>
    <mergeCell ref="B18:F18"/>
    <mergeCell ref="B12:F12"/>
    <mergeCell ref="B13:F13"/>
    <mergeCell ref="B14:F14"/>
    <mergeCell ref="B15:F15"/>
    <mergeCell ref="B16:F16"/>
    <mergeCell ref="B11:F11"/>
    <mergeCell ref="B10:F10"/>
    <mergeCell ref="B9:H9"/>
    <mergeCell ref="B3:H4"/>
    <mergeCell ref="B8:H8"/>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254</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21" t="s">
        <v>100</v>
      </c>
      <c r="C10" s="122"/>
      <c r="D10" s="123"/>
      <c r="E10" s="7">
        <v>0</v>
      </c>
      <c r="F10" s="8" t="s">
        <v>3</v>
      </c>
      <c r="G10" s="1"/>
    </row>
    <row r="11" spans="1:7" x14ac:dyDescent="0.25">
      <c r="A11" s="1"/>
      <c r="B11" s="136" t="s">
        <v>209</v>
      </c>
      <c r="C11" s="137"/>
      <c r="D11" s="138"/>
      <c r="E11" s="7">
        <v>0</v>
      </c>
      <c r="F11" s="8" t="s">
        <v>3</v>
      </c>
      <c r="G11" s="1"/>
    </row>
    <row r="12" spans="1:7" x14ac:dyDescent="0.25">
      <c r="A12" s="1"/>
      <c r="B12" s="134" t="s">
        <v>101</v>
      </c>
      <c r="C12" s="135"/>
      <c r="D12" s="158"/>
      <c r="E12" s="10">
        <f>E11-E10</f>
        <v>0</v>
      </c>
      <c r="F12" s="11" t="s">
        <v>3</v>
      </c>
      <c r="G12" s="1"/>
    </row>
    <row r="13" spans="1:7" x14ac:dyDescent="0.25">
      <c r="A13" s="1"/>
      <c r="B13" s="131" t="s">
        <v>94</v>
      </c>
      <c r="C13" s="132"/>
      <c r="D13" s="132"/>
      <c r="E13" s="132"/>
      <c r="F13" s="133"/>
      <c r="G13" s="1"/>
    </row>
    <row r="14" spans="1:7" x14ac:dyDescent="0.25">
      <c r="A14" s="1"/>
      <c r="B14" s="136" t="s">
        <v>210</v>
      </c>
      <c r="C14" s="137"/>
      <c r="D14" s="138"/>
      <c r="E14" s="9">
        <v>1048876</v>
      </c>
      <c r="F14" s="8" t="s">
        <v>3</v>
      </c>
      <c r="G14" s="1"/>
    </row>
    <row r="15" spans="1:7" x14ac:dyDescent="0.25">
      <c r="A15" s="1"/>
      <c r="B15" s="121" t="s">
        <v>211</v>
      </c>
      <c r="C15" s="122"/>
      <c r="D15" s="123"/>
      <c r="E15" s="9">
        <v>0</v>
      </c>
      <c r="F15" s="8" t="s">
        <v>3</v>
      </c>
      <c r="G15" s="1"/>
    </row>
    <row r="16" spans="1:7" x14ac:dyDescent="0.25">
      <c r="A16" s="1"/>
      <c r="B16" s="134" t="s">
        <v>101</v>
      </c>
      <c r="C16" s="135"/>
      <c r="D16" s="158"/>
      <c r="E16" s="10">
        <f>E15-E14</f>
        <v>-1048876</v>
      </c>
      <c r="F16" s="11" t="s">
        <v>3</v>
      </c>
      <c r="G16" s="1"/>
    </row>
    <row r="17" spans="1:7" x14ac:dyDescent="0.25">
      <c r="A17" s="1"/>
      <c r="B17" s="32" t="s">
        <v>212</v>
      </c>
      <c r="C17" s="27"/>
      <c r="D17" s="27"/>
      <c r="E17" s="12">
        <f>E12+E16</f>
        <v>-1048876</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0FQkLwe9xQ0MtbhXelFClL8NG99UH5mdY+wN85k59zmZgWHjHYyQW2PdezeYmb70ZkpNsj2v0jB2RL8dPZ+z8A==" saltValue="4BY6mNvhQJNaj+5Ny0V1w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3"/>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2" t="s">
        <v>245</v>
      </c>
      <c r="E9" s="163"/>
      <c r="F9" s="162" t="s">
        <v>2</v>
      </c>
      <c r="G9" s="163"/>
      <c r="H9" s="162" t="s">
        <v>244</v>
      </c>
      <c r="I9" s="163"/>
      <c r="J9" s="162" t="s">
        <v>30</v>
      </c>
      <c r="K9" s="163"/>
      <c r="L9" s="1"/>
    </row>
    <row r="10" spans="1:12" x14ac:dyDescent="0.25">
      <c r="A10" s="1"/>
      <c r="B10" s="97" t="s">
        <v>268</v>
      </c>
      <c r="C10" s="41">
        <v>75</v>
      </c>
      <c r="D10" s="9">
        <v>489627</v>
      </c>
      <c r="E10" s="14" t="s">
        <v>3</v>
      </c>
      <c r="F10" s="9">
        <f>IFERROR(D10/C10,0)</f>
        <v>6528.36</v>
      </c>
      <c r="G10" s="14" t="s">
        <v>3</v>
      </c>
      <c r="H10" s="44">
        <v>0</v>
      </c>
      <c r="I10" s="14" t="s">
        <v>3</v>
      </c>
      <c r="J10" s="44">
        <v>19585</v>
      </c>
      <c r="K10" s="14" t="s">
        <v>3</v>
      </c>
      <c r="L10" s="1"/>
    </row>
    <row r="11" spans="1:12" x14ac:dyDescent="0.25">
      <c r="A11" s="1"/>
      <c r="B11" s="97" t="s">
        <v>268</v>
      </c>
      <c r="C11" s="41">
        <v>75</v>
      </c>
      <c r="D11" s="9">
        <v>390959</v>
      </c>
      <c r="E11" s="14" t="s">
        <v>3</v>
      </c>
      <c r="F11" s="9">
        <f t="shared" ref="F11:F13" si="0">IFERROR(D11/C11,0)</f>
        <v>5212.7866666666669</v>
      </c>
      <c r="G11" s="14" t="s">
        <v>3</v>
      </c>
      <c r="H11" s="44">
        <v>0</v>
      </c>
      <c r="I11" s="14" t="s">
        <v>3</v>
      </c>
      <c r="J11" s="44">
        <v>15638</v>
      </c>
      <c r="K11" s="14" t="s">
        <v>3</v>
      </c>
      <c r="L11" s="1"/>
    </row>
    <row r="12" spans="1:12" ht="39" x14ac:dyDescent="0.25">
      <c r="A12" s="1"/>
      <c r="B12" s="97" t="s">
        <v>269</v>
      </c>
      <c r="C12" s="41">
        <v>20</v>
      </c>
      <c r="D12" s="9">
        <v>781918</v>
      </c>
      <c r="E12" s="14" t="s">
        <v>3</v>
      </c>
      <c r="F12" s="9">
        <f t="shared" si="0"/>
        <v>39095.9</v>
      </c>
      <c r="G12" s="14" t="s">
        <v>3</v>
      </c>
      <c r="H12" s="44">
        <v>0</v>
      </c>
      <c r="I12" s="14" t="s">
        <v>3</v>
      </c>
      <c r="J12" s="44">
        <v>31277</v>
      </c>
      <c r="K12" s="14" t="s">
        <v>3</v>
      </c>
      <c r="L12" s="1"/>
    </row>
    <row r="13" spans="1:12" x14ac:dyDescent="0.25">
      <c r="A13" s="1"/>
      <c r="B13" s="97" t="s">
        <v>270</v>
      </c>
      <c r="C13" s="41">
        <v>75</v>
      </c>
      <c r="D13" s="9">
        <v>6255347</v>
      </c>
      <c r="E13" s="14" t="s">
        <v>3</v>
      </c>
      <c r="F13" s="9">
        <f t="shared" si="0"/>
        <v>83404.626666666663</v>
      </c>
      <c r="G13" s="14" t="s">
        <v>3</v>
      </c>
      <c r="H13" s="44">
        <v>0</v>
      </c>
      <c r="I13" s="14" t="s">
        <v>3</v>
      </c>
      <c r="J13" s="44">
        <v>250214</v>
      </c>
      <c r="K13" s="14" t="s">
        <v>3</v>
      </c>
      <c r="L13" s="1"/>
    </row>
    <row r="14" spans="1:12" x14ac:dyDescent="0.25">
      <c r="A14" s="1"/>
      <c r="B14" s="97" t="s">
        <v>271</v>
      </c>
      <c r="C14" s="41">
        <v>75</v>
      </c>
      <c r="D14" s="9">
        <v>85153</v>
      </c>
      <c r="E14" s="14" t="s">
        <v>3</v>
      </c>
      <c r="F14" s="9">
        <f t="shared" ref="F14:F17" si="1">IFERROR(D14/C14,0)</f>
        <v>1135.3733333333332</v>
      </c>
      <c r="G14" s="14" t="s">
        <v>3</v>
      </c>
      <c r="H14" s="44">
        <v>0</v>
      </c>
      <c r="I14" s="14" t="s">
        <v>3</v>
      </c>
      <c r="J14" s="44">
        <v>3406</v>
      </c>
      <c r="K14" s="14" t="s">
        <v>3</v>
      </c>
      <c r="L14" s="1"/>
    </row>
    <row r="15" spans="1:12" x14ac:dyDescent="0.25">
      <c r="A15" s="1"/>
      <c r="B15" s="97" t="s">
        <v>272</v>
      </c>
      <c r="C15" s="41">
        <v>75</v>
      </c>
      <c r="D15" s="9">
        <v>78192</v>
      </c>
      <c r="E15" s="14" t="s">
        <v>3</v>
      </c>
      <c r="F15" s="9">
        <f t="shared" si="1"/>
        <v>1042.56</v>
      </c>
      <c r="G15" s="14" t="s">
        <v>3</v>
      </c>
      <c r="H15" s="44">
        <v>0</v>
      </c>
      <c r="I15" s="14" t="s">
        <v>3</v>
      </c>
      <c r="J15" s="44">
        <v>3128</v>
      </c>
      <c r="K15" s="14" t="s">
        <v>3</v>
      </c>
      <c r="L15" s="1"/>
    </row>
    <row r="16" spans="1:12" ht="26.25" x14ac:dyDescent="0.25">
      <c r="A16" s="1"/>
      <c r="B16" s="97" t="s">
        <v>273</v>
      </c>
      <c r="C16" s="41">
        <v>75</v>
      </c>
      <c r="D16" s="9">
        <v>1554033</v>
      </c>
      <c r="E16" s="14" t="s">
        <v>3</v>
      </c>
      <c r="F16" s="9">
        <f t="shared" si="1"/>
        <v>20720.439999999999</v>
      </c>
      <c r="G16" s="14" t="s">
        <v>3</v>
      </c>
      <c r="H16" s="44">
        <v>0</v>
      </c>
      <c r="I16" s="14" t="s">
        <v>3</v>
      </c>
      <c r="J16" s="44">
        <v>62161</v>
      </c>
      <c r="K16" s="14" t="s">
        <v>3</v>
      </c>
      <c r="L16" s="1"/>
    </row>
    <row r="17" spans="1:12" ht="26.25" x14ac:dyDescent="0.25">
      <c r="A17" s="1"/>
      <c r="B17" s="97" t="s">
        <v>273</v>
      </c>
      <c r="C17" s="41">
        <v>75</v>
      </c>
      <c r="D17" s="9">
        <v>312767</v>
      </c>
      <c r="E17" s="14" t="s">
        <v>3</v>
      </c>
      <c r="F17" s="9">
        <f t="shared" si="1"/>
        <v>4170.2266666666665</v>
      </c>
      <c r="G17" s="14" t="s">
        <v>3</v>
      </c>
      <c r="H17" s="44">
        <v>0</v>
      </c>
      <c r="I17" s="14" t="s">
        <v>3</v>
      </c>
      <c r="J17" s="44">
        <v>12511</v>
      </c>
      <c r="K17" s="14" t="s">
        <v>3</v>
      </c>
      <c r="L17" s="1"/>
    </row>
    <row r="18" spans="1:12" x14ac:dyDescent="0.25">
      <c r="A18" s="1"/>
      <c r="B18" s="85" t="s">
        <v>220</v>
      </c>
      <c r="C18" s="86"/>
      <c r="D18" s="87"/>
      <c r="E18" s="87"/>
      <c r="F18" s="12">
        <f>SUM(F10:F17)</f>
        <v>161310.27333333332</v>
      </c>
      <c r="G18" s="12" t="s">
        <v>243</v>
      </c>
      <c r="H18" s="12">
        <f>SUM(H10:H17)</f>
        <v>0</v>
      </c>
      <c r="I18" s="12" t="s">
        <v>243</v>
      </c>
      <c r="J18" s="12">
        <f>SUM(J10:J17)</f>
        <v>397920</v>
      </c>
      <c r="K18" s="13" t="s">
        <v>3</v>
      </c>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49"/>
      <c r="B46" s="49"/>
      <c r="C46" s="49"/>
      <c r="D46" s="49"/>
      <c r="E46" s="49"/>
      <c r="F46" s="49"/>
      <c r="G46" s="49"/>
      <c r="H46" s="49"/>
      <c r="I46" s="49"/>
      <c r="J46" s="49"/>
      <c r="K46" s="49"/>
      <c r="L46" s="49"/>
    </row>
    <row r="47" spans="1:12" x14ac:dyDescent="0.25">
      <c r="A47" s="49"/>
      <c r="B47" s="49"/>
      <c r="C47" s="49"/>
      <c r="D47" s="49"/>
      <c r="E47" s="49"/>
      <c r="F47" s="49"/>
      <c r="G47" s="49"/>
      <c r="H47" s="49"/>
      <c r="I47" s="49"/>
      <c r="J47" s="49"/>
      <c r="K47" s="49"/>
      <c r="L47" s="49"/>
    </row>
    <row r="48" spans="1:12" x14ac:dyDescent="0.25">
      <c r="A48" s="49"/>
      <c r="B48" s="49"/>
      <c r="C48" s="49"/>
      <c r="D48" s="49"/>
      <c r="E48" s="49"/>
      <c r="F48" s="49"/>
      <c r="G48" s="49"/>
      <c r="H48" s="49"/>
      <c r="I48" s="49"/>
      <c r="J48" s="49"/>
      <c r="K48" s="49"/>
      <c r="L48" s="49"/>
    </row>
    <row r="49" spans="1:12" x14ac:dyDescent="0.25">
      <c r="A49" s="49"/>
      <c r="B49" s="49"/>
      <c r="C49" s="49"/>
      <c r="D49" s="49"/>
      <c r="E49" s="49"/>
      <c r="F49" s="49"/>
      <c r="G49" s="49"/>
      <c r="H49" s="49"/>
      <c r="I49" s="49"/>
      <c r="J49" s="49"/>
      <c r="K49" s="49"/>
      <c r="L49" s="49"/>
    </row>
    <row r="50" spans="1:12" x14ac:dyDescent="0.25">
      <c r="A50" s="49"/>
      <c r="B50" s="49"/>
      <c r="C50" s="49"/>
      <c r="D50" s="49"/>
      <c r="E50" s="49"/>
      <c r="F50" s="49"/>
      <c r="G50" s="49"/>
      <c r="H50" s="49"/>
      <c r="I50" s="49"/>
      <c r="J50" s="49"/>
      <c r="K50" s="49"/>
      <c r="L50" s="49"/>
    </row>
    <row r="51" spans="1:12" x14ac:dyDescent="0.25">
      <c r="A51" s="49"/>
      <c r="B51" s="49"/>
      <c r="C51" s="49"/>
      <c r="D51" s="49"/>
      <c r="E51" s="49"/>
      <c r="F51" s="49"/>
      <c r="G51" s="49"/>
      <c r="H51" s="49"/>
      <c r="I51" s="49"/>
      <c r="J51" s="49"/>
      <c r="K51" s="49"/>
      <c r="L51" s="49"/>
    </row>
    <row r="52" spans="1:12" x14ac:dyDescent="0.25">
      <c r="A52" s="49"/>
      <c r="B52" s="49"/>
      <c r="C52" s="49"/>
      <c r="D52" s="49"/>
      <c r="E52" s="49"/>
      <c r="F52" s="49"/>
      <c r="G52" s="49"/>
      <c r="H52" s="49"/>
      <c r="I52" s="49"/>
      <c r="J52" s="49"/>
      <c r="K52" s="49"/>
      <c r="L52" s="49"/>
    </row>
    <row r="53" spans="1:12" x14ac:dyDescent="0.25">
      <c r="A53" s="49"/>
      <c r="B53" s="49"/>
      <c r="C53" s="49"/>
      <c r="D53" s="49"/>
      <c r="E53" s="49"/>
      <c r="F53" s="49"/>
      <c r="G53" s="49"/>
      <c r="H53" s="49"/>
      <c r="I53" s="49"/>
      <c r="J53" s="49"/>
      <c r="K53" s="49"/>
      <c r="L53" s="49"/>
    </row>
  </sheetData>
  <sheetProtection algorithmName="SHA-512" hashValue="shGGfWGswQcZ8C0446s+xBPc04caUiChpP4rU8V4OIQRaaMdwP0BZJJm64LYyE9+IIueD6KDu2nhF+fxaiZCuw==" saltValue="5lUvj1HCBjeXNsDnE/K7H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1"/>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19)'!H18</f>
        <v>0</v>
      </c>
      <c r="D10" s="14" t="s">
        <v>3</v>
      </c>
      <c r="E10" s="9">
        <f>SUM('Fane 10. Anlægsprojekter (§ 19)'!F18,'Fane 10. Anlægsprojekter (§ 19)'!J18)</f>
        <v>559230.27333333332</v>
      </c>
      <c r="F10" s="14" t="s">
        <v>3</v>
      </c>
      <c r="G10" s="1"/>
    </row>
    <row r="11" spans="1:7" x14ac:dyDescent="0.25">
      <c r="A11" s="1"/>
      <c r="B11" s="23" t="s">
        <v>285</v>
      </c>
      <c r="C11" s="21">
        <v>0</v>
      </c>
      <c r="D11" s="14" t="s">
        <v>3</v>
      </c>
      <c r="E11" s="9">
        <v>1631904</v>
      </c>
      <c r="F11" s="14" t="s">
        <v>3</v>
      </c>
      <c r="G11" s="1"/>
    </row>
    <row r="12" spans="1:7" x14ac:dyDescent="0.25">
      <c r="A12" s="1"/>
      <c r="B12" s="23" t="s">
        <v>286</v>
      </c>
      <c r="C12" s="21">
        <v>98973</v>
      </c>
      <c r="D12" s="14" t="s">
        <v>3</v>
      </c>
      <c r="E12" s="9">
        <f>904279+358062</f>
        <v>1262341</v>
      </c>
      <c r="F12" s="14" t="s">
        <v>3</v>
      </c>
      <c r="G12" s="1"/>
    </row>
    <row r="13" spans="1:7" x14ac:dyDescent="0.25">
      <c r="A13" s="1"/>
      <c r="B13" s="23" t="s">
        <v>276</v>
      </c>
      <c r="C13" s="21">
        <v>0</v>
      </c>
      <c r="D13" s="14" t="s">
        <v>3</v>
      </c>
      <c r="E13" s="9">
        <v>7917919</v>
      </c>
      <c r="F13" s="14" t="s">
        <v>3</v>
      </c>
      <c r="G13" s="1"/>
    </row>
    <row r="14" spans="1:7" x14ac:dyDescent="0.25">
      <c r="A14" s="1"/>
      <c r="B14" s="32" t="s">
        <v>156</v>
      </c>
      <c r="C14" s="12">
        <f>SUM(C10:C13)</f>
        <v>98973</v>
      </c>
      <c r="D14" s="13" t="s">
        <v>3</v>
      </c>
      <c r="E14" s="12">
        <f>SUM(E10:E13)</f>
        <v>11371394.273333333</v>
      </c>
      <c r="F14" s="13" t="s">
        <v>3</v>
      </c>
      <c r="G14" s="1"/>
    </row>
    <row r="15" spans="1:7" x14ac:dyDescent="0.25">
      <c r="A15" s="1"/>
      <c r="B15" s="32" t="s">
        <v>213</v>
      </c>
      <c r="C15" s="12">
        <f>C14*(1+'Fane 15. Nøgletal'!C15)</f>
        <v>102496.4388</v>
      </c>
      <c r="D15" s="13" t="s">
        <v>3</v>
      </c>
      <c r="E15" s="12">
        <f>E14*(1+'Fane 15. Nøgletal'!C15)</f>
        <v>11776215.909464002</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B51" s="49"/>
      <c r="C51" s="49"/>
      <c r="D51" s="49"/>
      <c r="E51" s="49"/>
      <c r="F51" s="49"/>
    </row>
  </sheetData>
  <sheetProtection algorithmName="SHA-512" hashValue="q0ko7gVy963N1TEFK3I4/6+o/BeC2vOiJR0DnSPClzMAfpyt+oHi1G2hKHmM8TpZ/W8xqiolkmDIKA1dBmKq5Q==" saltValue="iJh+2+WOwK2IQ88aFFfQ+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3" t="s">
        <v>17</v>
      </c>
      <c r="C9" s="83" t="s">
        <v>11</v>
      </c>
      <c r="D9" s="84"/>
      <c r="E9" s="83" t="s">
        <v>31</v>
      </c>
      <c r="F9" s="31"/>
      <c r="G9" s="1"/>
    </row>
    <row r="10" spans="1:7" x14ac:dyDescent="0.25">
      <c r="A10" s="1"/>
      <c r="B10" s="23" t="s">
        <v>287</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4"/>
      <c r="C28" s="164"/>
      <c r="D28" s="164"/>
      <c r="E28" s="164"/>
      <c r="F28" s="164"/>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U++FBH9Zij6xx0HC+dT0yCMDMWlEbOfQGHxmpdcjxcb0caI4mTLQainf+ZaM3+XWfM9pZAlo9PRwjZBirbGMIA==" saltValue="EtF8q5U3cGE0q3Vvcdj1LQ=="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258</v>
      </c>
      <c r="C3" s="124"/>
      <c r="D3" s="124"/>
      <c r="E3" s="124"/>
      <c r="F3" s="124"/>
      <c r="G3" s="1"/>
    </row>
    <row r="4" spans="1:7" ht="15" customHeight="1" x14ac:dyDescent="0.25">
      <c r="A4" s="1"/>
      <c r="B4" s="124"/>
      <c r="C4" s="124"/>
      <c r="D4" s="124"/>
      <c r="E4" s="124"/>
      <c r="F4" s="124"/>
      <c r="G4" s="1"/>
    </row>
    <row r="5" spans="1:7" x14ac:dyDescent="0.25">
      <c r="A5" s="1"/>
      <c r="B5" s="124"/>
      <c r="C5" s="124"/>
      <c r="D5" s="124"/>
      <c r="E5" s="124"/>
      <c r="F5" s="12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59" t="s">
        <v>224</v>
      </c>
      <c r="C10" s="160"/>
      <c r="D10" s="161"/>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59" t="s">
        <v>224</v>
      </c>
      <c r="C16" s="160"/>
      <c r="D16" s="161"/>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59" t="s">
        <v>224</v>
      </c>
      <c r="C22" s="160"/>
      <c r="D22" s="161"/>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59" t="s">
        <v>224</v>
      </c>
      <c r="C28" s="160"/>
      <c r="D28" s="161"/>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b3ELY6V2rYqMKgJxpLm6BbilxfEJnd95mmrWM/7HfBaOeEm98ZtM5J8g33IyVNoTTGXFo44xTddWNeAzHz5O5g==" saltValue="ONkLhSk7kJOW+VTiJatG0w=="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140625" style="2" customWidth="1"/>
    <col min="2" max="2" width="42.28515625" style="2" customWidth="1"/>
    <col min="3" max="3" width="15.5703125" style="2" customWidth="1"/>
    <col min="4" max="4" width="3.28515625" style="2" customWidth="1"/>
    <col min="5" max="5" width="17.140625" style="2" customWidth="1"/>
    <col min="6" max="6" width="3.28515625" style="2" customWidth="1"/>
    <col min="7" max="7" width="2.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259</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275</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oHpNt5uU2wUrv/0QQsr3siwSrdTlWo1eMyx0Lits2tiUTIFe6neUSt7ZCt4dbkfI4dyhOaPxDgzezcPy4BHp2Q==" saltValue="uC0W5SbLj1pdXPXbbgzHW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260</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4"/>
      <c r="C27" s="164"/>
      <c r="D27" s="164"/>
      <c r="E27" s="164"/>
      <c r="F27" s="164"/>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nRPiRuJozleqG8gMZsfdLpBMk3fElZx3ViiUrQV0rp3ODt0JR0yefgHE1lToBS5U5VovZYW6XaqPpZRAnNVCSA==" saltValue="NjxX/5eyc1+OvuyajiFZr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56318506.495644614</v>
      </c>
      <c r="D9" s="8" t="s">
        <v>3</v>
      </c>
      <c r="E9" s="1"/>
    </row>
    <row r="10" spans="1:5" ht="17.25" customHeight="1" x14ac:dyDescent="0.25">
      <c r="A10" s="1"/>
      <c r="B10" s="82" t="s">
        <v>39</v>
      </c>
      <c r="C10" s="7">
        <f>'Fane 11.1. Varige tillæg'!C15</f>
        <v>102496.4388</v>
      </c>
      <c r="D10" s="8" t="s">
        <v>3</v>
      </c>
      <c r="E10" s="1"/>
    </row>
    <row r="11" spans="1:5" ht="17.25" customHeight="1" x14ac:dyDescent="0.25">
      <c r="A11" s="1"/>
      <c r="B11" s="82" t="s">
        <v>40</v>
      </c>
      <c r="C11" s="9">
        <f>'Fane 11.1. Varige tillæg'!E15</f>
        <v>11776215.909464002</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608733.23103382566</v>
      </c>
      <c r="D16" s="8" t="s">
        <v>3</v>
      </c>
      <c r="E16" s="1"/>
    </row>
    <row r="17" spans="1:5" ht="17.25" customHeight="1" x14ac:dyDescent="0.25">
      <c r="A17" s="1"/>
      <c r="B17" s="82" t="s">
        <v>10</v>
      </c>
      <c r="C17" s="44">
        <f>-SUM(C9,C10:C16)*'Fane 5. Individuelt eff. krav'!G9</f>
        <v>-1376119.0414988489</v>
      </c>
      <c r="D17" s="8" t="s">
        <v>3</v>
      </c>
      <c r="E17" s="1"/>
    </row>
    <row r="18" spans="1:5" ht="17.25" customHeight="1" x14ac:dyDescent="0.25">
      <c r="A18" s="1"/>
      <c r="B18" s="82" t="s">
        <v>24</v>
      </c>
      <c r="C18" s="44">
        <f>-'Fane 4.1. Gen. krav - drift'!G45</f>
        <v>-254329.69461398845</v>
      </c>
      <c r="D18" s="8" t="s">
        <v>3</v>
      </c>
      <c r="E18" s="1"/>
    </row>
    <row r="19" spans="1:5" ht="17.25" customHeight="1" x14ac:dyDescent="0.25">
      <c r="A19" s="1"/>
      <c r="B19" s="82" t="s">
        <v>25</v>
      </c>
      <c r="C19" s="44">
        <f>-'Fane 4.2. Gen. krav - anlæg'!G43</f>
        <v>-702556.32844067062</v>
      </c>
      <c r="D19" s="8" t="s">
        <v>3</v>
      </c>
      <c r="E19" s="48"/>
    </row>
    <row r="20" spans="1:5" ht="17.25" customHeight="1" x14ac:dyDescent="0.25">
      <c r="A20" s="1"/>
      <c r="B20" s="88" t="s">
        <v>21</v>
      </c>
      <c r="C20" s="10">
        <f>SUM(C9:C19)</f>
        <v>66472947.010388918</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omk.'!C14+'Fane 6. Ikke-påvirkelige omk.'!C18+'Fane 6. Ikke-påvirkelige omk.'!C26</f>
        <v>38391441.421502084</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0</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0</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-15191648.34546186</v>
      </c>
      <c r="D32" s="11" t="s">
        <v>3</v>
      </c>
      <c r="E32" s="1"/>
    </row>
    <row r="33" spans="1:5" ht="15" customHeight="1" x14ac:dyDescent="0.25">
      <c r="A33" s="1"/>
      <c r="B33" s="32" t="s">
        <v>185</v>
      </c>
      <c r="C33" s="27"/>
      <c r="D33" s="19"/>
      <c r="E33" s="1"/>
    </row>
    <row r="34" spans="1:5" x14ac:dyDescent="0.25">
      <c r="A34" s="1"/>
      <c r="B34" s="30" t="s">
        <v>185</v>
      </c>
      <c r="C34" s="10">
        <f>'Fane 9. Korrektion af ØR2021'!E17</f>
        <v>-1048876</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88623864.086429149</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VK0tRTpWibZLGuYHmxQABBle+qxoMvuryosiynjEnMAZEGvbtnHRA10znJsP3e1GNZQ8upXcPoRtZp2HKxiyVA==" saltValue="40kbxq9bn6c5ZvUuiMygo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4" t="s">
        <v>261</v>
      </c>
      <c r="C3" s="124"/>
      <c r="D3" s="1"/>
    </row>
    <row r="4" spans="1:4" ht="25.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YKP7iwSAc16ImHhig0BShZ48LQ6aY6tu8phGC1078H/GXO1hp5JPPSqCJ6uoOVQP/4vCsXzEBVAjpNeGhacEVA==" saltValue="+Jjew55N44IDTfRXSn8Jo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66472947.010388918</v>
      </c>
      <c r="D9" s="8" t="s">
        <v>3</v>
      </c>
      <c r="E9" s="1"/>
    </row>
    <row r="10" spans="1:5" ht="15" customHeight="1" x14ac:dyDescent="0.25">
      <c r="A10" s="1"/>
      <c r="B10" s="25" t="s">
        <v>19</v>
      </c>
      <c r="C10" s="7">
        <f>SUM(C9:C9)*'Fane 15. Nøgletal'!C15</f>
        <v>2366436.9135698453</v>
      </c>
      <c r="D10" s="8" t="s">
        <v>3</v>
      </c>
      <c r="E10" s="1"/>
    </row>
    <row r="11" spans="1:5" ht="15" customHeight="1" x14ac:dyDescent="0.25">
      <c r="A11" s="1"/>
      <c r="B11" s="25" t="s">
        <v>10</v>
      </c>
      <c r="C11" s="9">
        <f>-SUM(C9:C10)*'Fane 5. Individuelt eff. krav'!G9</f>
        <v>-1376787.6784791753</v>
      </c>
      <c r="D11" s="8" t="s">
        <v>3</v>
      </c>
      <c r="E11" s="1"/>
    </row>
    <row r="12" spans="1:5" ht="15" customHeight="1" x14ac:dyDescent="0.25">
      <c r="A12" s="1"/>
      <c r="B12" s="25" t="s">
        <v>24</v>
      </c>
      <c r="C12" s="9">
        <f>-'Fane 4.1. Gen. krav - drift'!G53</f>
        <v>-258116.15510740154</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67204480.090372175</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Nøgletal'!C15)+'Fane 6. Ikke-påvirkelige omk.'!C19+'Fane 6. Ikke-påvirkelige omk.'!C27</f>
        <v>39744940.65610756</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-3539333.3672377355</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103410087.379242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TdiIw2mgWU/Vp92CxaWY23I1O4NmAFA1bjUJBxseew4Ul9kqmALBuiNmZSlNa+nqU/upRdIPKWbcChWbPZGZoQ==" saltValue="hM/qMybskLCvbwHIqT91I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67204480.090372175</v>
      </c>
      <c r="D9" s="8" t="s">
        <v>3</v>
      </c>
      <c r="E9" s="1"/>
    </row>
    <row r="10" spans="1:5" ht="15" customHeight="1" x14ac:dyDescent="0.25">
      <c r="A10" s="1"/>
      <c r="B10" s="25" t="s">
        <v>19</v>
      </c>
      <c r="C10" s="7">
        <f>SUM(C9:C9)*'Fane 15. Nøgletal'!C15</f>
        <v>2392479.4912172495</v>
      </c>
      <c r="D10" s="8" t="s">
        <v>3</v>
      </c>
      <c r="E10" s="1"/>
    </row>
    <row r="11" spans="1:5" ht="15" customHeight="1" x14ac:dyDescent="0.25">
      <c r="A11" s="1"/>
      <c r="B11" s="25" t="s">
        <v>10</v>
      </c>
      <c r="C11" s="9">
        <f>-SUM(C9:C10)*'Fane 5. Individuelt eff. krav'!G9</f>
        <v>-1391939.1916317886</v>
      </c>
      <c r="D11" s="8" t="s">
        <v>3</v>
      </c>
      <c r="E11" s="1"/>
    </row>
    <row r="12" spans="1:5" ht="15" customHeight="1" x14ac:dyDescent="0.25">
      <c r="A12" s="1"/>
      <c r="B12" s="25" t="s">
        <v>24</v>
      </c>
      <c r="C12" s="9">
        <f>-'Fane 4.1. Gen. krav - drift'!G58</f>
        <v>-261958.98842464056</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67943061.401532993</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Nøgletal'!C15)^2+'Fane 6. Ikke-påvirkelige omk.'!C20+'Fane 6. Ikke-påvirkelige omk.'!C28</f>
        <v>41146624.46346499</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-3539333.3672377355</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105550352.49776025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c1vFws4JAXP3dRFNn2nZQev61VP9NKPy5AoMrVfY3qMx6GvWQx1GbX4qOzLK1uRzlWa/iCKxePTdZs/SLJmDuQ==" saltValue="fkW9kjVIQO9AAXCbGIue2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67943061.401532993</v>
      </c>
      <c r="D9" s="8" t="s">
        <v>3</v>
      </c>
      <c r="E9" s="1"/>
    </row>
    <row r="10" spans="1:5" ht="15" customHeight="1" x14ac:dyDescent="0.25">
      <c r="A10" s="1"/>
      <c r="B10" s="25" t="s">
        <v>19</v>
      </c>
      <c r="C10" s="7">
        <f>SUM(C9:C9)*'Fane 15. Nøgletal'!C15</f>
        <v>2418772.9858945743</v>
      </c>
      <c r="D10" s="8" t="s">
        <v>3</v>
      </c>
      <c r="E10" s="1"/>
    </row>
    <row r="11" spans="1:5" ht="15" customHeight="1" x14ac:dyDescent="0.25">
      <c r="A11" s="1"/>
      <c r="B11" s="25" t="s">
        <v>10</v>
      </c>
      <c r="C11" s="9">
        <f>-SUM(C9:C10)*'Fane 5. Individuelt eff. krav'!G9</f>
        <v>-1407236.6877485514</v>
      </c>
      <c r="D11" s="8" t="s">
        <v>3</v>
      </c>
      <c r="E11" s="1"/>
    </row>
    <row r="12" spans="1:5" ht="15" customHeight="1" x14ac:dyDescent="0.25">
      <c r="A12" s="1"/>
      <c r="B12" s="25" t="s">
        <v>24</v>
      </c>
      <c r="C12" s="9">
        <f>-'Fane 4.1. Gen. krav - drift'!G63</f>
        <v>-265859.0338443066</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68688738.66583471</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Nøgletal'!C15)^3+'Fane 6. Ikke-påvirkelige omk.'!C21+'Fane 6. Ikke-påvirkelige omk.'!C29</f>
        <v>42598208.21436435</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-3539333.3672377355</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107747613.51296133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JHTDYrJMuZUjmEOII75wo18gn4nmTEwLUsO25CU5qVBfbjWwe0GIfRbRX03zbvGastWkVAYLICWXtzx4yCsbxg==" saltValue="/oS6bweewVfZTqkO7Vxg2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191</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292</v>
      </c>
      <c r="C8" s="27"/>
      <c r="D8" s="27"/>
      <c r="E8" s="27"/>
      <c r="F8" s="19"/>
      <c r="G8" s="1"/>
    </row>
    <row r="9" spans="1:7" ht="15" customHeight="1" x14ac:dyDescent="0.25">
      <c r="A9" s="1"/>
      <c r="B9" s="121" t="s">
        <v>192</v>
      </c>
      <c r="C9" s="122"/>
      <c r="D9" s="123"/>
      <c r="E9" s="7">
        <v>45766282.395461097</v>
      </c>
      <c r="F9" s="8" t="s">
        <v>3</v>
      </c>
      <c r="G9" s="1"/>
    </row>
    <row r="10" spans="1:7" ht="15" customHeight="1" x14ac:dyDescent="0.25">
      <c r="A10" s="1"/>
      <c r="B10" s="125" t="s">
        <v>39</v>
      </c>
      <c r="C10" s="126"/>
      <c r="D10" s="127"/>
      <c r="E10" s="7">
        <v>50117.844900000004</v>
      </c>
      <c r="F10" s="8" t="s">
        <v>3</v>
      </c>
      <c r="G10" s="1"/>
    </row>
    <row r="11" spans="1:7" ht="15" customHeight="1" x14ac:dyDescent="0.25">
      <c r="A11" s="1"/>
      <c r="B11" s="125" t="s">
        <v>40</v>
      </c>
      <c r="C11" s="126"/>
      <c r="D11" s="127"/>
      <c r="E11" s="9">
        <v>12446209.397600003</v>
      </c>
      <c r="F11" s="8" t="s">
        <v>3</v>
      </c>
      <c r="G11" s="1"/>
    </row>
    <row r="12" spans="1:7" ht="15" customHeight="1" x14ac:dyDescent="0.25">
      <c r="A12" s="1"/>
      <c r="B12" s="125" t="s">
        <v>27</v>
      </c>
      <c r="C12" s="126"/>
      <c r="D12" s="127"/>
      <c r="E12" s="9">
        <v>0</v>
      </c>
      <c r="F12" s="8" t="s">
        <v>3</v>
      </c>
      <c r="G12" s="1"/>
    </row>
    <row r="13" spans="1:7" ht="15" customHeight="1" x14ac:dyDescent="0.25">
      <c r="A13" s="1"/>
      <c r="B13" s="121" t="s">
        <v>26</v>
      </c>
      <c r="C13" s="122"/>
      <c r="D13" s="123"/>
      <c r="E13" s="9">
        <v>0</v>
      </c>
      <c r="F13" s="8" t="s">
        <v>3</v>
      </c>
      <c r="G13" s="1"/>
    </row>
    <row r="14" spans="1:7" ht="15" customHeight="1" x14ac:dyDescent="0.25">
      <c r="A14" s="1"/>
      <c r="B14" s="121" t="s">
        <v>29</v>
      </c>
      <c r="C14" s="122"/>
      <c r="D14" s="123"/>
      <c r="E14" s="9">
        <v>0</v>
      </c>
      <c r="F14" s="8" t="s">
        <v>3</v>
      </c>
      <c r="G14" s="1"/>
    </row>
    <row r="15" spans="1:7" ht="15" customHeight="1" x14ac:dyDescent="0.25">
      <c r="A15" s="1"/>
      <c r="B15" s="121" t="s">
        <v>28</v>
      </c>
      <c r="C15" s="122"/>
      <c r="D15" s="123"/>
      <c r="E15" s="9">
        <v>0</v>
      </c>
      <c r="F15" s="8" t="s">
        <v>3</v>
      </c>
      <c r="G15" s="1"/>
    </row>
    <row r="16" spans="1:7" ht="15" customHeight="1" x14ac:dyDescent="0.25">
      <c r="A16" s="1"/>
      <c r="B16" s="121" t="s">
        <v>19</v>
      </c>
      <c r="C16" s="122"/>
      <c r="D16" s="123"/>
      <c r="E16" s="9">
        <f>SUM(E9:E15)*'Fane 15. Nøgletal'!C14</f>
        <v>192266.61180527162</v>
      </c>
      <c r="F16" s="8" t="s">
        <v>3</v>
      </c>
      <c r="G16" s="1"/>
    </row>
    <row r="17" spans="1:7" ht="15" customHeight="1" x14ac:dyDescent="0.25">
      <c r="A17" s="1"/>
      <c r="B17" s="121" t="s">
        <v>10</v>
      </c>
      <c r="C17" s="122"/>
      <c r="D17" s="123"/>
      <c r="E17" s="9">
        <v>-1169097.5249953275</v>
      </c>
      <c r="F17" s="8" t="s">
        <v>3</v>
      </c>
      <c r="G17" s="1"/>
    </row>
    <row r="18" spans="1:7" ht="15" customHeight="1" x14ac:dyDescent="0.25">
      <c r="A18" s="1"/>
      <c r="B18" s="121" t="s">
        <v>24</v>
      </c>
      <c r="C18" s="122"/>
      <c r="D18" s="123"/>
      <c r="E18" s="9">
        <f>-'Fane 4.1. Gen. krav - drift'!G39</f>
        <v>-256507.39129603212</v>
      </c>
      <c r="F18" s="8" t="s">
        <v>3</v>
      </c>
      <c r="G18" s="1"/>
    </row>
    <row r="19" spans="1:7" ht="15" customHeight="1" x14ac:dyDescent="0.25">
      <c r="A19" s="1"/>
      <c r="B19" s="121" t="s">
        <v>25</v>
      </c>
      <c r="C19" s="122"/>
      <c r="D19" s="123"/>
      <c r="E19" s="9">
        <f>-'Fane 4.2. Gen. krav - anlæg'!G37</f>
        <v>-710764.83783039986</v>
      </c>
      <c r="F19" s="8" t="s">
        <v>3</v>
      </c>
      <c r="G19" s="1"/>
    </row>
    <row r="20" spans="1:7" ht="15" customHeight="1" x14ac:dyDescent="0.25">
      <c r="A20" s="1"/>
      <c r="B20" s="54" t="s">
        <v>21</v>
      </c>
      <c r="C20" s="89"/>
      <c r="D20" s="96"/>
      <c r="E20" s="51">
        <f>SUM(E9:E19)</f>
        <v>56318506.495644614</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36022635.907863006</v>
      </c>
      <c r="F22" s="11" t="s">
        <v>3</v>
      </c>
      <c r="G22" s="1"/>
    </row>
    <row r="23" spans="1:7" ht="15" customHeight="1" x14ac:dyDescent="0.25">
      <c r="A23" s="1"/>
      <c r="B23" s="131" t="s">
        <v>86</v>
      </c>
      <c r="C23" s="132"/>
      <c r="D23" s="133"/>
      <c r="E23" s="27"/>
      <c r="F23" s="19"/>
      <c r="G23" s="1"/>
    </row>
    <row r="24" spans="1:7" ht="15" customHeight="1" x14ac:dyDescent="0.25">
      <c r="A24" s="1"/>
      <c r="B24" s="8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4" t="s">
        <v>87</v>
      </c>
      <c r="C28" s="135"/>
      <c r="D28" s="135"/>
      <c r="E28" s="39">
        <v>0</v>
      </c>
      <c r="F28" s="11" t="s">
        <v>3</v>
      </c>
      <c r="G28" s="1"/>
    </row>
    <row r="29" spans="1:7" ht="15" customHeight="1" x14ac:dyDescent="0.25">
      <c r="A29" s="1"/>
      <c r="B29" s="32" t="s">
        <v>143</v>
      </c>
      <c r="C29" s="32"/>
      <c r="D29" s="32"/>
      <c r="E29" s="27"/>
      <c r="F29" s="19"/>
      <c r="G29" s="1"/>
    </row>
    <row r="30" spans="1:7" ht="15" customHeight="1" x14ac:dyDescent="0.25">
      <c r="A30" s="1"/>
      <c r="B30" s="128" t="s">
        <v>142</v>
      </c>
      <c r="C30" s="129"/>
      <c r="D30" s="129"/>
      <c r="E30" s="39">
        <v>-15191648.34546186</v>
      </c>
      <c r="F30" s="11" t="s">
        <v>3</v>
      </c>
      <c r="G30" s="1"/>
    </row>
    <row r="31" spans="1:7" x14ac:dyDescent="0.25">
      <c r="A31" s="1"/>
      <c r="B31" s="32" t="s">
        <v>123</v>
      </c>
      <c r="C31" s="27"/>
      <c r="D31" s="27"/>
      <c r="E31" s="27"/>
      <c r="F31" s="19"/>
      <c r="G31" s="1"/>
    </row>
    <row r="32" spans="1:7" ht="15.4" customHeight="1" x14ac:dyDescent="0.25">
      <c r="A32" s="1"/>
      <c r="B32" s="128" t="s">
        <v>123</v>
      </c>
      <c r="C32" s="129"/>
      <c r="D32" s="130"/>
      <c r="E32" s="10">
        <v>-1012253</v>
      </c>
      <c r="F32" s="11" t="s">
        <v>3</v>
      </c>
      <c r="G32" s="1"/>
    </row>
    <row r="33" spans="1:7" ht="15.4" customHeight="1" x14ac:dyDescent="0.25">
      <c r="A33" s="1"/>
      <c r="B33" s="131" t="s">
        <v>175</v>
      </c>
      <c r="C33" s="132"/>
      <c r="D33" s="132"/>
      <c r="E33" s="132"/>
      <c r="F33" s="133"/>
      <c r="G33" s="1"/>
    </row>
    <row r="34" spans="1:7" ht="15.4" customHeight="1" x14ac:dyDescent="0.25">
      <c r="A34" s="1"/>
      <c r="B34" s="95" t="s">
        <v>176</v>
      </c>
      <c r="C34" s="10"/>
      <c r="D34" s="11"/>
      <c r="E34" s="10">
        <f>'Fane 8. Skattesagen'!G11</f>
        <v>0</v>
      </c>
      <c r="F34" s="11" t="s">
        <v>3</v>
      </c>
      <c r="G34" s="1"/>
    </row>
    <row r="35" spans="1:7" x14ac:dyDescent="0.25">
      <c r="A35" s="1"/>
      <c r="B35" s="55" t="s">
        <v>218</v>
      </c>
      <c r="C35" s="56"/>
      <c r="D35" s="19"/>
      <c r="E35" s="45">
        <f>SUM(E32,E30,E28,E24,E22,E20,E34)</f>
        <v>76137241.05804576</v>
      </c>
      <c r="F35" s="52" t="s">
        <v>3</v>
      </c>
      <c r="G35" s="1"/>
    </row>
    <row r="36" spans="1:7" ht="27" customHeight="1" x14ac:dyDescent="0.25">
      <c r="A36" s="1"/>
      <c r="B36" s="121" t="s">
        <v>222</v>
      </c>
      <c r="C36" s="122"/>
      <c r="D36" s="122"/>
      <c r="E36" s="122"/>
      <c r="F36" s="12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7YQvR5CaONF6/N1oqTiS3qzuH+5mprCiyhjnkvjodDAf6BxJngpN7mHla61iVpfP3s1OWC9dfzr27LT24cljxw==" saltValue="v4uEKT80NuPBbZsDgjduLg=="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112" zoomScaleNormal="100" zoomScalePageLayoutView="112" workbookViewId="0"/>
  </sheetViews>
  <sheetFormatPr defaultColWidth="9.140625" defaultRowHeight="15" x14ac:dyDescent="0.25"/>
  <cols>
    <col min="1" max="1" width="2.140625" style="2" customWidth="1"/>
    <col min="2" max="5" width="9.140625" style="2"/>
    <col min="6" max="6" width="25.5703125" style="2" customWidth="1"/>
    <col min="7" max="7" width="16.28515625" style="2" customWidth="1"/>
    <col min="8" max="8" width="3.42578125" style="2" customWidth="1"/>
    <col min="9" max="9" width="2.1406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4" t="s">
        <v>109</v>
      </c>
      <c r="C2" s="124"/>
      <c r="D2" s="124"/>
      <c r="E2" s="124"/>
      <c r="F2" s="124"/>
      <c r="G2" s="124"/>
      <c r="H2" s="124"/>
      <c r="I2" s="1"/>
    </row>
    <row r="3" spans="1:9" ht="28.5" customHeight="1" x14ac:dyDescent="0.25">
      <c r="A3" s="1"/>
      <c r="B3" s="124"/>
      <c r="C3" s="124"/>
      <c r="D3" s="124"/>
      <c r="E3" s="124"/>
      <c r="F3" s="124"/>
      <c r="G3" s="124"/>
      <c r="H3" s="124"/>
      <c r="I3" s="1"/>
    </row>
    <row r="4" spans="1:9" x14ac:dyDescent="0.25">
      <c r="A4" s="1"/>
      <c r="B4" s="131" t="s">
        <v>52</v>
      </c>
      <c r="C4" s="132"/>
      <c r="D4" s="132"/>
      <c r="E4" s="132"/>
      <c r="F4" s="132"/>
      <c r="G4" s="132"/>
      <c r="H4" s="133"/>
      <c r="I4" s="1"/>
    </row>
    <row r="5" spans="1:9" x14ac:dyDescent="0.25">
      <c r="A5" s="1"/>
      <c r="B5" s="136" t="s">
        <v>41</v>
      </c>
      <c r="C5" s="137"/>
      <c r="D5" s="137"/>
      <c r="E5" s="137"/>
      <c r="F5" s="138"/>
      <c r="G5" s="76">
        <v>13024824.541591074</v>
      </c>
      <c r="H5" s="14" t="s">
        <v>3</v>
      </c>
      <c r="I5" s="1"/>
    </row>
    <row r="6" spans="1:9" x14ac:dyDescent="0.25">
      <c r="A6" s="1"/>
      <c r="B6" s="121" t="s">
        <v>120</v>
      </c>
      <c r="C6" s="122"/>
      <c r="D6" s="122"/>
      <c r="E6" s="122"/>
      <c r="F6" s="123"/>
      <c r="G6" s="77">
        <v>0</v>
      </c>
      <c r="H6" s="14" t="s">
        <v>3</v>
      </c>
      <c r="I6" s="1"/>
    </row>
    <row r="7" spans="1:9" x14ac:dyDescent="0.25">
      <c r="A7" s="1"/>
      <c r="B7" s="136" t="s">
        <v>42</v>
      </c>
      <c r="C7" s="137"/>
      <c r="D7" s="137"/>
      <c r="E7" s="137"/>
      <c r="F7" s="138"/>
      <c r="G7" s="76">
        <f>SUM(G5:G6)*'Fane 15. Nøgletal'!C31</f>
        <v>260496.49083182149</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39"/>
      <c r="H10" s="133"/>
      <c r="I10" s="1"/>
    </row>
    <row r="11" spans="1:9" x14ac:dyDescent="0.25">
      <c r="A11" s="1"/>
      <c r="B11" s="136" t="s">
        <v>43</v>
      </c>
      <c r="C11" s="137"/>
      <c r="D11" s="137"/>
      <c r="E11" s="137"/>
      <c r="F11" s="138"/>
      <c r="G11" s="76">
        <f>(G5-G7)*(1+'Fane 15. Nøgletal'!C10)</f>
        <v>12987703.79164754</v>
      </c>
      <c r="H11" s="14" t="s">
        <v>3</v>
      </c>
      <c r="I11" s="1"/>
    </row>
    <row r="12" spans="1:9" ht="15" customHeight="1" x14ac:dyDescent="0.25">
      <c r="A12" s="1"/>
      <c r="B12" s="136" t="s">
        <v>121</v>
      </c>
      <c r="C12" s="137"/>
      <c r="D12" s="137"/>
      <c r="E12" s="137"/>
      <c r="F12" s="138"/>
      <c r="G12" s="77">
        <v>0</v>
      </c>
      <c r="H12" s="14" t="s">
        <v>3</v>
      </c>
      <c r="I12" s="1"/>
    </row>
    <row r="13" spans="1:9" x14ac:dyDescent="0.25">
      <c r="A13" s="1"/>
      <c r="B13" s="121" t="s">
        <v>118</v>
      </c>
      <c r="C13" s="122"/>
      <c r="D13" s="122"/>
      <c r="E13" s="122"/>
      <c r="F13" s="123"/>
      <c r="G13" s="77">
        <v>0</v>
      </c>
      <c r="H13" s="14" t="s">
        <v>3</v>
      </c>
      <c r="I13" s="1"/>
    </row>
    <row r="14" spans="1:9" x14ac:dyDescent="0.25">
      <c r="A14" s="1"/>
      <c r="B14" s="143" t="s">
        <v>44</v>
      </c>
      <c r="C14" s="144"/>
      <c r="D14" s="144"/>
      <c r="E14" s="144"/>
      <c r="F14" s="145"/>
      <c r="G14" s="77">
        <v>0</v>
      </c>
      <c r="H14" s="14" t="s">
        <v>3</v>
      </c>
      <c r="I14" s="1"/>
    </row>
    <row r="15" spans="1:9" x14ac:dyDescent="0.25">
      <c r="A15" s="1"/>
      <c r="B15" s="136" t="s">
        <v>45</v>
      </c>
      <c r="C15" s="137"/>
      <c r="D15" s="137"/>
      <c r="E15" s="137"/>
      <c r="F15" s="138"/>
      <c r="G15" s="76">
        <f>SUM(G11:G14)*'Fane 15. Nøgletal'!C31</f>
        <v>259754.07583295082</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39"/>
      <c r="H18" s="133"/>
      <c r="I18" s="1"/>
    </row>
    <row r="19" spans="1:9" x14ac:dyDescent="0.25">
      <c r="A19" s="1"/>
      <c r="B19" s="136" t="s">
        <v>46</v>
      </c>
      <c r="C19" s="137"/>
      <c r="D19" s="137"/>
      <c r="E19" s="137"/>
      <c r="F19" s="138"/>
      <c r="G19" s="76">
        <f>(SUM(G11:G12,G14)-(G15))*(1+'Fane 15. Nøgletal'!C10)</f>
        <v>12950688.835841347</v>
      </c>
      <c r="H19" s="14" t="s">
        <v>3</v>
      </c>
      <c r="I19" s="1"/>
    </row>
    <row r="20" spans="1:9" x14ac:dyDescent="0.25">
      <c r="A20" s="1"/>
      <c r="B20" s="143" t="s">
        <v>47</v>
      </c>
      <c r="C20" s="144"/>
      <c r="D20" s="144"/>
      <c r="E20" s="144"/>
      <c r="F20" s="145"/>
      <c r="G20" s="77">
        <v>0</v>
      </c>
      <c r="H20" s="14" t="s">
        <v>3</v>
      </c>
      <c r="I20" s="1"/>
    </row>
    <row r="21" spans="1:9" x14ac:dyDescent="0.25">
      <c r="A21" s="1"/>
      <c r="B21" s="136" t="s">
        <v>48</v>
      </c>
      <c r="C21" s="137"/>
      <c r="D21" s="137"/>
      <c r="E21" s="137"/>
      <c r="F21" s="138"/>
      <c r="G21" s="76">
        <f>SUM(G19:G20)*'Fane 15. Nøgletal'!C31</f>
        <v>259013.77671682695</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39"/>
      <c r="H24" s="133"/>
      <c r="I24" s="1"/>
    </row>
    <row r="25" spans="1:9" x14ac:dyDescent="0.25">
      <c r="A25" s="1"/>
      <c r="B25" s="136" t="s">
        <v>49</v>
      </c>
      <c r="C25" s="137"/>
      <c r="D25" s="137"/>
      <c r="E25" s="137"/>
      <c r="F25" s="138"/>
      <c r="G25" s="76">
        <f>(G19+G20-G21)*(1+'Fane 15. Nøgletal'!C12)</f>
        <v>12941701.057789274</v>
      </c>
      <c r="H25" s="14" t="s">
        <v>3</v>
      </c>
      <c r="I25" s="1"/>
    </row>
    <row r="26" spans="1:9" x14ac:dyDescent="0.25">
      <c r="A26" s="1"/>
      <c r="B26" s="143" t="s">
        <v>50</v>
      </c>
      <c r="C26" s="144"/>
      <c r="D26" s="144"/>
      <c r="E26" s="144"/>
      <c r="F26" s="145"/>
      <c r="G26" s="77">
        <v>16409.935636380003</v>
      </c>
      <c r="H26" s="14" t="s">
        <v>3</v>
      </c>
      <c r="I26" s="1"/>
    </row>
    <row r="27" spans="1:9" x14ac:dyDescent="0.25">
      <c r="A27" s="1"/>
      <c r="B27" s="136" t="s">
        <v>51</v>
      </c>
      <c r="C27" s="137"/>
      <c r="D27" s="137"/>
      <c r="E27" s="137"/>
      <c r="F27" s="138"/>
      <c r="G27" s="76">
        <f>(G25+G26)*'Fane 15. Nøgletal'!C31</f>
        <v>259162.21986851309</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39"/>
      <c r="H30" s="133"/>
      <c r="I30" s="1"/>
    </row>
    <row r="31" spans="1:9" x14ac:dyDescent="0.25">
      <c r="A31" s="1"/>
      <c r="B31" s="136" t="s">
        <v>59</v>
      </c>
      <c r="C31" s="137"/>
      <c r="D31" s="137"/>
      <c r="E31" s="137"/>
      <c r="F31" s="138"/>
      <c r="G31" s="76">
        <f>(G25+G26-G27)*(1+'Fane 15. Nøgletal'!C12)</f>
        <v>12949118.064396217</v>
      </c>
      <c r="H31" s="14" t="s">
        <v>3</v>
      </c>
      <c r="I31" s="1"/>
    </row>
    <row r="32" spans="1:9" x14ac:dyDescent="0.25">
      <c r="A32" s="1"/>
      <c r="B32" s="136" t="s">
        <v>137</v>
      </c>
      <c r="C32" s="137"/>
      <c r="D32" s="137"/>
      <c r="E32" s="137"/>
      <c r="F32" s="138"/>
      <c r="G32" s="76">
        <v>43807.659300719999</v>
      </c>
      <c r="H32" s="14" t="s">
        <v>3</v>
      </c>
      <c r="I32" s="1"/>
    </row>
    <row r="33" spans="1:9" x14ac:dyDescent="0.25">
      <c r="A33" s="1"/>
      <c r="B33" s="136" t="s">
        <v>60</v>
      </c>
      <c r="C33" s="137"/>
      <c r="D33" s="137"/>
      <c r="E33" s="137"/>
      <c r="F33" s="138"/>
      <c r="G33" s="76">
        <f>(G31+G32)*'Fane 15. Nøgletal'!C31</f>
        <v>259858.51447393876</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39"/>
      <c r="H36" s="133"/>
      <c r="I36" s="1"/>
    </row>
    <row r="37" spans="1:9" x14ac:dyDescent="0.25">
      <c r="A37" s="1"/>
      <c r="B37" s="136" t="s">
        <v>79</v>
      </c>
      <c r="C37" s="137"/>
      <c r="D37" s="137"/>
      <c r="E37" s="137"/>
      <c r="F37" s="138"/>
      <c r="G37" s="76">
        <f>(G31+G32-G33)*(1+'Fane 15. Nøgletal'!C14)</f>
        <v>12775086.331013435</v>
      </c>
      <c r="H37" s="14" t="s">
        <v>3</v>
      </c>
      <c r="I37" s="1"/>
    </row>
    <row r="38" spans="1:9" x14ac:dyDescent="0.25">
      <c r="A38" s="1"/>
      <c r="B38" s="136" t="s">
        <v>164</v>
      </c>
      <c r="C38" s="137"/>
      <c r="D38" s="137"/>
      <c r="E38" s="137"/>
      <c r="F38" s="138"/>
      <c r="G38" s="76">
        <v>50283.233788170008</v>
      </c>
      <c r="H38" s="14" t="s">
        <v>3</v>
      </c>
      <c r="I38" s="1"/>
    </row>
    <row r="39" spans="1:9" x14ac:dyDescent="0.25">
      <c r="A39" s="1"/>
      <c r="B39" s="136" t="s">
        <v>162</v>
      </c>
      <c r="C39" s="137"/>
      <c r="D39" s="137"/>
      <c r="E39" s="137"/>
      <c r="F39" s="138"/>
      <c r="G39" s="76">
        <f>(G37+G38)*'Fane 15. Nøgletal'!C31</f>
        <v>256507.39129603212</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39"/>
      <c r="H42" s="133"/>
      <c r="I42" s="1"/>
    </row>
    <row r="43" spans="1:9" x14ac:dyDescent="0.25">
      <c r="A43" s="1"/>
      <c r="B43" s="136" t="s">
        <v>228</v>
      </c>
      <c r="C43" s="137"/>
      <c r="D43" s="137"/>
      <c r="E43" s="137"/>
      <c r="F43" s="138"/>
      <c r="G43" s="76">
        <f>(G37+G38-G39)*(1+'Fane 15. Nøgletal'!C14)</f>
        <v>12610339.418678142</v>
      </c>
      <c r="H43" s="14" t="s">
        <v>3</v>
      </c>
      <c r="I43" s="1"/>
    </row>
    <row r="44" spans="1:9" x14ac:dyDescent="0.25">
      <c r="A44" s="1"/>
      <c r="B44" s="140" t="s">
        <v>230</v>
      </c>
      <c r="C44" s="141"/>
      <c r="D44" s="141"/>
      <c r="E44" s="141"/>
      <c r="F44" s="142"/>
      <c r="G44" s="80">
        <f>('Fane 2.1. Økonomisk ramme 2023'!C10+'Fane 2.1. Økonomisk ramme 2023'!C12+'Fane 2.1. Økonomisk ramme 2023'!C14)*(1+'Fane 15. Nøgletal'!C15)</f>
        <v>106145.31202128001</v>
      </c>
      <c r="H44" s="14" t="s">
        <v>3</v>
      </c>
      <c r="I44" s="1"/>
    </row>
    <row r="45" spans="1:9" x14ac:dyDescent="0.25">
      <c r="A45" s="1"/>
      <c r="B45" s="136" t="s">
        <v>163</v>
      </c>
      <c r="C45" s="137"/>
      <c r="D45" s="137"/>
      <c r="E45" s="137"/>
      <c r="F45" s="138"/>
      <c r="G45" s="76">
        <f>SUM(G43:G44)*'Fane 15. Nøgletal'!C31</f>
        <v>254329.69461398845</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39"/>
      <c r="H51" s="133"/>
      <c r="I51" s="1"/>
    </row>
    <row r="52" spans="1:9" x14ac:dyDescent="0.25">
      <c r="A52" s="1"/>
      <c r="B52" s="136" t="s">
        <v>227</v>
      </c>
      <c r="C52" s="137"/>
      <c r="D52" s="137"/>
      <c r="E52" s="137"/>
      <c r="F52" s="138"/>
      <c r="G52" s="76">
        <f>(G43+G44-G45)*(1+'Fane 15. Nøgletal'!C15)</f>
        <v>12905807.755370077</v>
      </c>
      <c r="H52" s="14" t="s">
        <v>3</v>
      </c>
      <c r="I52" s="1"/>
    </row>
    <row r="53" spans="1:9" x14ac:dyDescent="0.25">
      <c r="A53" s="1"/>
      <c r="B53" s="136" t="s">
        <v>138</v>
      </c>
      <c r="C53" s="137"/>
      <c r="D53" s="137"/>
      <c r="E53" s="137"/>
      <c r="F53" s="138"/>
      <c r="G53" s="76">
        <f>(G52)*'Fane 15. Nøgletal'!C31</f>
        <v>258116.15510740154</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39"/>
      <c r="H56" s="133"/>
      <c r="I56" s="1"/>
    </row>
    <row r="57" spans="1:9" x14ac:dyDescent="0.25">
      <c r="A57" s="1"/>
      <c r="B57" s="91" t="s">
        <v>151</v>
      </c>
      <c r="C57" s="92"/>
      <c r="D57" s="92"/>
      <c r="E57" s="92"/>
      <c r="F57" s="93"/>
      <c r="G57" s="76">
        <f>(G52-G53)*(1+'Fane 15. Nøgletal'!C15)</f>
        <v>13097949.421232028</v>
      </c>
      <c r="H57" s="14" t="s">
        <v>3</v>
      </c>
      <c r="I57" s="1"/>
    </row>
    <row r="58" spans="1:9" x14ac:dyDescent="0.25">
      <c r="A58" s="1"/>
      <c r="B58" s="91" t="s">
        <v>152</v>
      </c>
      <c r="C58" s="92"/>
      <c r="D58" s="92"/>
      <c r="E58" s="92"/>
      <c r="F58" s="93"/>
      <c r="G58" s="76">
        <f>(G57)*'Fane 15. Nøgletal'!C31</f>
        <v>261958.98842464056</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39"/>
      <c r="H61" s="133"/>
      <c r="I61" s="1"/>
    </row>
    <row r="62" spans="1:9" x14ac:dyDescent="0.25">
      <c r="A62" s="1"/>
      <c r="B62" s="91" t="s">
        <v>194</v>
      </c>
      <c r="C62" s="92"/>
      <c r="D62" s="92"/>
      <c r="E62" s="92"/>
      <c r="F62" s="93"/>
      <c r="G62" s="76">
        <f>(G57-G58)*(1+'Fane 15. Nøgletal'!C15)</f>
        <v>13292951.692215331</v>
      </c>
      <c r="H62" s="14" t="s">
        <v>3</v>
      </c>
      <c r="I62" s="1"/>
    </row>
    <row r="63" spans="1:9" x14ac:dyDescent="0.25">
      <c r="A63" s="1"/>
      <c r="B63" s="91" t="s">
        <v>195</v>
      </c>
      <c r="C63" s="92"/>
      <c r="D63" s="92"/>
      <c r="E63" s="92"/>
      <c r="F63" s="93"/>
      <c r="G63" s="76">
        <f>(G62)*'Fane 15. Nøgletal'!C31</f>
        <v>265859.0338443066</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nvRJbtkzLsZ3H6a0WDZp0Dj0042bMiqYFP0VqvRjLnYOJ41uaCh2CKv6O9Pnp0zTlhAtWGKIwnPCtTW9g7JPkQ==" saltValue="XqU4ob+6+bGE64BFbNvnig=="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140625" style="2" customWidth="1"/>
    <col min="2" max="5" width="9.140625" style="2"/>
    <col min="6" max="6" width="27.5703125" style="2" customWidth="1"/>
    <col min="7" max="7" width="14.140625" style="2" customWidth="1"/>
    <col min="8" max="8" width="3.28515625" style="2" customWidth="1"/>
    <col min="9" max="9" width="2.14062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31" t="s">
        <v>56</v>
      </c>
      <c r="C4" s="132"/>
      <c r="D4" s="132"/>
      <c r="E4" s="132"/>
      <c r="F4" s="132"/>
      <c r="G4" s="132"/>
      <c r="H4" s="133"/>
      <c r="I4" s="1"/>
    </row>
    <row r="5" spans="1:9" x14ac:dyDescent="0.25">
      <c r="A5" s="1"/>
      <c r="B5" s="136" t="s">
        <v>61</v>
      </c>
      <c r="C5" s="137"/>
      <c r="D5" s="137"/>
      <c r="E5" s="137"/>
      <c r="F5" s="138"/>
      <c r="G5" s="76">
        <v>29307753.380379353</v>
      </c>
      <c r="H5" s="14" t="s">
        <v>3</v>
      </c>
      <c r="I5" s="1"/>
    </row>
    <row r="6" spans="1:9" x14ac:dyDescent="0.25">
      <c r="A6" s="1"/>
      <c r="B6" s="136" t="s">
        <v>57</v>
      </c>
      <c r="C6" s="137"/>
      <c r="D6" s="137"/>
      <c r="E6" s="137"/>
      <c r="F6" s="138"/>
      <c r="G6" s="76">
        <f>G5*'Fane 15. Nøgletal'!C20</f>
        <v>266700.55576145212</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39"/>
      <c r="H9" s="133"/>
      <c r="I9" s="1"/>
    </row>
    <row r="10" spans="1:9" x14ac:dyDescent="0.25">
      <c r="A10" s="1"/>
      <c r="B10" s="136" t="s">
        <v>63</v>
      </c>
      <c r="C10" s="137"/>
      <c r="D10" s="137"/>
      <c r="E10" s="137"/>
      <c r="F10" s="138"/>
      <c r="G10" s="76">
        <f>(G5-G6)*(1+'Fane 15. Nøgletal'!C10)</f>
        <v>29549271.249048714</v>
      </c>
      <c r="H10" s="14" t="s">
        <v>3</v>
      </c>
      <c r="I10" s="1"/>
    </row>
    <row r="11" spans="1:9" x14ac:dyDescent="0.25">
      <c r="A11" s="1"/>
      <c r="B11" s="136" t="s">
        <v>122</v>
      </c>
      <c r="C11" s="137"/>
      <c r="D11" s="137"/>
      <c r="E11" s="137"/>
      <c r="F11" s="138"/>
      <c r="G11" s="76">
        <v>1905437.2743868683</v>
      </c>
      <c r="H11" s="14" t="s">
        <v>3</v>
      </c>
      <c r="I11" s="1"/>
    </row>
    <row r="12" spans="1:9" x14ac:dyDescent="0.25">
      <c r="A12" s="1"/>
      <c r="B12" s="143" t="s">
        <v>64</v>
      </c>
      <c r="C12" s="144"/>
      <c r="D12" s="144"/>
      <c r="E12" s="144"/>
      <c r="F12" s="145"/>
      <c r="G12" s="77">
        <v>0</v>
      </c>
      <c r="H12" s="14" t="s">
        <v>3</v>
      </c>
      <c r="I12" s="1"/>
    </row>
    <row r="13" spans="1:9" x14ac:dyDescent="0.25">
      <c r="A13" s="1"/>
      <c r="B13" s="136" t="s">
        <v>65</v>
      </c>
      <c r="C13" s="137"/>
      <c r="D13" s="137"/>
      <c r="E13" s="137"/>
      <c r="F13" s="138"/>
      <c r="G13" s="76">
        <f>SUM(G10:G12)*'Fane 15. Nøgletal'!C21</f>
        <v>556748.34086480981</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39"/>
      <c r="H16" s="133"/>
      <c r="I16" s="1"/>
    </row>
    <row r="17" spans="1:9" x14ac:dyDescent="0.25">
      <c r="A17" s="1"/>
      <c r="B17" s="136" t="s">
        <v>67</v>
      </c>
      <c r="C17" s="137"/>
      <c r="D17" s="137"/>
      <c r="E17" s="137"/>
      <c r="F17" s="138"/>
      <c r="G17" s="76">
        <f>(SUM(G10:G12)-G13)*(1+'Fane 15. Nøgletal'!C10)</f>
        <v>31438674.485765763</v>
      </c>
      <c r="H17" s="14" t="s">
        <v>3</v>
      </c>
      <c r="I17" s="1"/>
    </row>
    <row r="18" spans="1:9" x14ac:dyDescent="0.25">
      <c r="A18" s="1"/>
      <c r="B18" s="143" t="s">
        <v>68</v>
      </c>
      <c r="C18" s="144"/>
      <c r="D18" s="144"/>
      <c r="E18" s="144"/>
      <c r="F18" s="145"/>
      <c r="G18" s="76">
        <v>2416420.2308796993</v>
      </c>
      <c r="H18" s="14" t="s">
        <v>3</v>
      </c>
      <c r="I18" s="1"/>
    </row>
    <row r="19" spans="1:9" x14ac:dyDescent="0.25">
      <c r="A19" s="1"/>
      <c r="B19" s="136" t="s">
        <v>69</v>
      </c>
      <c r="C19" s="137"/>
      <c r="D19" s="137"/>
      <c r="E19" s="137"/>
      <c r="F19" s="138"/>
      <c r="G19" s="76">
        <f>G17*'Fane 15. Nøgletal'!C21+G18*'Fane 15. Nøgletal'!C22</f>
        <v>577487.39440670738</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39"/>
      <c r="H22" s="133"/>
      <c r="I22" s="1"/>
    </row>
    <row r="23" spans="1:9" x14ac:dyDescent="0.25">
      <c r="A23" s="1"/>
      <c r="B23" s="136" t="s">
        <v>71</v>
      </c>
      <c r="C23" s="137"/>
      <c r="D23" s="137"/>
      <c r="E23" s="137"/>
      <c r="F23" s="138"/>
      <c r="G23" s="76">
        <f>(G17+G18-G19)*(1+'Fane 15. Nøgletal'!C12)</f>
        <v>33933176.186486863</v>
      </c>
      <c r="H23" s="14" t="s">
        <v>3</v>
      </c>
      <c r="I23" s="1"/>
    </row>
    <row r="24" spans="1:9" x14ac:dyDescent="0.25">
      <c r="A24" s="1"/>
      <c r="B24" s="143" t="s">
        <v>72</v>
      </c>
      <c r="C24" s="144"/>
      <c r="D24" s="144"/>
      <c r="E24" s="144"/>
      <c r="F24" s="145"/>
      <c r="G24" s="76">
        <v>862500.16097570071</v>
      </c>
      <c r="H24" s="14" t="s">
        <v>3</v>
      </c>
      <c r="I24" s="1"/>
    </row>
    <row r="25" spans="1:9" x14ac:dyDescent="0.25">
      <c r="A25" s="1"/>
      <c r="B25" s="136" t="s">
        <v>73</v>
      </c>
      <c r="C25" s="137"/>
      <c r="D25" s="137"/>
      <c r="E25" s="137"/>
      <c r="F25" s="138"/>
      <c r="G25" s="76">
        <f>(G23+G24)*'Fane 15. Nøgletal'!C23</f>
        <v>988197.20826793695</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39"/>
      <c r="H28" s="133"/>
      <c r="I28" s="1"/>
    </row>
    <row r="29" spans="1:9" x14ac:dyDescent="0.25">
      <c r="A29" s="1"/>
      <c r="B29" s="136" t="s">
        <v>75</v>
      </c>
      <c r="C29" s="137"/>
      <c r="D29" s="137"/>
      <c r="E29" s="137"/>
      <c r="F29" s="138"/>
      <c r="G29" s="76">
        <f>(G23+G24-G25)*(1+'Fane 15. Nøgletal'!C12)</f>
        <v>34473486.478236765</v>
      </c>
      <c r="H29" s="14" t="s">
        <v>3</v>
      </c>
      <c r="I29" s="1"/>
    </row>
    <row r="30" spans="1:9" x14ac:dyDescent="0.25">
      <c r="A30" s="1"/>
      <c r="B30" s="136" t="s">
        <v>139</v>
      </c>
      <c r="C30" s="137"/>
      <c r="D30" s="137"/>
      <c r="E30" s="137"/>
      <c r="F30" s="138"/>
      <c r="G30" s="76">
        <v>1980506.1842596799</v>
      </c>
      <c r="H30" s="14" t="s">
        <v>3</v>
      </c>
      <c r="I30" s="1"/>
    </row>
    <row r="31" spans="1:9" x14ac:dyDescent="0.25">
      <c r="A31" s="1"/>
      <c r="B31" s="136" t="s">
        <v>76</v>
      </c>
      <c r="C31" s="137"/>
      <c r="D31" s="137"/>
      <c r="E31" s="137"/>
      <c r="F31" s="138"/>
      <c r="G31" s="76">
        <f>G29*'Fane 15. Nøgletal'!C23+G30*'Fane 15. Nøgletal'!C24</f>
        <v>1033510.9360490653</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39"/>
      <c r="H34" s="133"/>
      <c r="I34" s="1"/>
    </row>
    <row r="35" spans="1:9" x14ac:dyDescent="0.25">
      <c r="A35" s="1"/>
      <c r="B35" s="136" t="s">
        <v>78</v>
      </c>
      <c r="C35" s="137"/>
      <c r="D35" s="137"/>
      <c r="E35" s="137"/>
      <c r="F35" s="138"/>
      <c r="G35" s="76">
        <f>(G29+G30-G31)*(1+'Fane 15. Nøgletal'!C14)</f>
        <v>35537369.31614466</v>
      </c>
      <c r="H35" s="14" t="s">
        <v>3</v>
      </c>
      <c r="I35" s="1"/>
    </row>
    <row r="36" spans="1:9" x14ac:dyDescent="0.25">
      <c r="A36" s="1"/>
      <c r="B36" s="136" t="s">
        <v>167</v>
      </c>
      <c r="C36" s="137"/>
      <c r="D36" s="137"/>
      <c r="E36" s="137"/>
      <c r="F36" s="138"/>
      <c r="G36" s="76">
        <v>12487281.888612082</v>
      </c>
      <c r="H36" s="14" t="s">
        <v>3</v>
      </c>
      <c r="I36" s="1"/>
    </row>
    <row r="37" spans="1:9" x14ac:dyDescent="0.25">
      <c r="A37" s="1"/>
      <c r="B37" s="136" t="s">
        <v>166</v>
      </c>
      <c r="C37" s="137"/>
      <c r="D37" s="137"/>
      <c r="E37" s="137"/>
      <c r="F37" s="138"/>
      <c r="G37" s="76">
        <f>(G35+G36)*'Fane 15. Nøgletal'!C25</f>
        <v>710764.83783039986</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39"/>
      <c r="H40" s="133"/>
      <c r="I40" s="1"/>
    </row>
    <row r="41" spans="1:9" x14ac:dyDescent="0.25">
      <c r="A41" s="1"/>
      <c r="B41" s="136" t="s">
        <v>77</v>
      </c>
      <c r="C41" s="137"/>
      <c r="D41" s="137"/>
      <c r="E41" s="137"/>
      <c r="F41" s="138"/>
      <c r="G41" s="76">
        <f>(G35+G36-G37)*(1+'Fane 15. Nøgletal'!C14)</f>
        <v>47470022.191937201</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12195449.195840921</v>
      </c>
      <c r="H42" s="14" t="s">
        <v>3</v>
      </c>
      <c r="I42" s="1"/>
    </row>
    <row r="43" spans="1:9" x14ac:dyDescent="0.25">
      <c r="A43" s="1"/>
      <c r="B43" s="136" t="s">
        <v>168</v>
      </c>
      <c r="C43" s="137"/>
      <c r="D43" s="137"/>
      <c r="E43" s="137"/>
      <c r="F43" s="138"/>
      <c r="G43" s="76">
        <f>(G41)*'Fane 15. Nøgletal'!C25+G42*'Fane 15. Nøgletal'!C26</f>
        <v>702556.32844067062</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39"/>
      <c r="H52" s="133"/>
      <c r="I52" s="1"/>
    </row>
    <row r="53" spans="1:9" x14ac:dyDescent="0.25">
      <c r="A53" s="1"/>
      <c r="B53" s="136" t="s">
        <v>140</v>
      </c>
      <c r="C53" s="137"/>
      <c r="D53" s="137"/>
      <c r="E53" s="137"/>
      <c r="F53" s="138"/>
      <c r="G53" s="76">
        <f>(G41+G42-G43)*(1+'Fane 15. Nøgletal'!C15)</f>
        <v>61061994.835449859</v>
      </c>
      <c r="H53" s="14" t="s">
        <v>3</v>
      </c>
      <c r="I53" s="1"/>
    </row>
    <row r="54" spans="1:9" x14ac:dyDescent="0.25">
      <c r="A54" s="1"/>
      <c r="B54" s="136" t="s">
        <v>141</v>
      </c>
      <c r="C54" s="137"/>
      <c r="D54" s="137"/>
      <c r="E54" s="137"/>
      <c r="F54" s="138"/>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39"/>
      <c r="H57" s="133"/>
      <c r="I57" s="1"/>
    </row>
    <row r="58" spans="1:9" x14ac:dyDescent="0.25">
      <c r="A58" s="1"/>
      <c r="B58" s="136" t="s">
        <v>173</v>
      </c>
      <c r="C58" s="137"/>
      <c r="D58" s="137"/>
      <c r="E58" s="137"/>
      <c r="F58" s="138"/>
      <c r="G58" s="76">
        <f>(G53-G54)*(1+'Fane 15. Nøgletal'!C15)</f>
        <v>63235801.851591878</v>
      </c>
      <c r="H58" s="14" t="s">
        <v>3</v>
      </c>
      <c r="I58" s="1"/>
    </row>
    <row r="59" spans="1:9" x14ac:dyDescent="0.25">
      <c r="A59" s="1"/>
      <c r="B59" s="136" t="s">
        <v>174</v>
      </c>
      <c r="C59" s="137"/>
      <c r="D59" s="137"/>
      <c r="E59" s="137"/>
      <c r="F59" s="138"/>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39"/>
      <c r="H62" s="133"/>
      <c r="I62" s="1"/>
    </row>
    <row r="63" spans="1:9" x14ac:dyDescent="0.25">
      <c r="A63" s="1"/>
      <c r="B63" s="136" t="s">
        <v>197</v>
      </c>
      <c r="C63" s="137"/>
      <c r="D63" s="137"/>
      <c r="E63" s="137"/>
      <c r="F63" s="138"/>
      <c r="G63" s="76">
        <f>(G58-G59)*(1+'Fane 15. Nøgletal'!C15)</f>
        <v>65486996.397508554</v>
      </c>
      <c r="H63" s="14" t="s">
        <v>3</v>
      </c>
      <c r="I63" s="1"/>
    </row>
    <row r="64" spans="1:9" x14ac:dyDescent="0.25">
      <c r="A64" s="1"/>
      <c r="B64" s="136" t="s">
        <v>198</v>
      </c>
      <c r="C64" s="137"/>
      <c r="D64" s="137"/>
      <c r="E64" s="137"/>
      <c r="F64" s="138"/>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jKIWkrBRDTVpAB70vU/XADmCLt1thJgONqNww12uTlV/W/agMyJpHW+lV2sA4MzajAfgxijnuaYOkl2kn3+TgQ==" saltValue="I+5q/FBTl0BIsbE3RcpJkg=="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36" t="s">
        <v>154</v>
      </c>
      <c r="C9" s="137"/>
      <c r="D9" s="137"/>
      <c r="E9" s="137"/>
      <c r="F9" s="138"/>
      <c r="G9" s="35">
        <v>0.02</v>
      </c>
      <c r="H9" s="1"/>
    </row>
    <row r="10" spans="1:8" x14ac:dyDescent="0.25">
      <c r="A10" s="1"/>
      <c r="B10" s="32"/>
      <c r="C10" s="27"/>
      <c r="D10" s="27"/>
      <c r="E10" s="27"/>
      <c r="F10" s="27"/>
      <c r="G10" s="19"/>
      <c r="H10" s="1"/>
    </row>
    <row r="11" spans="1:8" ht="29.25" customHeight="1" x14ac:dyDescent="0.25">
      <c r="A11" s="1"/>
      <c r="B11" s="148" t="s">
        <v>236</v>
      </c>
      <c r="C11" s="149"/>
      <c r="D11" s="149"/>
      <c r="E11" s="149"/>
      <c r="F11" s="149"/>
      <c r="G11" s="15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NKFcMmgSU5bc55BPu9/8PY/fMHJyv0uC7xKywuwSV0Ed2l3mTePc7kk2ntHAqYFAftxcqUiPsBoXNvkrOCI0YQ==" saltValue="VaGgv0xXnMnZfBRihd8Cn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2022-12-01T08:35:30Z</dcterms:modified>
</cp:coreProperties>
</file>