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Thisted Renseanlæg AS (S094)\ØR2024\"/>
    </mc:Choice>
  </mc:AlternateContent>
  <xr:revisionPtr revIDLastSave="0" documentId="13_ncr:1_{0A53192A-B942-4355-B055-BB9E19175E4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25" i="44" l="1"/>
  <c r="E16" i="44" l="1"/>
  <c r="E17" i="44"/>
  <c r="E18" i="44" l="1"/>
  <c r="E29" i="44" s="1"/>
  <c r="E31" i="44" s="1"/>
  <c r="G13" i="36"/>
  <c r="G15" i="30"/>
  <c r="G19" i="30" s="1"/>
  <c r="C20" i="15" l="1"/>
  <c r="C32" i="2"/>
  <c r="G21" i="30"/>
  <c r="G25" i="30" s="1"/>
  <c r="G27" i="30" l="1"/>
  <c r="G31" i="30" s="1"/>
  <c r="G33" i="30" l="1"/>
  <c r="G37" i="30" s="1"/>
  <c r="G39" i="30" l="1"/>
  <c r="G43" i="30" s="1"/>
  <c r="G45" i="30" l="1"/>
  <c r="G52" i="30" s="1"/>
  <c r="C9" i="2" l="1"/>
  <c r="E30" i="20" l="1"/>
  <c r="E29" i="20"/>
  <c r="E31" i="20" s="1"/>
  <c r="E24" i="20"/>
  <c r="E23" i="20"/>
  <c r="E25" i="20" s="1"/>
  <c r="G18" i="41" l="1"/>
  <c r="E17" i="20" l="1"/>
  <c r="E11" i="20"/>
  <c r="C22" i="23" l="1"/>
  <c r="C22" i="22"/>
  <c r="C22" i="15"/>
  <c r="C36" i="2"/>
  <c r="C13" i="29" l="1"/>
  <c r="C14" i="29" s="1"/>
  <c r="E13" i="29"/>
  <c r="E14" i="29" s="1"/>
  <c r="E14" i="39"/>
  <c r="E15" i="39" s="1"/>
  <c r="C14" i="39"/>
  <c r="C15"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E18" i="20" l="1"/>
  <c r="E12" i="20"/>
  <c r="E13" i="20" s="1"/>
  <c r="E19" i="20" l="1"/>
  <c r="C18" i="15" s="1"/>
  <c r="C24" i="2"/>
  <c r="E17" i="40"/>
  <c r="C34" i="2" s="1"/>
  <c r="E12" i="21" l="1"/>
  <c r="E13" i="21" s="1"/>
  <c r="C13" i="2" l="1"/>
  <c r="G17" i="36" l="1"/>
  <c r="G19" i="36" s="1"/>
  <c r="G23" i="36" l="1"/>
  <c r="G25" i="36" s="1"/>
  <c r="G29" i="36" l="1"/>
  <c r="G31" i="36" s="1"/>
  <c r="C10" i="37" l="1"/>
  <c r="C19" i="37" s="1"/>
  <c r="C20" i="37" s="1"/>
  <c r="C10" i="2" l="1"/>
  <c r="G53" i="30" s="1"/>
  <c r="G54" i="30" s="1"/>
  <c r="G58" i="30" s="1"/>
  <c r="G59" i="30" s="1"/>
  <c r="G63" i="30" s="1"/>
  <c r="G64" i="30" s="1"/>
  <c r="G68" i="30" s="1"/>
  <c r="G69" i="30" s="1"/>
  <c r="G35" i="36"/>
  <c r="G37" i="36" l="1"/>
  <c r="G41" i="36" l="1"/>
  <c r="G43" i="36" l="1"/>
  <c r="G53" i="36" s="1"/>
  <c r="E10" i="37"/>
  <c r="E19" i="37" s="1"/>
  <c r="E20" i="37" s="1"/>
  <c r="C11" i="2" l="1"/>
  <c r="C19" i="2" l="1"/>
  <c r="G59" i="36" l="1"/>
  <c r="C13" i="15" s="1"/>
  <c r="C16" i="2"/>
  <c r="C17" i="2" s="1"/>
  <c r="C18" i="2" l="1"/>
  <c r="C20" i="2" s="1"/>
  <c r="G64" i="36"/>
  <c r="C13" i="22" s="1"/>
  <c r="G69" i="36" l="1"/>
  <c r="C13" i="23" s="1"/>
  <c r="C12" i="15" l="1"/>
  <c r="C37" i="2"/>
  <c r="C12" i="23" l="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<sst xmlns="http://schemas.openxmlformats.org/spreadsheetml/2006/main" count="658" uniqueCount="291">
  <si>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</si>
  <si>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</si>
  <si>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</si>
  <si>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</si>
  <si>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</si>
  <si>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</si>
  <si>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</si>
  <si>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</si>
  <si>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</si>
  <si>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</si>
  <si>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</si>
  <si>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</si>
  <si>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</si>
  <si>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</si>
  <si>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</si>
  <si>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</si>
  <si>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</si>
  <si>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</si>
  <si>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</si>
  <si>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</si>
  <si>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</si>
  <si>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</si>
  <si>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</si>
  <si>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</si>
  <si>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</si>
  <si>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</si>
  <si>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</si>
  <si>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</si>
  <si>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</si>
  <si>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</si>
  <si>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</si>
  <si>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</si>
  <si>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</si>
  <si>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</si>
  <si>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</si>
  <si>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</si>
  <si>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</si>
  <si>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</si>
  <si>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</si>
  <si>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</si>
  <si>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</si>
  <si>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</si>
  <si>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</si>
  <si>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</si>
  <si>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</si>
  <si>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</si>
  <si>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</si>
  <si>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</si>
  <si>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</si>
  <si>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</si>
  <si>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</si>
  <si>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</si>
  <si>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</si>
  <si>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</si>
  <si>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</si>
  <si>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</si>
  <si>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</si>
  <si>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</si>
  <si>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</si>
  <si>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</si>
  <si>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</si>
  <si>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</si>
  <si>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</si>
  <si>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</si>
  <si>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</si>
  <si>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</si>
  <si>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</si>
  <si>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</si>
  <si>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</si>
  <si>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</si>
  <si>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</si>
  <si>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</si>
  <si>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</si>
  <si>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</si>
  <si>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</si>
  <si>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</si>
  <si>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</si>
  <si>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</si>
  <si>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</si>
  <si>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</si>
  <si>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</si>
  <si>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</si>
  <si>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</si>
  <si>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</si>
  <si>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</si>
  <si>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</si>
  <si>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</si>
  <si>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</si>
  <si>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</si>
  <si>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</si>
  <si>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</si>
  <si>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</si>
  <si>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</si>
  <si>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</si>
  <si>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</si>
  <si>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</si>
  <si>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</si>
  <si>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</si>
  <si>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</si>
  <si>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</si>
  <si>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</si>
  <si>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</si>
  <si>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</si>
  <si>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</si>
  <si>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</si>
  <si>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</si>
  <si>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</si>
  <si>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</si>
  <si>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</si>
  <si>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</si>
  <si>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</si>
  <si>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</si>
  <si>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</si>
  <si>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</si>
  <si>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</si>
  <si>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</si>
  <si>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</si>
  <si>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</si>
  <si>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</si>
  <si>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</si>
  <si>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</si>
  <si>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</si>
  <si>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</si>
  <si>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</si>
  <si>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</si>
  <si>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</si>
  <si>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</si>
  <si>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</si>
  <si>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</si>
  <si>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</si>
  <si>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</si>
  <si>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</si>
  <si>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</si>
  <si>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</si>
  <si>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</si>
  <si>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</si>
  <si>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</si>
  <si>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</si>
  <si>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</si>
  <si>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</si>
  <si>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</si>
  <si>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</si>
  <si>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</si>
  <si>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</si>
  <si>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</si>
  <si>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</si>
  <si>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</si>
  <si>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</si>
  <si>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</si>
  <si>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</si>
  <si>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</si>
  <si>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</si>
  <si>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</si>
  <si>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</si>
  <si>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</si>
  <si>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</si>
  <si>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</si>
  <si>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</si>
  <si>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</si>
  <si>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</si>
  <si>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</si>
  <si>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</si>
  <si>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</si>
  <si>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</si>
  <si>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</si>
  <si>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</si>
  <si>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</si>
  <si>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</si>
  <si>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</si>
  <si>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</si>
  <si>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</si>
  <si>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</si>
  <si>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</si>
  <si>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</si>
  <si>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</si>
  <si>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</si>
  <si>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</si>
  <si>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</si>
  <si>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</si>
  <si>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</si>
  <si>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</si>
  <si>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</si>
  <si>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</si>
  <si>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</si>
  <si>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</si>
  <si>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</si>
  <si>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</si>
  <si>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</si>
  <si>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</si>
  <si>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</si>
  <si>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</si>
  <si>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</si>
  <si>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</si>
  <si>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</si>
  <si>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</si>
  <si>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</si>
  <si>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</si>
  <si>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</si>
  <si>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</si>
  <si>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</si>
  <si>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</si>
  <si>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</si>
  <si>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</si>
  <si>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</si>
  <si>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</si>
  <si>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</si>
  <si>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</si>
  <si>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</si>
  <si>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</si>
  <si>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</si>
  <si>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</si>
  <si>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</si>
  <si>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</si>
  <si>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</si>
  <si>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</si>
  <si>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</si>
  <si>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</si>
  <si>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</si>
  <si>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</si>
  <si>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</si>
  <si>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</si>
  <si>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</si>
  <si>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</si>
  <si>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</si>
  <si>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</si>
  <si>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</si>
  <si>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</si>
  <si>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</si>
  <si>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</si>
  <si>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</si>
  <si>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</si>
  <si>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</si>
  <si>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</si>
  <si>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</si>
  <si>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</si>
  <si>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</si>
  <si>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</si>
  <si>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</si>
  <si>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</si>
  <si>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</si>
  <si>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</si>
  <si>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</si>
  <si>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</si>
  <si>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</si>
  <si>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</si>
  <si>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</si>
  <si>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</si>
  <si>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</si>
  <si>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</si>
  <si>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</si>
  <si>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</si>
  <si>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</si>
  <si>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</si>
  <si>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</si>
  <si>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</si>
  <si>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</si>
  <si>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</si>
  <si>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</si>
  <si>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</si>
  <si>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</si>
  <si>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</si>
  <si>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</si>
  <si>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</si>
  <si>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</si>
  <si>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</si>
  <si>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</si>
  <si>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</si>
  <si>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</si>
  <si>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</si>
  <si>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</si>
  <si>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</si>
  <si>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</si>
  <si>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</si>
  <si>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</si>
  <si>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</si>
  <si>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</si>
  <si>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</si>
  <si>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</si>
  <si>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</si>
  <si>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</si>
  <si>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</si>
  <si>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</si>
  <si>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</si>
  <si>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</si>
  <si>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</si>
  <si>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</si>
  <si>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Udledningstilladelser</t>
  </si>
  <si>
    <t>Udvidelse af SRO + vedligeholdelsesprogram</t>
  </si>
  <si>
    <t>Opsporing af PFAS, analyser mv.</t>
  </si>
  <si>
    <t>Strukturplan for ny rensestruktur</t>
  </si>
  <si>
    <t>Ekstra omk. til forbrænding af slam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</si>
</sst>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0" fontId="8" fillId="8" borderId="1" xfId="1" applyNumberFormat="1" applyFont="1" applyFill="1" applyBorder="1" applyProtection="1"/>
    <xf numFmtId="167"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EWv0eLL0fk0WRbXeFytJF4E3dX0cDxE1P4nSQn5CO1ObMaVOL2KqcN+uzvolpjiHeC+v2YClFSiwc5VUQ1mVKg==" saltValue="UcssxrS9yZvpauXEmLJCB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2" t="s">
        <v>272</v>
      </c>
      <c r="C10" s="9">
        <v>1690053</v>
      </c>
      <c r="D10" s="14" t="s">
        <v>3</v>
      </c>
      <c r="E10" s="1"/>
      <c r="F10" s="1"/>
    </row>
    <row r="11" spans="1:6" ht="15" customHeight="1" x14ac:dyDescent="0.25">
      <c r="A11" s="1"/>
      <c r="B11" s="82" t="s">
        <v>273</v>
      </c>
      <c r="C11" s="9">
        <v>114837</v>
      </c>
      <c r="D11" s="14" t="s">
        <v>3</v>
      </c>
      <c r="E11" s="1"/>
      <c r="F11" s="1"/>
    </row>
    <row r="12" spans="1:6" x14ac:dyDescent="0.25">
      <c r="A12" s="1"/>
      <c r="B12" s="82"/>
      <c r="C12" s="9"/>
      <c r="D12" s="14" t="s">
        <v>3</v>
      </c>
      <c r="E12" s="1"/>
      <c r="F12" s="1"/>
    </row>
    <row r="13" spans="1:6" x14ac:dyDescent="0.25">
      <c r="A13" s="1"/>
      <c r="B13" s="82"/>
      <c r="C13" s="9"/>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1804890</v>
      </c>
      <c r="D20" s="13" t="s">
        <v>3</v>
      </c>
      <c r="E20" s="1"/>
      <c r="F20" s="1"/>
    </row>
    <row r="21" spans="1:6" x14ac:dyDescent="0.25">
      <c r="A21" s="1"/>
      <c r="B21" s="33" t="s">
        <v>227</v>
      </c>
      <c r="C21" s="12">
        <f>C20*(1+'Fane 15. Nøgletal'!C16)^2</f>
        <v>2108343.7010495998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OhbJHbgub0ifmYfUPqFENRg56uMvN7uJ9ZGD7jqDsEFDDooXiLkjXVQIjlIanALk2kgyEpfizD3+Nh+r6ITLfg==" saltValue="zX7hMTO6m+wUW80mmHMyn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474-6CBB-42A0-98A1-ADD9E5E07027}">
  <dimension ref="A1:G50"/>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274</v>
      </c>
      <c r="C9" s="119"/>
      <c r="D9" s="120"/>
      <c r="E9" s="9">
        <v>9856041</v>
      </c>
      <c r="F9" s="14" t="s">
        <v>3</v>
      </c>
      <c r="G9" s="1"/>
    </row>
    <row r="10" spans="1:7" ht="15" customHeight="1" x14ac:dyDescent="0.25">
      <c r="A10" s="1"/>
      <c r="B10" s="118" t="s">
        <v>143</v>
      </c>
      <c r="C10" s="119"/>
      <c r="D10" s="120"/>
      <c r="E10" s="9">
        <v>5431991.3542318791</v>
      </c>
      <c r="F10" s="14" t="s">
        <v>3</v>
      </c>
      <c r="G10" s="1"/>
    </row>
    <row r="11" spans="1:7" ht="15" customHeight="1" x14ac:dyDescent="0.25">
      <c r="A11" s="1"/>
      <c r="B11" s="118" t="s">
        <v>275</v>
      </c>
      <c r="C11" s="119"/>
      <c r="D11" s="120"/>
      <c r="E11" s="9">
        <v>4528845.7043822706</v>
      </c>
      <c r="F11" s="14" t="s">
        <v>3</v>
      </c>
      <c r="G11" s="1"/>
    </row>
    <row r="12" spans="1:7" x14ac:dyDescent="0.25">
      <c r="A12" s="1"/>
      <c r="B12" s="33"/>
      <c r="C12" s="28"/>
      <c r="D12" s="28"/>
      <c r="E12" s="28"/>
      <c r="F12" s="19"/>
      <c r="G12" s="1"/>
    </row>
    <row r="13" spans="1:7" ht="42" customHeight="1" x14ac:dyDescent="0.25">
      <c r="A13" s="1"/>
      <c r="B13" s="127" t="s">
        <v>276</v>
      </c>
      <c r="C13" s="128"/>
      <c r="D13" s="128"/>
      <c r="E13" s="128"/>
      <c r="F13" s="129"/>
      <c r="G13" s="1"/>
    </row>
    <row r="14" spans="1:7" ht="15" customHeight="1" x14ac:dyDescent="0.25">
      <c r="A14" s="1"/>
      <c r="B14" s="1"/>
      <c r="C14" s="1"/>
      <c r="D14" s="1"/>
      <c r="E14" s="1"/>
      <c r="F14" s="1"/>
      <c r="G14" s="1"/>
    </row>
    <row r="15" spans="1:7" x14ac:dyDescent="0.25">
      <c r="A15" s="1"/>
      <c r="B15" s="76" t="s">
        <v>277</v>
      </c>
      <c r="C15" s="77"/>
      <c r="D15" s="77"/>
      <c r="E15" s="77"/>
      <c r="F15" s="78"/>
      <c r="G15" s="1"/>
    </row>
    <row r="16" spans="1:7" x14ac:dyDescent="0.25">
      <c r="A16" s="1"/>
      <c r="B16" s="79" t="s">
        <v>278</v>
      </c>
      <c r="C16" s="80"/>
      <c r="D16" s="81"/>
      <c r="E16" s="9">
        <f>IF(E11&lt;0,E11,0)</f>
        <v>0</v>
      </c>
      <c r="F16" s="14" t="s">
        <v>3</v>
      </c>
      <c r="G16" s="1"/>
    </row>
    <row r="17" spans="1:7" x14ac:dyDescent="0.25">
      <c r="A17" s="1"/>
      <c r="B17" s="79" t="s">
        <v>279</v>
      </c>
      <c r="C17" s="80"/>
      <c r="D17" s="81"/>
      <c r="E17" s="9">
        <f>IF(SUM(E10)&gt;0,SUM(E10),0)</f>
        <v>5431991.3542318791</v>
      </c>
      <c r="F17" s="14" t="s">
        <v>3</v>
      </c>
      <c r="G17" s="1"/>
    </row>
    <row r="18" spans="1:7" x14ac:dyDescent="0.25">
      <c r="A18" s="1"/>
      <c r="B18" s="83" t="s">
        <v>280</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281</v>
      </c>
      <c r="C21" s="77"/>
      <c r="D21" s="77"/>
      <c r="E21" s="77"/>
      <c r="F21" s="78"/>
      <c r="G21" s="1"/>
    </row>
    <row r="22" spans="1:7" x14ac:dyDescent="0.25">
      <c r="A22" s="1"/>
      <c r="B22" s="79" t="s">
        <v>282</v>
      </c>
      <c r="C22" s="80"/>
      <c r="D22" s="81"/>
      <c r="E22" s="9">
        <v>37770003.378465399</v>
      </c>
      <c r="F22" s="14" t="s">
        <v>3</v>
      </c>
      <c r="G22" s="1"/>
    </row>
    <row r="23" spans="1:7" x14ac:dyDescent="0.25">
      <c r="A23" s="1"/>
      <c r="B23" s="79" t="s">
        <v>283</v>
      </c>
      <c r="C23" s="80"/>
      <c r="D23" s="81"/>
      <c r="E23" s="9">
        <v>35087691</v>
      </c>
      <c r="F23" s="14" t="s">
        <v>3</v>
      </c>
      <c r="G23" s="1"/>
    </row>
    <row r="24" spans="1:7" x14ac:dyDescent="0.25">
      <c r="A24" s="1"/>
      <c r="B24" s="79" t="s">
        <v>30</v>
      </c>
      <c r="C24" s="80"/>
      <c r="D24" s="81"/>
      <c r="E24" s="9">
        <v>0</v>
      </c>
      <c r="F24" s="14" t="s">
        <v>3</v>
      </c>
      <c r="G24" s="1"/>
    </row>
    <row r="25" spans="1:7" x14ac:dyDescent="0.25">
      <c r="A25" s="1"/>
      <c r="B25" s="83" t="s">
        <v>284</v>
      </c>
      <c r="C25" s="84"/>
      <c r="D25" s="85"/>
      <c r="E25" s="62">
        <f>E22-E23-E24</f>
        <v>2682312.3784653991</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285</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48"/>
      <c r="B45" s="1"/>
      <c r="C45" s="1"/>
      <c r="D45" s="1"/>
      <c r="E45" s="1"/>
      <c r="F45" s="1"/>
      <c r="G45" s="48"/>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sheetData>
  <sheetProtection algorithmName="SHA-512" hashValue="fMSM9e5vOPkYdZx88Iw7kRszyuCu9SEocn2qqM6c13YWU2wwthf5bHAwPCso0+49zTvpq4k9mwj0s59jlmVxMw==" saltValue="VC2rgYdiWiv+a6auTPaoP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7Ha0/pRKWGfYwDfSdlqUOHjCLVSH6eTFuOV3Mclc/FF18vTss597NrWAGKKNW0ikc3lU8faqNM0mNPGUFu62JA==" saltValue="Bjn0wosNGUtC6l9tIlApjw=="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27" t="s">
        <v>231</v>
      </c>
      <c r="C15" s="128"/>
      <c r="D15" s="129"/>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qa/OdB1iMLdUdpCWLEZgA0YGbWxdwIR2TIyDhESOWX+VWl9q+ltAhEk4uaWKGQSAvgvNHaa9esoyVWccMT0kg==" saltValue="NY9+r2OHQz8vITAkSW3nJ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Qpq2VVT4p0mGMWf1xwvhcw4PhfhmfCMmrM2qXAVoV8rzVaxEIY7y/iRtHBQZ6rzyp0rY8wop1tMrmhm7lMeA9A==" saltValue="orEch9KVs+Z/mKvanWUrZ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290</v>
      </c>
      <c r="C11" s="21">
        <v>837787</v>
      </c>
      <c r="D11" s="14" t="s">
        <v>3</v>
      </c>
      <c r="E11" s="9"/>
      <c r="F11" s="14" t="s">
        <v>3</v>
      </c>
      <c r="G11" s="1"/>
    </row>
    <row r="12" spans="1:7" x14ac:dyDescent="0.25">
      <c r="A12" s="1"/>
      <c r="B12" s="24" t="s">
        <v>287</v>
      </c>
      <c r="C12" s="21">
        <v>92328</v>
      </c>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930115</v>
      </c>
      <c r="D19" s="13" t="s">
        <v>3</v>
      </c>
      <c r="E19" s="12">
        <f>SUM(E10:E18)</f>
        <v>0</v>
      </c>
      <c r="F19" s="13" t="s">
        <v>3</v>
      </c>
      <c r="G19" s="1"/>
    </row>
    <row r="20" spans="1:7" x14ac:dyDescent="0.25">
      <c r="A20" s="1"/>
      <c r="B20" s="33" t="s">
        <v>233</v>
      </c>
      <c r="C20" s="12">
        <f>C19*(1+'Fane 15. Nøgletal'!C16)</f>
        <v>1005268.292</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bIjVLldTnHtQVEmwHseMfVaZjfHe02D27Qfsd4WVm1Ev29jheZmTF0GAP9tcViT4hsxPJEek7yxshVWrGj/Q==" saltValue="jHsTGsOrlAysx7DGDRyn9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7" t="s">
        <v>17</v>
      </c>
      <c r="C9" s="87" t="s">
        <v>11</v>
      </c>
      <c r="D9" s="88"/>
      <c r="E9" s="87" t="s">
        <v>28</v>
      </c>
      <c r="F9" s="32"/>
      <c r="G9" s="1"/>
    </row>
    <row r="10" spans="1:7" x14ac:dyDescent="0.25">
      <c r="A10" s="1"/>
      <c r="B10" s="24" t="s">
        <v>286</v>
      </c>
      <c r="C10" s="21">
        <v>157105</v>
      </c>
      <c r="D10" s="14" t="s">
        <v>3</v>
      </c>
      <c r="E10" s="9"/>
      <c r="F10" s="14" t="s">
        <v>3</v>
      </c>
      <c r="G10" s="1"/>
    </row>
    <row r="11" spans="1:7" x14ac:dyDescent="0.25">
      <c r="A11" s="1"/>
      <c r="B11" s="24" t="s">
        <v>287</v>
      </c>
      <c r="C11" s="21">
        <v>39387</v>
      </c>
      <c r="D11" s="14" t="s">
        <v>3</v>
      </c>
      <c r="E11" s="9"/>
      <c r="F11" s="14" t="s">
        <v>3</v>
      </c>
      <c r="G11" s="1"/>
    </row>
    <row r="12" spans="1:7" x14ac:dyDescent="0.25">
      <c r="A12" s="1"/>
      <c r="B12" s="24" t="s">
        <v>288</v>
      </c>
      <c r="C12" s="21">
        <v>884114</v>
      </c>
      <c r="D12" s="14" t="s">
        <v>3</v>
      </c>
      <c r="E12" s="9"/>
      <c r="F12" s="14" t="s">
        <v>3</v>
      </c>
      <c r="G12" s="1"/>
    </row>
    <row r="13" spans="1:7" x14ac:dyDescent="0.25">
      <c r="A13" s="1"/>
      <c r="B13" s="24" t="s">
        <v>289</v>
      </c>
      <c r="C13" s="21">
        <v>264677</v>
      </c>
      <c r="D13" s="14" t="s">
        <v>3</v>
      </c>
      <c r="E13" s="9"/>
      <c r="F13" s="14" t="s">
        <v>3</v>
      </c>
      <c r="G13" s="1"/>
    </row>
    <row r="14" spans="1:7" x14ac:dyDescent="0.25">
      <c r="A14" s="1"/>
      <c r="B14" s="33" t="s">
        <v>234</v>
      </c>
      <c r="C14" s="12">
        <f>SUM(C10:C13)</f>
        <v>1345283</v>
      </c>
      <c r="D14" s="13" t="s">
        <v>3</v>
      </c>
      <c r="E14" s="12">
        <f>SUM(E10:E13)</f>
        <v>0</v>
      </c>
      <c r="F14" s="13" t="s">
        <v>3</v>
      </c>
      <c r="G14" s="1"/>
    </row>
    <row r="15" spans="1:7" x14ac:dyDescent="0.25">
      <c r="A15" s="1"/>
      <c r="B15" s="33" t="s">
        <v>235</v>
      </c>
      <c r="C15" s="12">
        <f>C14*(1+'Fane 15. Nøgletal'!C16)^2</f>
        <v>1571463.6012051199</v>
      </c>
      <c r="D15" s="13" t="s">
        <v>3</v>
      </c>
      <c r="E15" s="12">
        <f>E14*(1+'Fane 15. Nøgletal'!C16)^2</f>
        <v>0</v>
      </c>
      <c r="F15" s="13" t="s">
        <v>3</v>
      </c>
      <c r="G15" s="1"/>
    </row>
    <row r="16" spans="1:7" x14ac:dyDescent="0.25">
      <c r="A16" s="1"/>
      <c r="B16" s="1"/>
      <c r="C16" s="1"/>
      <c r="D16" s="1"/>
      <c r="E16" s="1"/>
      <c r="F16" s="1"/>
      <c r="G16" s="1"/>
    </row>
    <row r="17" spans="1:7" x14ac:dyDescent="0.25">
      <c r="A17" s="1"/>
      <c r="B17" s="150"/>
      <c r="C17" s="150"/>
      <c r="D17" s="150"/>
      <c r="E17" s="150"/>
      <c r="F17" s="150"/>
      <c r="G17" s="1"/>
    </row>
    <row r="18" spans="1:7" x14ac:dyDescent="0.25">
      <c r="A18" s="1"/>
      <c r="B18" s="52"/>
      <c r="C18" s="52"/>
      <c r="D18" s="52"/>
      <c r="E18" s="52"/>
      <c r="F18" s="53"/>
      <c r="G18" s="1"/>
    </row>
    <row r="19" spans="1:7" x14ac:dyDescent="0.25">
      <c r="A19" s="1"/>
      <c r="B19" s="54"/>
      <c r="C19" s="55"/>
      <c r="D19" s="56"/>
      <c r="E19" s="57"/>
      <c r="F19" s="56"/>
      <c r="G19" s="1"/>
    </row>
    <row r="20" spans="1:7" x14ac:dyDescent="0.25">
      <c r="A20" s="1"/>
      <c r="B20" s="54"/>
      <c r="C20" s="55"/>
      <c r="D20" s="56"/>
      <c r="E20" s="57"/>
      <c r="F20" s="56"/>
      <c r="G20" s="1"/>
    </row>
    <row r="21" spans="1:7" x14ac:dyDescent="0.25">
      <c r="A21" s="1"/>
      <c r="B21" s="58"/>
      <c r="C21" s="59"/>
      <c r="D21" s="60"/>
      <c r="E21" s="59"/>
      <c r="F21" s="60"/>
      <c r="G21" s="1"/>
    </row>
    <row r="22" spans="1:7" x14ac:dyDescent="0.25">
      <c r="A22" s="1"/>
      <c r="B22" s="58"/>
      <c r="C22" s="59"/>
      <c r="D22" s="60"/>
      <c r="E22" s="59"/>
      <c r="F22" s="60"/>
      <c r="G22" s="1"/>
    </row>
    <row r="23" spans="1:7" x14ac:dyDescent="0.25">
      <c r="A23" s="1"/>
      <c r="B23" s="51"/>
      <c r="C23" s="51"/>
      <c r="D23" s="51"/>
      <c r="E23" s="51"/>
      <c r="F23" s="51"/>
      <c r="G23" s="1"/>
    </row>
    <row r="24" spans="1:7" x14ac:dyDescent="0.25">
      <c r="A24" s="1"/>
      <c r="B24" s="150"/>
      <c r="C24" s="150"/>
      <c r="D24" s="150"/>
      <c r="E24" s="150"/>
      <c r="F24" s="150"/>
      <c r="G24" s="1"/>
    </row>
    <row r="25" spans="1:7" x14ac:dyDescent="0.25">
      <c r="A25" s="1"/>
      <c r="B25" s="52"/>
      <c r="C25" s="52"/>
      <c r="D25" s="52"/>
      <c r="E25" s="52"/>
      <c r="F25" s="53"/>
      <c r="G25" s="1"/>
    </row>
    <row r="26" spans="1:7" x14ac:dyDescent="0.25">
      <c r="A26" s="1"/>
      <c r="B26" s="54"/>
      <c r="C26" s="55"/>
      <c r="D26" s="56"/>
      <c r="E26" s="57"/>
      <c r="F26" s="56"/>
      <c r="G26" s="1"/>
    </row>
    <row r="27" spans="1:7" x14ac:dyDescent="0.25">
      <c r="A27" s="1"/>
      <c r="B27" s="54"/>
      <c r="C27" s="55"/>
      <c r="D27" s="56"/>
      <c r="E27" s="57"/>
      <c r="F27" s="56"/>
      <c r="G27" s="1"/>
    </row>
    <row r="28" spans="1:7" x14ac:dyDescent="0.25">
      <c r="A28" s="1"/>
      <c r="B28" s="58"/>
      <c r="C28" s="59"/>
      <c r="D28" s="60"/>
      <c r="E28" s="59"/>
      <c r="F28" s="60"/>
      <c r="G28" s="1"/>
    </row>
    <row r="29" spans="1:7" x14ac:dyDescent="0.25">
      <c r="A29" s="1"/>
      <c r="B29" s="58"/>
      <c r="C29" s="59"/>
      <c r="D29" s="60"/>
      <c r="E29" s="59"/>
      <c r="F29" s="60"/>
      <c r="G29" s="1"/>
    </row>
    <row r="30" spans="1:7" x14ac:dyDescent="0.25">
      <c r="A30" s="1"/>
      <c r="B30" s="51"/>
      <c r="C30" s="51"/>
      <c r="D30" s="51"/>
      <c r="E30" s="51"/>
      <c r="F30" s="51"/>
      <c r="G30" s="1"/>
    </row>
    <row r="31" spans="1:7" x14ac:dyDescent="0.25">
      <c r="A31" s="1"/>
      <c r="B31" s="150"/>
      <c r="C31" s="150"/>
      <c r="D31" s="150"/>
      <c r="E31" s="150"/>
      <c r="F31" s="150"/>
      <c r="G31" s="1"/>
    </row>
    <row r="32" spans="1:7" x14ac:dyDescent="0.25">
      <c r="A32" s="1"/>
      <c r="B32" s="52"/>
      <c r="C32" s="52"/>
      <c r="D32" s="52"/>
      <c r="E32" s="52"/>
      <c r="F32" s="53"/>
      <c r="G32" s="1"/>
    </row>
    <row r="33" spans="1:7" x14ac:dyDescent="0.25">
      <c r="A33" s="1"/>
      <c r="B33" s="54"/>
      <c r="C33" s="55"/>
      <c r="D33" s="56"/>
      <c r="E33" s="57"/>
      <c r="F33" s="56"/>
      <c r="G33" s="1"/>
    </row>
    <row r="34" spans="1:7" x14ac:dyDescent="0.25">
      <c r="A34" s="1"/>
      <c r="B34" s="54"/>
      <c r="C34" s="55"/>
      <c r="D34" s="56"/>
      <c r="E34" s="57"/>
      <c r="F34" s="56"/>
      <c r="G34" s="1"/>
    </row>
    <row r="35" spans="1:7" x14ac:dyDescent="0.25">
      <c r="A35" s="1"/>
      <c r="B35" s="58"/>
      <c r="C35" s="59"/>
      <c r="D35" s="60"/>
      <c r="E35" s="59"/>
      <c r="F35" s="60"/>
      <c r="G35" s="1"/>
    </row>
    <row r="36" spans="1:7" x14ac:dyDescent="0.25">
      <c r="A36" s="1"/>
      <c r="B36" s="58"/>
      <c r="C36" s="59"/>
      <c r="D36" s="60"/>
      <c r="E36" s="59"/>
      <c r="F36" s="6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HtHIWs36y3WDvC7v7cOK+4dSyd9gP/Dw/GB1srtl3nesUF3YJVNvoZ0Jw1IZk/h4EFQciXs4XDylwRutkWhRA==" saltValue="YGrEfJTudlmkU1iFhJt9yw==" spinCount="100000" sheet="1" objects="1" scenarios="1"/>
  <mergeCells count="5">
    <mergeCell ref="B31:F31"/>
    <mergeCell ref="B3:F4"/>
    <mergeCell ref="B8:F8"/>
    <mergeCell ref="B17:F17"/>
    <mergeCell ref="B24:F2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5" t="s">
        <v>111</v>
      </c>
      <c r="C13" s="116"/>
      <c r="D13" s="117"/>
      <c r="E13" s="12">
        <f>SUM(E10:E12)*(1+'Fane 15. Nøgletal'!C16)^2</f>
        <v>0</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5" t="s">
        <v>125</v>
      </c>
      <c r="C19" s="116"/>
      <c r="D19" s="117"/>
      <c r="E19" s="12">
        <f>SUM(E16:E18)*(1+'Fane 15. Nøgletal'!C16)^3</f>
        <v>0</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66UNH5KDbOg2mRSd6QvKkO+lVrGxxdG4VFDmMn0YbA8HEENDAkCzWuC0V3bJHuc3aJSmqBg/rVEz4DnPImWxvA==" saltValue="XeymJNOy71YN5vLoiq/cx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0"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iQKSEHu+RU5HjYrD3Dyn0mdsmioYlIpZO25ZycHxk2c+6ScqxIuWevSEnnVxEmdjElS3kGFkfvzCe0Tn1duGg==" saltValue="tU4OcgxlIjxv8MUpkws+9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showWhiteSpace="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0"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mHnhPR83HfgWpBxLZCk3mekk+b3ogrdOT8HsSrrnahz3BKEDT/qUGlTDlTvgXEfpQcowZrtH6bPgcOy0LgIQQ==" saltValue="BUI+6DM2bJ9oM9qR/7KYs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34275815.564176582</v>
      </c>
      <c r="D9" s="8" t="s">
        <v>3</v>
      </c>
      <c r="E9" s="1"/>
    </row>
    <row r="10" spans="1:5" ht="17.25" customHeight="1" x14ac:dyDescent="0.25">
      <c r="A10" s="1"/>
      <c r="B10" s="89" t="s">
        <v>36</v>
      </c>
      <c r="C10" s="7">
        <f>'Fane 11.1. Varige tillæg'!C20</f>
        <v>1005268.292</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2850711.5755790677</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-476569.88427910983</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37655225.547476545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2108343.7010495998</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41">
        <f>'Fane 11.2. Engangstillæg'!C15</f>
        <v>1571463.6012051199</v>
      </c>
      <c r="D26" s="8" t="s">
        <v>3</v>
      </c>
      <c r="E26" s="1"/>
    </row>
    <row r="27" spans="1:5" ht="15" customHeight="1" x14ac:dyDescent="0.25">
      <c r="A27" s="1"/>
      <c r="B27" s="89" t="s">
        <v>70</v>
      </c>
      <c r="C27" s="41">
        <f>'Fane 11.2. Engangstillæg'!E15</f>
        <v>0</v>
      </c>
      <c r="D27" s="8" t="s">
        <v>3</v>
      </c>
      <c r="E27" s="1"/>
    </row>
    <row r="28" spans="1:5" ht="15" customHeight="1" x14ac:dyDescent="0.25">
      <c r="A28" s="1"/>
      <c r="B28" s="89" t="s">
        <v>161</v>
      </c>
      <c r="C28" s="41">
        <f>-C26*('Fane 15. Nøgletal'!C33+'Fane 5. Individuelt eff. krav'!G9)</f>
        <v>-31429.272024102396</v>
      </c>
      <c r="D28" s="8" t="s">
        <v>3</v>
      </c>
      <c r="E28" s="1"/>
    </row>
    <row r="29" spans="1:5" ht="15" customHeight="1" x14ac:dyDescent="0.25">
      <c r="A29" s="1"/>
      <c r="B29" s="89" t="s">
        <v>162</v>
      </c>
      <c r="C29" s="41">
        <f>-C27*('Fane 15. Nøgletal'!C28+'Fane 5. Individuelt eff. krav'!G9)</f>
        <v>0</v>
      </c>
      <c r="D29" s="8" t="s">
        <v>3</v>
      </c>
      <c r="E29" s="1"/>
    </row>
    <row r="30" spans="1:5" ht="15" customHeight="1" x14ac:dyDescent="0.25">
      <c r="A30" s="1"/>
      <c r="B30" s="69" t="s">
        <v>75</v>
      </c>
      <c r="C30" s="10">
        <f>SUM(C26:C29)</f>
        <v>1540034.3291810174</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3" t="s">
        <v>108</v>
      </c>
      <c r="C37" s="49">
        <f>SUM(C34,C32,C24,C30,C22,C20,C36)</f>
        <v>41303603.577707164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CwNLZzKZlyomV0mfmhCaSzGij/YHSK4QAZoGUamOZUUgGnJukXMD1ZE1mmuR8+Jg7HZcn9+Nwru2xXAl2LWew==" saltValue="9O7VcOlcDYyNdh7CRkxqu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4" t="s">
        <v>190</v>
      </c>
      <c r="C16" s="67">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3">
        <v>0</v>
      </c>
      <c r="D27" s="1"/>
    </row>
    <row r="28" spans="1:4" x14ac:dyDescent="0.25">
      <c r="A28" s="1"/>
      <c r="B28" s="64" t="s">
        <v>191</v>
      </c>
      <c r="C28" s="66">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hvEgKzPi6B3W60p5F04/5J7ddSfiahPtuQXy+Q6ZwGjJSBXuvDUDIBIWORnk2YbUy4E+yceXI9Ma+OTjip185w==" saltValue="shRh7EbN8lThbMQykywWt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37655225.547476545</v>
      </c>
      <c r="D9" s="8" t="s">
        <v>3</v>
      </c>
      <c r="E9" s="1"/>
    </row>
    <row r="10" spans="1:5" ht="15" customHeight="1" x14ac:dyDescent="0.25">
      <c r="A10" s="1"/>
      <c r="B10" s="26" t="s">
        <v>19</v>
      </c>
      <c r="C10" s="7">
        <f>SUM(C9:C9)*'Fane 15. Nøgletal'!C16</f>
        <v>3042542.2242361046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-504775.19631028466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40192992.575402364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2278697.8720944072</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42471690.447496772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czCFFttO92kiIbn5exC+mAoQyJ2jn7MdyzoGww70oL4jhAozD/YWkGtL96/jxCowZjZXe0uLuhVR4fa3Xii2gg==" saltValue="hioM9zFUdyhHGQmRpuyI0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40192992.575402364</v>
      </c>
      <c r="D9" s="8" t="s">
        <v>3</v>
      </c>
      <c r="E9" s="1"/>
    </row>
    <row r="10" spans="1:5" ht="15" customHeight="1" x14ac:dyDescent="0.25">
      <c r="A10" s="1"/>
      <c r="B10" s="26" t="s">
        <v>19</v>
      </c>
      <c r="C10" s="7">
        <f>SUM(C9:C9)*'Fane 15. Nøgletal'!C16</f>
        <v>3247593.8000925109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-534649.81152871251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42905936.563966163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2462816.6601596354</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45368753.224125795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edjpQeCE/K3z0YkPrRf+dUrdZQAmD3dfdypOkPssDwyR0M0hqFEpGoHFdnOpJxKen63SQ2aWteBbx2rVKoAUA==" saltValue="+UyXNNgekEkmLfAUT0lYD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42905936.563966163</v>
      </c>
      <c r="D9" s="8" t="s">
        <v>3</v>
      </c>
      <c r="E9" s="1"/>
      <c r="F9" s="1"/>
    </row>
    <row r="10" spans="1:6" ht="15" customHeight="1" x14ac:dyDescent="0.25">
      <c r="A10" s="1"/>
      <c r="B10" s="26" t="s">
        <v>19</v>
      </c>
      <c r="C10" s="7">
        <f>SUM(C9:C9)*'Fane 15. Nøgletal'!C16</f>
        <v>3466799.6743684658</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-566292.52597422793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45806443.712360397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2661812.2463005339</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48468255.95866093</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lScGByn/01p8bMc3NXmyq/PGCGJEZHsuAKmedeGzFXzDj2xmcUn+TYld3qjeVdbOAYkwKg3JwRqkJ5M/aGmO5w==" saltValue="PkvZOMfVBW8By6nyH2cVk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35154988.307854287</v>
      </c>
      <c r="D9" s="8" t="s">
        <v>3</v>
      </c>
      <c r="E9" s="1"/>
    </row>
    <row r="10" spans="1:5" x14ac:dyDescent="0.25">
      <c r="A10" s="1"/>
      <c r="B10" s="89" t="s">
        <v>36</v>
      </c>
      <c r="C10" s="7">
        <v>0</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116011.46141591914</v>
      </c>
      <c r="D16" s="8" t="s">
        <v>3</v>
      </c>
      <c r="E16" s="1"/>
    </row>
    <row r="17" spans="1:5" x14ac:dyDescent="0.25">
      <c r="A17" s="1"/>
      <c r="B17" s="89" t="s">
        <v>10</v>
      </c>
      <c r="C17" s="41">
        <v>-329652.66014101217</v>
      </c>
      <c r="D17" s="8" t="s">
        <v>3</v>
      </c>
      <c r="E17" s="1"/>
    </row>
    <row r="18" spans="1:5" x14ac:dyDescent="0.25">
      <c r="A18" s="1"/>
      <c r="B18" s="89" t="s">
        <v>23</v>
      </c>
      <c r="C18" s="41">
        <v>-429424.92039082712</v>
      </c>
      <c r="D18" s="8" t="s">
        <v>3</v>
      </c>
      <c r="E18" s="1"/>
    </row>
    <row r="19" spans="1:5" x14ac:dyDescent="0.25">
      <c r="A19" s="1"/>
      <c r="B19" s="89" t="s">
        <v>24</v>
      </c>
      <c r="C19" s="41">
        <v>-236106.62456177812</v>
      </c>
      <c r="D19" s="8" t="s">
        <v>3</v>
      </c>
      <c r="E19" s="47"/>
    </row>
    <row r="20" spans="1:5" x14ac:dyDescent="0.25">
      <c r="A20" s="1"/>
      <c r="B20" s="83" t="s">
        <v>21</v>
      </c>
      <c r="C20" s="10">
        <v>34275815.564176582</v>
      </c>
      <c r="D20" s="11" t="s">
        <v>3</v>
      </c>
      <c r="E20" s="1"/>
    </row>
    <row r="21" spans="1:5" x14ac:dyDescent="0.25">
      <c r="A21" s="1"/>
      <c r="B21" s="33" t="s">
        <v>12</v>
      </c>
      <c r="C21" s="28"/>
      <c r="D21" s="19"/>
      <c r="E21" s="1"/>
    </row>
    <row r="22" spans="1:5" x14ac:dyDescent="0.25">
      <c r="A22" s="1"/>
      <c r="B22" s="31" t="s">
        <v>12</v>
      </c>
      <c r="C22" s="10">
        <v>2102502.5489016003</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8">
        <v>0</v>
      </c>
      <c r="D26" s="8" t="s">
        <v>3</v>
      </c>
      <c r="E26" s="1"/>
    </row>
    <row r="27" spans="1:5" x14ac:dyDescent="0.25">
      <c r="A27" s="1"/>
      <c r="B27" s="89" t="s">
        <v>70</v>
      </c>
      <c r="C27" s="68">
        <v>0</v>
      </c>
      <c r="D27" s="8" t="s">
        <v>3</v>
      </c>
      <c r="E27" s="1"/>
    </row>
    <row r="28" spans="1:5" x14ac:dyDescent="0.25">
      <c r="A28" s="1"/>
      <c r="B28" s="89" t="s">
        <v>161</v>
      </c>
      <c r="C28" s="68">
        <v>0</v>
      </c>
      <c r="D28" s="8" t="s">
        <v>3</v>
      </c>
      <c r="E28" s="1"/>
    </row>
    <row r="29" spans="1:5" x14ac:dyDescent="0.25">
      <c r="A29" s="1"/>
      <c r="B29" s="89" t="s">
        <v>162</v>
      </c>
      <c r="C29" s="68">
        <v>0</v>
      </c>
      <c r="D29" s="8" t="s">
        <v>3</v>
      </c>
      <c r="E29" s="1"/>
    </row>
    <row r="30" spans="1:5" x14ac:dyDescent="0.25">
      <c r="A30" s="1"/>
      <c r="B30" s="69"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9">
        <v>36378318.113078184</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fQm/ab84PiqG6T3O36/6ZgFP89JMeQV6IsognkfSkdSwvlnzCa2CVnHWY2QVeM/Gbrgm27JtOpp8CsD8iGOsHw==" saltValue="4/KG4FNcSH5sT3bgH6fEc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5" t="s">
        <v>46</v>
      </c>
      <c r="C4" s="116"/>
      <c r="D4" s="116"/>
      <c r="E4" s="116"/>
      <c r="F4" s="116"/>
      <c r="G4" s="116"/>
      <c r="H4" s="117"/>
      <c r="I4" s="1"/>
    </row>
    <row r="5" spans="1:9" x14ac:dyDescent="0.25">
      <c r="A5" s="1"/>
      <c r="B5" s="118" t="s">
        <v>38</v>
      </c>
      <c r="C5" s="119"/>
      <c r="D5" s="119"/>
      <c r="E5" s="119"/>
      <c r="F5" s="120"/>
      <c r="G5" s="73">
        <v>0</v>
      </c>
      <c r="H5" s="14" t="s">
        <v>3</v>
      </c>
      <c r="I5" s="1"/>
    </row>
    <row r="6" spans="1:9" x14ac:dyDescent="0.25">
      <c r="A6" s="1"/>
      <c r="B6" s="127" t="s">
        <v>102</v>
      </c>
      <c r="C6" s="128"/>
      <c r="D6" s="128"/>
      <c r="E6" s="128"/>
      <c r="F6" s="129"/>
      <c r="G6" s="9">
        <v>0</v>
      </c>
      <c r="H6" s="14" t="s">
        <v>3</v>
      </c>
      <c r="I6" s="1"/>
    </row>
    <row r="7" spans="1:9" x14ac:dyDescent="0.25">
      <c r="A7" s="1"/>
      <c r="B7" s="118" t="s">
        <v>39</v>
      </c>
      <c r="C7" s="119"/>
      <c r="D7" s="119"/>
      <c r="E7" s="119"/>
      <c r="F7" s="120"/>
      <c r="G7" s="9">
        <v>0</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v>22304166</v>
      </c>
      <c r="H11" s="14" t="s">
        <v>3</v>
      </c>
      <c r="I11" s="1"/>
    </row>
    <row r="12" spans="1:9" ht="15" customHeight="1" x14ac:dyDescent="0.25">
      <c r="A12" s="1"/>
      <c r="B12" s="118" t="s">
        <v>103</v>
      </c>
      <c r="C12" s="119"/>
      <c r="D12" s="119"/>
      <c r="E12" s="119"/>
      <c r="F12" s="120"/>
      <c r="G12" s="65">
        <v>0</v>
      </c>
      <c r="H12" s="14" t="s">
        <v>3</v>
      </c>
      <c r="I12" s="1"/>
    </row>
    <row r="13" spans="1:9" x14ac:dyDescent="0.25">
      <c r="A13" s="1"/>
      <c r="B13" s="127" t="s">
        <v>100</v>
      </c>
      <c r="C13" s="128"/>
      <c r="D13" s="128"/>
      <c r="E13" s="128"/>
      <c r="F13" s="129"/>
      <c r="G13" s="65">
        <v>0</v>
      </c>
      <c r="H13" s="14" t="s">
        <v>3</v>
      </c>
      <c r="I13" s="1"/>
    </row>
    <row r="14" spans="1:9" x14ac:dyDescent="0.25">
      <c r="A14" s="1"/>
      <c r="B14" s="124" t="s">
        <v>244</v>
      </c>
      <c r="C14" s="125"/>
      <c r="D14" s="125"/>
      <c r="E14" s="125"/>
      <c r="F14" s="126"/>
      <c r="G14" s="65">
        <v>0</v>
      </c>
      <c r="H14" s="14" t="s">
        <v>3</v>
      </c>
      <c r="I14" s="1"/>
    </row>
    <row r="15" spans="1:9" x14ac:dyDescent="0.25">
      <c r="A15" s="1"/>
      <c r="B15" s="118" t="s">
        <v>41</v>
      </c>
      <c r="C15" s="119"/>
      <c r="D15" s="119"/>
      <c r="E15" s="119"/>
      <c r="F15" s="120"/>
      <c r="G15" s="23">
        <f>SUM(G11:G14)*'Fane 15. Nøgletal'!C33</f>
        <v>446083.32</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22240599.126900002</v>
      </c>
      <c r="H19" s="14" t="s">
        <v>3</v>
      </c>
      <c r="I19" s="1"/>
    </row>
    <row r="20" spans="1:9" x14ac:dyDescent="0.25">
      <c r="A20" s="1"/>
      <c r="B20" s="124" t="s">
        <v>245</v>
      </c>
      <c r="C20" s="125"/>
      <c r="D20" s="125"/>
      <c r="E20" s="125"/>
      <c r="F20" s="126"/>
      <c r="G20" s="9">
        <v>0</v>
      </c>
      <c r="H20" s="14" t="s">
        <v>3</v>
      </c>
      <c r="I20" s="1"/>
    </row>
    <row r="21" spans="1:9" x14ac:dyDescent="0.25">
      <c r="A21" s="1"/>
      <c r="B21" s="118" t="s">
        <v>43</v>
      </c>
      <c r="C21" s="119"/>
      <c r="D21" s="119"/>
      <c r="E21" s="119"/>
      <c r="F21" s="120"/>
      <c r="G21" s="23">
        <f>SUM(G19:G20)*'Fane 15. Nøgletal'!C33</f>
        <v>444811.98253800004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22225164.151105937</v>
      </c>
      <c r="H25" s="14" t="s">
        <v>3</v>
      </c>
      <c r="I25" s="1"/>
    </row>
    <row r="26" spans="1:9" x14ac:dyDescent="0.25">
      <c r="A26" s="1"/>
      <c r="B26" s="124" t="s">
        <v>246</v>
      </c>
      <c r="C26" s="125"/>
      <c r="D26" s="125"/>
      <c r="E26" s="125"/>
      <c r="F26" s="126"/>
      <c r="G26" s="9">
        <v>0</v>
      </c>
      <c r="H26" s="14" t="s">
        <v>3</v>
      </c>
      <c r="I26" s="1"/>
    </row>
    <row r="27" spans="1:9" x14ac:dyDescent="0.25">
      <c r="A27" s="1"/>
      <c r="B27" s="118" t="s">
        <v>45</v>
      </c>
      <c r="C27" s="119"/>
      <c r="D27" s="119"/>
      <c r="E27" s="119"/>
      <c r="F27" s="120"/>
      <c r="G27" s="23">
        <f>(G25+G26)*'Fane 15. Nøgletal'!C33</f>
        <v>444503.28302211873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22209739.887185071</v>
      </c>
      <c r="H31" s="14" t="s">
        <v>3</v>
      </c>
      <c r="I31" s="1"/>
    </row>
    <row r="32" spans="1:9" x14ac:dyDescent="0.25">
      <c r="A32" s="1"/>
      <c r="B32" s="118" t="s">
        <v>243</v>
      </c>
      <c r="C32" s="119"/>
      <c r="D32" s="119"/>
      <c r="E32" s="119"/>
      <c r="F32" s="120"/>
      <c r="G32" s="23">
        <v>0</v>
      </c>
      <c r="H32" s="14" t="s">
        <v>3</v>
      </c>
      <c r="I32" s="1"/>
    </row>
    <row r="33" spans="1:9" x14ac:dyDescent="0.25">
      <c r="A33" s="1"/>
      <c r="B33" s="118" t="s">
        <v>54</v>
      </c>
      <c r="C33" s="119"/>
      <c r="D33" s="119"/>
      <c r="E33" s="119"/>
      <c r="F33" s="120"/>
      <c r="G33" s="23">
        <f>(G31+G32)*'Fane 15. Nøgletal'!C33</f>
        <v>444194.79774370143</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21837371.38823653</v>
      </c>
      <c r="H37" s="14" t="s">
        <v>3</v>
      </c>
      <c r="I37" s="1"/>
    </row>
    <row r="38" spans="1:9" x14ac:dyDescent="0.25">
      <c r="A38" s="1"/>
      <c r="B38" s="118" t="s">
        <v>242</v>
      </c>
      <c r="C38" s="119"/>
      <c r="D38" s="119"/>
      <c r="E38" s="119"/>
      <c r="F38" s="120"/>
      <c r="G38" s="9">
        <v>0</v>
      </c>
      <c r="H38" s="14" t="s">
        <v>3</v>
      </c>
      <c r="I38" s="1"/>
    </row>
    <row r="39" spans="1:9" x14ac:dyDescent="0.25">
      <c r="A39" s="1"/>
      <c r="B39" s="118" t="s">
        <v>128</v>
      </c>
      <c r="C39" s="119"/>
      <c r="D39" s="119"/>
      <c r="E39" s="119"/>
      <c r="F39" s="120"/>
      <c r="G39" s="23">
        <f>(G37+G38)*'Fane 15. Nøgletal'!C33</f>
        <v>436747.42776473059</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21471246.019541357</v>
      </c>
      <c r="H43" s="14" t="s">
        <v>3</v>
      </c>
      <c r="I43" s="1"/>
    </row>
    <row r="44" spans="1:9" x14ac:dyDescent="0.25">
      <c r="A44" s="1"/>
      <c r="B44" s="121" t="s">
        <v>157</v>
      </c>
      <c r="C44" s="122"/>
      <c r="D44" s="122"/>
      <c r="E44" s="122"/>
      <c r="F44" s="123"/>
      <c r="G44" s="9">
        <v>0</v>
      </c>
      <c r="H44" s="14" t="s">
        <v>3</v>
      </c>
      <c r="I44" s="1"/>
    </row>
    <row r="45" spans="1:9" x14ac:dyDescent="0.25">
      <c r="A45" s="1"/>
      <c r="B45" s="118" t="s">
        <v>129</v>
      </c>
      <c r="C45" s="119"/>
      <c r="D45" s="119"/>
      <c r="E45" s="119"/>
      <c r="F45" s="120"/>
      <c r="G45" s="23">
        <f>SUM(G43:G44)*'Fane 15. Nøgletal'!C33</f>
        <v>429424.92039082712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22742000.243961893</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1086493.9699935999</v>
      </c>
      <c r="H53" s="14" t="s">
        <v>3</v>
      </c>
      <c r="I53" s="1"/>
    </row>
    <row r="54" spans="1:9" x14ac:dyDescent="0.25">
      <c r="A54" s="1"/>
      <c r="B54" s="118" t="s">
        <v>210</v>
      </c>
      <c r="C54" s="119"/>
      <c r="D54" s="119"/>
      <c r="E54" s="119"/>
      <c r="F54" s="120"/>
      <c r="G54" s="23">
        <f>(G52)*'Fane 15. Nøgletal'!C33+(G53)*'Fane 15. Nøgletal'!C33</f>
        <v>476569.88427910983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9" t="s">
        <v>212</v>
      </c>
      <c r="C58" s="80"/>
      <c r="D58" s="80"/>
      <c r="E58" s="80"/>
      <c r="F58" s="81"/>
      <c r="G58" s="23">
        <f>(G52+G53-G54)*(1+'Fane 15. Nøgletal'!C16)</f>
        <v>25238759.815514233</v>
      </c>
      <c r="H58" s="14" t="s">
        <v>3</v>
      </c>
      <c r="I58" s="1"/>
    </row>
    <row r="59" spans="1:9" x14ac:dyDescent="0.25">
      <c r="A59" s="1"/>
      <c r="B59" s="79" t="s">
        <v>211</v>
      </c>
      <c r="C59" s="80"/>
      <c r="D59" s="80"/>
      <c r="E59" s="80"/>
      <c r="F59" s="81"/>
      <c r="G59" s="23">
        <f>(G58)*'Fane 15. Nøgletal'!C33</f>
        <v>504775.19631028466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9" t="s">
        <v>213</v>
      </c>
      <c r="C63" s="80"/>
      <c r="D63" s="80"/>
      <c r="E63" s="80"/>
      <c r="F63" s="81"/>
      <c r="G63" s="23">
        <f>(G58-G59)*(1+'Fane 15. Nøgletal'!C16)</f>
        <v>26732490.576435626</v>
      </c>
      <c r="H63" s="14" t="s">
        <v>3</v>
      </c>
      <c r="I63" s="1"/>
    </row>
    <row r="64" spans="1:9" x14ac:dyDescent="0.25">
      <c r="A64" s="1"/>
      <c r="B64" s="79" t="s">
        <v>214</v>
      </c>
      <c r="C64" s="80"/>
      <c r="D64" s="80"/>
      <c r="E64" s="80"/>
      <c r="F64" s="81"/>
      <c r="G64" s="23">
        <f>(G63)*'Fane 15. Nøgletal'!C33</f>
        <v>534649.81152871251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9" t="s">
        <v>213</v>
      </c>
      <c r="C68" s="80"/>
      <c r="D68" s="80"/>
      <c r="E68" s="80"/>
      <c r="F68" s="81"/>
      <c r="G68" s="23">
        <f>(G63-G64)*(1+'Fane 15. Nøgletal'!C16)</f>
        <v>28314626.298711393</v>
      </c>
      <c r="H68" s="14" t="s">
        <v>3</v>
      </c>
      <c r="I68" s="1"/>
    </row>
    <row r="69" spans="1:9" x14ac:dyDescent="0.25">
      <c r="A69" s="1"/>
      <c r="B69" s="79" t="s">
        <v>214</v>
      </c>
      <c r="C69" s="80"/>
      <c r="D69" s="80"/>
      <c r="E69" s="80"/>
      <c r="F69" s="81"/>
      <c r="G69" s="23">
        <f>(G68)*'Fane 15. Nøgletal'!C33</f>
        <v>566292.52597422793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rM4b3fcvQZRxYQ9x42WykHqDla//pE5IuuqQSewtMReEXdhP2V/ZDBVgJD7dDcnOurSkgVLOSC7k2CROnpcchA==" saltValue="nOoNvBACMC7M4/17TqgQrA=="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73">
        <v>0</v>
      </c>
      <c r="H5" s="14" t="s">
        <v>3</v>
      </c>
      <c r="I5" s="1"/>
    </row>
    <row r="6" spans="1:9" x14ac:dyDescent="0.25">
      <c r="A6" s="1"/>
      <c r="B6" s="118" t="s">
        <v>51</v>
      </c>
      <c r="C6" s="119"/>
      <c r="D6" s="119"/>
      <c r="E6" s="119"/>
      <c r="F6" s="120"/>
      <c r="G6" s="71">
        <f>G5*'Fane 15. Nøgletal'!C21</f>
        <v>0</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73">
        <v>16692365</v>
      </c>
      <c r="H10" s="14" t="s">
        <v>3</v>
      </c>
      <c r="I10" s="1"/>
    </row>
    <row r="11" spans="1:9" x14ac:dyDescent="0.25">
      <c r="A11" s="1"/>
      <c r="B11" s="118" t="s">
        <v>104</v>
      </c>
      <c r="C11" s="119"/>
      <c r="D11" s="119"/>
      <c r="E11" s="119"/>
      <c r="F11" s="120"/>
      <c r="G11" s="73">
        <v>0</v>
      </c>
      <c r="H11" s="14" t="s">
        <v>3</v>
      </c>
      <c r="I11" s="1"/>
    </row>
    <row r="12" spans="1:9" x14ac:dyDescent="0.25">
      <c r="A12" s="1"/>
      <c r="B12" s="124" t="s">
        <v>247</v>
      </c>
      <c r="C12" s="125"/>
      <c r="D12" s="125"/>
      <c r="E12" s="125"/>
      <c r="F12" s="126"/>
      <c r="G12" s="73">
        <v>0</v>
      </c>
      <c r="H12" s="14" t="s">
        <v>3</v>
      </c>
      <c r="I12" s="1"/>
    </row>
    <row r="13" spans="1:9" x14ac:dyDescent="0.25">
      <c r="A13" s="1"/>
      <c r="B13" s="118" t="s">
        <v>58</v>
      </c>
      <c r="C13" s="119"/>
      <c r="D13" s="119"/>
      <c r="E13" s="119"/>
      <c r="F13" s="120"/>
      <c r="G13" s="23">
        <f>SUM(G10:G12)*'Fane 15. Nøgletal'!C22</f>
        <v>295454.86050000001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16683856.06694125</v>
      </c>
      <c r="H17" s="14" t="s">
        <v>3</v>
      </c>
      <c r="I17" s="1"/>
    </row>
    <row r="18" spans="1:9" x14ac:dyDescent="0.25">
      <c r="A18" s="1"/>
      <c r="B18" s="124" t="s">
        <v>248</v>
      </c>
      <c r="C18" s="125"/>
      <c r="D18" s="125"/>
      <c r="E18" s="125"/>
      <c r="F18" s="126"/>
      <c r="G18" s="73">
        <v>0</v>
      </c>
      <c r="H18" s="14" t="s">
        <v>3</v>
      </c>
      <c r="I18" s="1"/>
    </row>
    <row r="19" spans="1:9" x14ac:dyDescent="0.25">
      <c r="A19" s="1"/>
      <c r="B19" s="118" t="s">
        <v>61</v>
      </c>
      <c r="C19" s="119"/>
      <c r="D19" s="119"/>
      <c r="E19" s="119"/>
      <c r="F19" s="120"/>
      <c r="G19" s="23">
        <f>G17*'Fane 15. Nøgletal'!C22+G18*'Fane 15. Nøgletal'!C23</f>
        <v>295304.25238486013</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16711406.285303151</v>
      </c>
      <c r="H23" s="14" t="s">
        <v>3</v>
      </c>
      <c r="I23" s="1"/>
    </row>
    <row r="24" spans="1:9" x14ac:dyDescent="0.25">
      <c r="A24" s="1"/>
      <c r="B24" s="124" t="s">
        <v>249</v>
      </c>
      <c r="C24" s="125"/>
      <c r="D24" s="125"/>
      <c r="E24" s="125"/>
      <c r="F24" s="126"/>
      <c r="G24" s="73">
        <v>0</v>
      </c>
      <c r="H24" s="14" t="s">
        <v>3</v>
      </c>
      <c r="I24" s="1"/>
    </row>
    <row r="25" spans="1:9" x14ac:dyDescent="0.25">
      <c r="A25" s="1"/>
      <c r="B25" s="118" t="s">
        <v>64</v>
      </c>
      <c r="C25" s="119"/>
      <c r="D25" s="119"/>
      <c r="E25" s="119"/>
      <c r="F25" s="120"/>
      <c r="G25" s="23">
        <f>(G23+G24)*'Fane 15. Nøgletal'!C24</f>
        <v>474603.9385026095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16556667.353032513</v>
      </c>
      <c r="H29" s="14" t="s">
        <v>3</v>
      </c>
      <c r="I29" s="1"/>
    </row>
    <row r="30" spans="1:9" x14ac:dyDescent="0.25">
      <c r="A30" s="1"/>
      <c r="B30" s="118" t="s">
        <v>250</v>
      </c>
      <c r="C30" s="119"/>
      <c r="D30" s="119"/>
      <c r="E30" s="119"/>
      <c r="F30" s="120"/>
      <c r="G30" s="73">
        <v>0</v>
      </c>
      <c r="H30" s="14" t="s">
        <v>3</v>
      </c>
      <c r="I30" s="1"/>
    </row>
    <row r="31" spans="1:9" x14ac:dyDescent="0.25">
      <c r="A31" s="1"/>
      <c r="B31" s="118" t="s">
        <v>67</v>
      </c>
      <c r="C31" s="119"/>
      <c r="D31" s="119"/>
      <c r="E31" s="119"/>
      <c r="F31" s="120"/>
      <c r="G31" s="23">
        <f>G29*'Fane 15. Nøgletal'!C24+G30*'Fane 15. Nøgletal'!C25</f>
        <v>470209.35282612336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16139543.31160707</v>
      </c>
      <c r="H35" s="14" t="s">
        <v>3</v>
      </c>
      <c r="I35" s="1"/>
    </row>
    <row r="36" spans="1:9" x14ac:dyDescent="0.25">
      <c r="A36" s="1"/>
      <c r="B36" s="118" t="s">
        <v>251</v>
      </c>
      <c r="C36" s="119"/>
      <c r="D36" s="119"/>
      <c r="E36" s="119"/>
      <c r="F36" s="120"/>
      <c r="G36" s="73">
        <v>0</v>
      </c>
      <c r="H36" s="14" t="s">
        <v>3</v>
      </c>
      <c r="I36" s="1"/>
    </row>
    <row r="37" spans="1:9" x14ac:dyDescent="0.25">
      <c r="A37" s="1"/>
      <c r="B37" s="118" t="s">
        <v>131</v>
      </c>
      <c r="C37" s="119"/>
      <c r="D37" s="119"/>
      <c r="E37" s="119"/>
      <c r="F37" s="120"/>
      <c r="G37" s="23">
        <f>(G35+G36)*'Fane 15. Nøgletal'!C26</f>
        <v>238865.24101178464</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15953150.308228251</v>
      </c>
      <c r="H41" s="14" t="s">
        <v>3</v>
      </c>
      <c r="I41" s="1"/>
    </row>
    <row r="42" spans="1:9" x14ac:dyDescent="0.25">
      <c r="A42" s="1"/>
      <c r="B42" s="40" t="s">
        <v>156</v>
      </c>
      <c r="C42" s="80"/>
      <c r="D42" s="80"/>
      <c r="E42" s="80"/>
      <c r="F42" s="81"/>
      <c r="G42" s="72">
        <v>0</v>
      </c>
      <c r="H42" s="14" t="s">
        <v>3</v>
      </c>
      <c r="I42" s="1"/>
    </row>
    <row r="43" spans="1:9" x14ac:dyDescent="0.25">
      <c r="A43" s="1"/>
      <c r="B43" s="118" t="s">
        <v>132</v>
      </c>
      <c r="C43" s="119"/>
      <c r="D43" s="119"/>
      <c r="E43" s="119"/>
      <c r="F43" s="120"/>
      <c r="G43" s="23">
        <f>(G41)*'Fane 15. Nøgletal'!C26+G42*'Fane 15. Nøgletal'!C27</f>
        <v>236106.62456177812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16986980.813306723</v>
      </c>
      <c r="H53" s="14" t="s">
        <v>3</v>
      </c>
      <c r="I53" s="1"/>
    </row>
    <row r="54" spans="1:9" x14ac:dyDescent="0.25">
      <c r="A54" s="1"/>
      <c r="B54" s="79" t="s">
        <v>195</v>
      </c>
      <c r="C54" s="80"/>
      <c r="D54" s="80"/>
      <c r="E54" s="80"/>
      <c r="F54" s="81"/>
      <c r="G54" s="9">
        <v>0</v>
      </c>
      <c r="H54" s="14" t="s">
        <v>3</v>
      </c>
      <c r="I54" s="1"/>
    </row>
    <row r="55" spans="1:9" x14ac:dyDescent="0.25">
      <c r="A55" s="1"/>
      <c r="B55" s="118" t="s">
        <v>218</v>
      </c>
      <c r="C55" s="119"/>
      <c r="D55" s="119"/>
      <c r="E55" s="119"/>
      <c r="F55" s="120"/>
      <c r="G55" s="9">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18359528.863021906</v>
      </c>
      <c r="H59" s="14" t="s">
        <v>3</v>
      </c>
      <c r="I59" s="1"/>
    </row>
    <row r="60" spans="1:9" x14ac:dyDescent="0.25">
      <c r="A60" s="1"/>
      <c r="B60" s="118" t="s">
        <v>220</v>
      </c>
      <c r="C60" s="119"/>
      <c r="D60" s="119"/>
      <c r="E60" s="119"/>
      <c r="F60" s="120"/>
      <c r="G60" s="9">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19842978.795154076</v>
      </c>
      <c r="H64" s="14" t="s">
        <v>3</v>
      </c>
      <c r="I64" s="1"/>
    </row>
    <row r="65" spans="1:9" x14ac:dyDescent="0.25">
      <c r="A65" s="1"/>
      <c r="B65" s="118" t="s">
        <v>222</v>
      </c>
      <c r="C65" s="119"/>
      <c r="D65" s="119"/>
      <c r="E65" s="119"/>
      <c r="F65" s="120"/>
      <c r="G65" s="9">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21446291.481802527</v>
      </c>
      <c r="H69" s="14" t="s">
        <v>3</v>
      </c>
      <c r="I69" s="1"/>
    </row>
    <row r="70" spans="1:9" x14ac:dyDescent="0.25">
      <c r="A70" s="1"/>
      <c r="B70" s="118" t="s">
        <v>222</v>
      </c>
      <c r="C70" s="119"/>
      <c r="D70" s="119"/>
      <c r="E70" s="119"/>
      <c r="F70" s="120"/>
      <c r="G70" s="9">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wov+73jRLSwv2O9WumvkiL0xNb44qhullvA5t9KL7Hb4qGNNjGC1ufcNSfsEs3J8SFwjDmZ7KdW4yc7PyocfPA==" saltValue="vV9IuIoeHYgGITdZmaDG/w=="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EaKwXi3SM6abvC94CNdJ1WkSa10/obDUOAvC1wgts8HohUpcZEACKrMuaGH0h4nbIbvxY0hwHyspj0iJ1PYksQ==" saltValue="DYWlr+iGV2yeYRo72UMSc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2023-11-14T17:08:02Z</dcterms:modified>
</cp:coreProperties>
</file>