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Frederiksberg Spildevand AS (S024)\ØR2025\"/>
    </mc:Choice>
  </mc:AlternateContent>
  <xr:revisionPtr revIDLastSave="0" documentId="13_ncr:1_{8F330129-9A61-4571-B965-3E9E660DA53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7" i="43" l="1"/>
  <c r="C32" i="2" s="1"/>
  <c r="C23" i="43"/>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2" i="19"/>
  <c r="C23"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<sst xmlns="http://schemas.openxmlformats.org/spreadsheetml/2006/main" count="558" uniqueCount="242">
  <si>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</si>
  <si>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</si>
  <si>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</si>
  <si>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</si>
  <si>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</si>
  <si>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</si>
  <si>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</si>
  <si>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</si>
  <si>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</si>
  <si>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</si>
  <si>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</si>
  <si>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</si>
  <si>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</si>
  <si>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</si>
  <si>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</si>
  <si>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</si>
  <si>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</si>
  <si>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</si>
  <si>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</si>
  <si>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</si>
  <si>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</si>
  <si>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</si>
  <si>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</si>
  <si>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</si>
  <si>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</si>
  <si>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</si>
  <si>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</si>
  <si>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</si>
  <si>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</si>
  <si>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</si>
  <si>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</si>
  <si>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</si>
  <si>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</si>
  <si>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</si>
  <si>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</si>
  <si>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</si>
  <si>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</si>
  <si>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</si>
  <si>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</si>
  <si>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</si>
  <si>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</si>
  <si>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</si>
  <si>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</si>
  <si>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</si>
  <si>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</si>
  <si>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</si>
  <si>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</si>
  <si>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</si>
  <si>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</si>
  <si>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</si>
  <si>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</si>
  <si>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</si>
  <si>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</si>
  <si>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</si>
  <si>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</si>
  <si>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</si>
  <si>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</si>
  <si>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</si>
  <si>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</si>
  <si>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</si>
  <si>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</si>
  <si>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</si>
  <si>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</si>
  <si>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</si>
  <si>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</si>
  <si>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</si>
  <si>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</si>
  <si>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</si>
  <si>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</si>
  <si>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</si>
  <si>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</si>
  <si>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</si>
  <si>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</si>
  <si>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</si>
  <si>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</si>
  <si>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</si>
  <si>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</si>
  <si>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</si>
  <si>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</si>
  <si>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</si>
  <si>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</si>
  <si>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</si>
  <si>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</si>
  <si>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</si>
  <si>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</si>
  <si>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</si>
  <si>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</si>
  <si>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</si>
  <si>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</si>
  <si>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</si>
  <si>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</si>
  <si>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</si>
  <si>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</si>
  <si>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</si>
  <si>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</si>
  <si>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</si>
  <si>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</si>
  <si>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</si>
  <si>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</si>
  <si>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</si>
  <si>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</si>
  <si>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</si>
  <si>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</si>
  <si>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</si>
  <si>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</si>
  <si>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</si>
  <si>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</si>
  <si>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</si>
  <si>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</si>
  <si>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</si>
  <si>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</si>
  <si>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</si>
  <si>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</si>
  <si>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</si>
  <si>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</si>
  <si>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</si>
  <si>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</si>
  <si>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</si>
  <si>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</si>
  <si>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</si>
  <si>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</si>
  <si>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</si>
  <si>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</si>
  <si>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</si>
  <si>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</si>
  <si>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</si>
  <si>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</si>
  <si>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</si>
  <si>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</si>
  <si>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</si>
  <si>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</si>
  <si>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</si>
  <si>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</si>
  <si>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</si>
  <si>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</si>
  <si>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</si>
  <si>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</si>
  <si>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</si>
  <si>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</si>
  <si>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</si>
  <si>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</si>
  <si>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</si>
  <si>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</si>
  <si>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</si>
  <si>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</si>
  <si>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</si>
  <si>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</si>
  <si>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</si>
  <si>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</si>
  <si>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</si>
  <si>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</si>
  <si>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</si>
  <si>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</si>
  <si>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</si>
  <si>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</si>
  <si>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</si>
  <si>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</si>
  <si>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</si>
  <si>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</si>
  <si>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</si>
  <si>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</si>
  <si>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</si>
  <si>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</si>
  <si>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</si>
  <si>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</si>
  <si>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</si>
  <si>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</si>
  <si>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</si>
  <si>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</si>
  <si>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</si>
  <si>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</si>
  <si>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</si>
  <si>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</si>
  <si>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</si>
  <si>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</si>
  <si>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</si>
  <si>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</si>
  <si>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</si>
  <si>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</si>
  <si>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</si>
  <si>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</si>
  <si>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</si>
  <si>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</si>
  <si>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</si>
  <si>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</si>
  <si>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</si>
  <si>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</si>
  <si>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</si>
  <si>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</si>
  <si>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</si>
  <si>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</si>
  <si>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</si>
  <si>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</si>
  <si>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</si>
  <si>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</si>
  <si>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</si>
  <si>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</si>
  <si>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</si>
  <si>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</si>
  <si>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</si>
  <si>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</si>
  <si>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</si>
  <si>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</si>
  <si>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</si>
  <si>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</si>
  <si>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</si>
  <si>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</si>
  <si>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</si>
  <si>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</si>
  <si>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</si>
  <si>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</si>
  <si>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</si>
  <si>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</si>
  <si>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</si>
  <si>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</si>
  <si>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</si>
  <si>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</si>
  <si>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</si>
  <si>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</si>
  <si>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</si>
  <si>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</si>
  <si>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</si>
  <si>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</si>
  <si>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</si>
  <si>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</si>
  <si>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</si>
  <si>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</si>
  <si>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</si>
  <si>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</si>
  <si>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Tjenestemandspensioner</t>
  </si>
  <si>
    <t>Gebyr til Miljøstyrelsen</t>
  </si>
  <si>
    <t>Betalinger til projektejers medfinansiering ØR - projektpakke 1</t>
  </si>
  <si>
    <t>Betalinger til projektejers medfinansiering ØR - projektpakke 4</t>
  </si>
  <si>
    <t>Betalinger til projektejers medfinansiering ØR - projektpakke 2</t>
  </si>
  <si>
    <t>Betalinger til projektejers medfinansiering ØR - projektpakke 3</t>
  </si>
  <si>
    <t>Til statusmeddelelse for 2025</t>
  </si>
  <si>
    <t>Frederiksberg Idrætsanlæg</t>
  </si>
  <si>
    <t>Peter Bangs vej</t>
  </si>
  <si>
    <t>Projektpakke 3</t>
  </si>
  <si>
    <t>Projektpakke 4</t>
  </si>
  <si>
    <t>Harrestrup Å</t>
  </si>
  <si>
    <t>Tillæg til beregning af serviceniveau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</si>
</sst>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66" fontId="8" fillId="8" borderId="2" xfId="1" quotePrefix="1" applyNumberFormat="1" applyFont="1" applyFill="1" applyBorder="1" applyAlignment="1" applyProtection="1">
      <alignment horizontal="righ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235</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127</v>
      </c>
      <c r="D13" s="103"/>
      <c r="E13" s="103"/>
      <c r="F13" s="104"/>
      <c r="G13" s="5"/>
    </row>
    <row r="14" spans="1:7" x14ac:dyDescent="0.25">
      <c r="A14" s="1"/>
      <c r="B14" s="6" t="s">
        <v>16</v>
      </c>
      <c r="C14" s="93" t="s">
        <v>186</v>
      </c>
      <c r="D14" s="94"/>
      <c r="E14" s="94"/>
      <c r="F14" s="95"/>
      <c r="G14" s="5"/>
    </row>
    <row r="15" spans="1:7" x14ac:dyDescent="0.25">
      <c r="A15" s="1"/>
      <c r="B15" s="6" t="s">
        <v>30</v>
      </c>
      <c r="C15" s="93" t="s">
        <v>149</v>
      </c>
      <c r="D15" s="94"/>
      <c r="E15" s="94"/>
      <c r="F15" s="95"/>
      <c r="G15" s="5"/>
    </row>
    <row r="16" spans="1:7" x14ac:dyDescent="0.25">
      <c r="A16" s="1"/>
      <c r="B16" s="6" t="s">
        <v>31</v>
      </c>
      <c r="C16" s="93" t="s">
        <v>151</v>
      </c>
      <c r="D16" s="94"/>
      <c r="E16" s="94"/>
      <c r="F16" s="95"/>
      <c r="G16" s="5"/>
    </row>
    <row r="17" spans="1:8" x14ac:dyDescent="0.25">
      <c r="A17" s="1"/>
      <c r="B17" s="6" t="s">
        <v>61</v>
      </c>
      <c r="C17" s="93" t="s">
        <v>152</v>
      </c>
      <c r="D17" s="94"/>
      <c r="E17" s="94"/>
      <c r="F17" s="95"/>
      <c r="G17" s="5"/>
    </row>
    <row r="18" spans="1:8" x14ac:dyDescent="0.25">
      <c r="A18" s="1"/>
      <c r="B18" s="6" t="s">
        <v>53</v>
      </c>
      <c r="C18" s="90" t="s">
        <v>45</v>
      </c>
      <c r="D18" s="91"/>
      <c r="E18" s="91"/>
      <c r="F18" s="92"/>
      <c r="G18" s="5"/>
    </row>
    <row r="19" spans="1:8" x14ac:dyDescent="0.25">
      <c r="A19" s="1"/>
      <c r="B19" s="6" t="s">
        <v>54</v>
      </c>
      <c r="C19" s="90" t="s">
        <v>46</v>
      </c>
      <c r="D19" s="91"/>
      <c r="E19" s="91"/>
      <c r="F19" s="92"/>
      <c r="G19" s="5"/>
    </row>
    <row r="20" spans="1:8" x14ac:dyDescent="0.25">
      <c r="A20" s="1"/>
      <c r="B20" s="6" t="s">
        <v>7</v>
      </c>
      <c r="C20" s="90" t="s">
        <v>10</v>
      </c>
      <c r="D20" s="91"/>
      <c r="E20" s="91"/>
      <c r="F20" s="92"/>
      <c r="G20" s="5"/>
    </row>
    <row r="21" spans="1:8" x14ac:dyDescent="0.25">
      <c r="A21" s="1"/>
      <c r="B21" s="6" t="s">
        <v>55</v>
      </c>
      <c r="C21" s="97" t="s">
        <v>12</v>
      </c>
      <c r="D21" s="98"/>
      <c r="E21" s="98"/>
      <c r="F21" s="99"/>
      <c r="G21" s="5"/>
    </row>
    <row r="22" spans="1:8" x14ac:dyDescent="0.25">
      <c r="A22" s="1"/>
      <c r="B22" s="6" t="s">
        <v>39</v>
      </c>
      <c r="C22" s="84" t="s">
        <v>153</v>
      </c>
      <c r="D22" s="85"/>
      <c r="E22" s="85"/>
      <c r="F22" s="86"/>
      <c r="G22" s="5"/>
    </row>
    <row r="23" spans="1:8" x14ac:dyDescent="0.25">
      <c r="A23" s="1"/>
      <c r="B23" s="6" t="s">
        <v>8</v>
      </c>
      <c r="C23" s="84" t="s">
        <v>112</v>
      </c>
      <c r="D23" s="85"/>
      <c r="E23" s="85"/>
      <c r="F23" s="86"/>
      <c r="G23" s="5"/>
    </row>
    <row r="24" spans="1:8" x14ac:dyDescent="0.25">
      <c r="A24" s="1"/>
      <c r="B24" s="6" t="s">
        <v>9</v>
      </c>
      <c r="C24" s="84" t="s">
        <v>154</v>
      </c>
      <c r="D24" s="85"/>
      <c r="E24" s="85"/>
      <c r="F24" s="86"/>
      <c r="G24" s="5"/>
    </row>
    <row r="25" spans="1:8" x14ac:dyDescent="0.25">
      <c r="A25" s="1"/>
      <c r="B25" s="6" t="s">
        <v>97</v>
      </c>
      <c r="C25" s="84" t="s">
        <v>91</v>
      </c>
      <c r="D25" s="85"/>
      <c r="E25" s="85"/>
      <c r="F25" s="86"/>
      <c r="G25" s="1"/>
    </row>
    <row r="26" spans="1:8" x14ac:dyDescent="0.25">
      <c r="A26" s="1"/>
      <c r="B26" s="6" t="s">
        <v>98</v>
      </c>
      <c r="C26" s="84" t="s">
        <v>40</v>
      </c>
      <c r="D26" s="85"/>
      <c r="E26" s="85"/>
      <c r="F26" s="86"/>
      <c r="G26" s="1"/>
    </row>
    <row r="27" spans="1:8" x14ac:dyDescent="0.25">
      <c r="A27" s="1"/>
      <c r="B27" s="6" t="s">
        <v>99</v>
      </c>
      <c r="C27" s="84" t="s">
        <v>41</v>
      </c>
      <c r="D27" s="85"/>
      <c r="E27" s="85"/>
      <c r="F27" s="86"/>
      <c r="G27" s="1"/>
    </row>
    <row r="28" spans="1:8" x14ac:dyDescent="0.25">
      <c r="A28" s="1"/>
      <c r="B28" s="6" t="s">
        <v>15</v>
      </c>
      <c r="C28" s="84" t="s">
        <v>42</v>
      </c>
      <c r="D28" s="85"/>
      <c r="E28" s="85"/>
      <c r="F28" s="86"/>
      <c r="G28" s="1"/>
      <c r="H28" s="2" t="s">
        <v>150</v>
      </c>
    </row>
    <row r="29" spans="1:8" x14ac:dyDescent="0.25">
      <c r="A29" s="1"/>
      <c r="B29" s="6" t="s">
        <v>33</v>
      </c>
      <c r="C29" s="84" t="s">
        <v>68</v>
      </c>
      <c r="D29" s="85"/>
      <c r="E29" s="85"/>
      <c r="F29" s="86"/>
      <c r="G29" s="1"/>
    </row>
    <row r="30" spans="1:8" x14ac:dyDescent="0.25">
      <c r="A30" s="1"/>
      <c r="B30" s="6" t="s">
        <v>34</v>
      </c>
      <c r="C30" s="84" t="s">
        <v>32</v>
      </c>
      <c r="D30" s="85"/>
      <c r="E30" s="85"/>
      <c r="F30" s="86"/>
      <c r="G30" s="1"/>
    </row>
    <row r="31" spans="1:8" x14ac:dyDescent="0.25">
      <c r="A31" s="1"/>
      <c r="B31" s="6" t="s">
        <v>100</v>
      </c>
      <c r="C31" s="87" t="s">
        <v>52</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qQ5UAUdCfw3AP1/jLZFTOSh5yKVSpFA2/fo48zE8xT9K1y0G2Pos7ypl1ECv8HI9YqXo/IHnZoyhllwNjz2QFA==" saltValue="M5N82n6wI5/6uc47CLwhh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9"/>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3" t="s">
        <v>226</v>
      </c>
      <c r="C10" s="74">
        <v>147499</v>
      </c>
      <c r="D10" s="14" t="s">
        <v>3</v>
      </c>
      <c r="E10" s="1"/>
    </row>
    <row r="11" spans="1:5" ht="15" customHeight="1" x14ac:dyDescent="0.25">
      <c r="A11" s="1"/>
      <c r="B11" s="73" t="s">
        <v>227</v>
      </c>
      <c r="C11" s="74">
        <v>35203338</v>
      </c>
      <c r="D11" s="14" t="s">
        <v>3</v>
      </c>
      <c r="E11" s="1"/>
    </row>
    <row r="12" spans="1:5" x14ac:dyDescent="0.25">
      <c r="A12" s="1"/>
      <c r="B12" s="73" t="s">
        <v>228</v>
      </c>
      <c r="C12" s="74">
        <v>73755</v>
      </c>
      <c r="D12" s="14" t="s">
        <v>3</v>
      </c>
      <c r="E12" s="1"/>
    </row>
    <row r="13" spans="1:5" x14ac:dyDescent="0.25">
      <c r="A13" s="1"/>
      <c r="B13" s="73" t="s">
        <v>229</v>
      </c>
      <c r="C13" s="74">
        <v>53442</v>
      </c>
      <c r="D13" s="14" t="s">
        <v>3</v>
      </c>
      <c r="E13" s="1"/>
    </row>
    <row r="14" spans="1:5" x14ac:dyDescent="0.25">
      <c r="A14" s="1"/>
      <c r="B14" s="73" t="s">
        <v>231</v>
      </c>
      <c r="C14" s="74">
        <v>1134320</v>
      </c>
      <c r="D14" s="14" t="s">
        <v>3</v>
      </c>
      <c r="E14" s="1"/>
    </row>
    <row r="15" spans="1:5" x14ac:dyDescent="0.25">
      <c r="A15" s="1"/>
      <c r="B15" s="73" t="s">
        <v>233</v>
      </c>
      <c r="C15" s="74">
        <v>6688737</v>
      </c>
      <c r="D15" s="14" t="s">
        <v>3</v>
      </c>
      <c r="E15" s="1"/>
    </row>
    <row r="16" spans="1:5" x14ac:dyDescent="0.25">
      <c r="A16" s="1"/>
      <c r="B16" s="73" t="s">
        <v>234</v>
      </c>
      <c r="C16" s="74">
        <v>422871</v>
      </c>
      <c r="D16" s="14" t="s">
        <v>3</v>
      </c>
      <c r="E16" s="1"/>
    </row>
    <row r="17" spans="1:5" x14ac:dyDescent="0.25">
      <c r="A17" s="1"/>
      <c r="B17" s="73" t="s">
        <v>232</v>
      </c>
      <c r="C17" s="74">
        <v>67671</v>
      </c>
      <c r="D17" s="14" t="s">
        <v>3</v>
      </c>
      <c r="E17" s="1"/>
    </row>
    <row r="18" spans="1:5" x14ac:dyDescent="0.25">
      <c r="A18" s="1"/>
      <c r="B18" s="73" t="s">
        <v>230</v>
      </c>
      <c r="C18" s="74">
        <v>10785</v>
      </c>
      <c r="D18" s="14" t="s">
        <v>3</v>
      </c>
      <c r="E18" s="1"/>
    </row>
    <row r="19" spans="1:5" x14ac:dyDescent="0.25">
      <c r="A19" s="1"/>
      <c r="B19" s="73"/>
      <c r="C19" s="74"/>
      <c r="D19" s="14" t="s">
        <v>3</v>
      </c>
      <c r="E19" s="1"/>
    </row>
    <row r="20" spans="1:5" x14ac:dyDescent="0.25">
      <c r="A20" s="1"/>
      <c r="B20" s="73"/>
      <c r="C20" s="74"/>
      <c r="D20" s="14" t="s">
        <v>3</v>
      </c>
      <c r="E20" s="1"/>
    </row>
    <row r="21" spans="1:5" x14ac:dyDescent="0.25">
      <c r="A21" s="1"/>
      <c r="B21" s="73"/>
      <c r="C21" s="74"/>
      <c r="D21" s="14" t="s">
        <v>3</v>
      </c>
      <c r="E21" s="1"/>
    </row>
    <row r="22" spans="1:5" x14ac:dyDescent="0.25">
      <c r="A22" s="1"/>
      <c r="B22" s="33" t="s">
        <v>167</v>
      </c>
      <c r="C22" s="12">
        <f>SUM(C10:C21)</f>
        <v>43802418</v>
      </c>
      <c r="D22" s="13" t="s">
        <v>3</v>
      </c>
      <c r="E22" s="1"/>
    </row>
    <row r="23" spans="1:5" x14ac:dyDescent="0.25">
      <c r="A23" s="1"/>
      <c r="B23" s="33" t="s">
        <v>168</v>
      </c>
      <c r="C23" s="12">
        <f>C22*(1+'Fane 15. Nøgletal'!C10)^2</f>
        <v>49803160.477578416</v>
      </c>
      <c r="D23" s="13" t="s">
        <v>3</v>
      </c>
      <c r="E23" s="1"/>
    </row>
    <row r="24" spans="1:5" x14ac:dyDescent="0.25">
      <c r="A24" s="1"/>
      <c r="B24" s="16"/>
      <c r="C24" s="15"/>
      <c r="D24" s="15"/>
      <c r="E24" s="1"/>
    </row>
    <row r="25" spans="1:5" x14ac:dyDescent="0.25">
      <c r="A25" s="1"/>
      <c r="B25" s="16"/>
      <c r="C25" s="15"/>
      <c r="D25" s="15"/>
      <c r="E25" s="1"/>
    </row>
    <row r="26" spans="1:5" x14ac:dyDescent="0.25">
      <c r="A26" s="1"/>
      <c r="B26" s="109" t="s">
        <v>60</v>
      </c>
      <c r="C26" s="110"/>
      <c r="D26" s="111"/>
      <c r="E26" s="1"/>
    </row>
    <row r="27" spans="1:5" x14ac:dyDescent="0.25">
      <c r="A27" s="1"/>
      <c r="B27" s="37" t="s">
        <v>72</v>
      </c>
      <c r="C27" s="9">
        <v>5950533</v>
      </c>
      <c r="D27" s="14" t="s">
        <v>3</v>
      </c>
      <c r="E27" s="1"/>
    </row>
    <row r="28" spans="1:5" x14ac:dyDescent="0.25">
      <c r="A28" s="1"/>
      <c r="B28" s="37" t="s">
        <v>83</v>
      </c>
      <c r="C28" s="9">
        <v>1717694</v>
      </c>
      <c r="D28" s="14" t="s">
        <v>3</v>
      </c>
      <c r="E28" s="1"/>
    </row>
    <row r="29" spans="1:5" x14ac:dyDescent="0.25">
      <c r="A29" s="1"/>
      <c r="B29" s="37" t="s">
        <v>148</v>
      </c>
      <c r="C29" s="9">
        <v>1722516</v>
      </c>
      <c r="D29" s="14" t="s">
        <v>3</v>
      </c>
      <c r="E29" s="1"/>
    </row>
    <row r="30" spans="1:5" x14ac:dyDescent="0.25">
      <c r="A30" s="1"/>
      <c r="B30" s="34" t="s">
        <v>169</v>
      </c>
      <c r="C30" s="9">
        <v>1727448</v>
      </c>
      <c r="D30" s="36" t="s">
        <v>3</v>
      </c>
      <c r="E30" s="1"/>
    </row>
    <row r="31" spans="1:5" x14ac:dyDescent="0.25">
      <c r="A31" s="1"/>
      <c r="B31" s="109"/>
      <c r="C31" s="110"/>
      <c r="D31" s="111"/>
      <c r="E31" s="1"/>
    </row>
    <row r="32" spans="1:5" x14ac:dyDescent="0.25">
      <c r="A32" s="1"/>
      <c r="B32" s="1"/>
      <c r="C32" s="1"/>
      <c r="D32" s="1"/>
      <c r="E32" s="1"/>
    </row>
    <row r="33" spans="1:5" x14ac:dyDescent="0.25">
      <c r="A33" s="1"/>
      <c r="B33" s="1"/>
      <c r="C33" s="1"/>
      <c r="D33" s="1"/>
      <c r="E33" s="1"/>
    </row>
    <row r="34" spans="1:5" x14ac:dyDescent="0.25">
      <c r="A34" s="1"/>
      <c r="B34" s="109" t="s">
        <v>47</v>
      </c>
      <c r="C34" s="110"/>
      <c r="D34" s="111"/>
      <c r="E34" s="1"/>
    </row>
    <row r="35" spans="1:5" x14ac:dyDescent="0.25">
      <c r="A35" s="1"/>
      <c r="B35" s="37" t="s">
        <v>72</v>
      </c>
      <c r="C35" s="9">
        <v>0</v>
      </c>
      <c r="D35" s="14" t="s">
        <v>3</v>
      </c>
      <c r="E35" s="1"/>
    </row>
    <row r="36" spans="1:5" x14ac:dyDescent="0.25">
      <c r="A36" s="1"/>
      <c r="B36" s="37" t="s">
        <v>83</v>
      </c>
      <c r="C36" s="9">
        <v>0</v>
      </c>
      <c r="D36" s="14" t="s">
        <v>3</v>
      </c>
      <c r="E36" s="1"/>
    </row>
    <row r="37" spans="1:5" x14ac:dyDescent="0.25">
      <c r="A37" s="1"/>
      <c r="B37" s="37" t="s">
        <v>148</v>
      </c>
      <c r="C37" s="9">
        <v>0</v>
      </c>
      <c r="D37" s="14" t="s">
        <v>3</v>
      </c>
      <c r="E37" s="1"/>
    </row>
    <row r="38" spans="1:5" x14ac:dyDescent="0.25">
      <c r="A38" s="1"/>
      <c r="B38" s="34" t="s">
        <v>169</v>
      </c>
      <c r="C38" s="9">
        <v>0</v>
      </c>
      <c r="D38" s="36" t="s">
        <v>3</v>
      </c>
      <c r="E38" s="1"/>
    </row>
    <row r="39" spans="1:5" x14ac:dyDescent="0.25">
      <c r="A39" s="1"/>
      <c r="B39" s="109"/>
      <c r="C39" s="110"/>
      <c r="D39" s="11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x14ac:dyDescent="0.25">
      <c r="A51" s="1"/>
      <c r="B51" s="1"/>
      <c r="C51" s="1"/>
      <c r="D51" s="1"/>
      <c r="E51" s="1"/>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row r="57" spans="1:5" hidden="1" x14ac:dyDescent="0.25">
      <c r="A57" s="44"/>
      <c r="B57" s="44"/>
      <c r="C57" s="44"/>
      <c r="D57" s="44"/>
      <c r="E57" s="44"/>
    </row>
    <row r="58" spans="1:5" hidden="1" x14ac:dyDescent="0.25">
      <c r="A58" s="44"/>
      <c r="B58" s="44"/>
      <c r="C58" s="44"/>
      <c r="D58" s="44"/>
      <c r="E58" s="44"/>
    </row>
    <row r="59" spans="1:5" x14ac:dyDescent="0.25"/>
  </sheetData>
  <sheetProtection algorithmName="SHA-512" hashValue="HfpNjGTVcVCqHGyrJiiuaFMESKFf+qI60Z1jgLFqqMjuR36o7i3SvGxxZZIhq8lAOGaxZtec9K8EG3GQWqAKLQ==" saltValue="Ws96sXMXQK7FWGRszD8Sgw==" spinCount="100000" sheet="1" objects="1" scenarios="1"/>
  <mergeCells count="6">
    <mergeCell ref="B39:D39"/>
    <mergeCell ref="B3:D4"/>
    <mergeCell ref="B8:D8"/>
    <mergeCell ref="B26:D26"/>
    <mergeCell ref="B34:D34"/>
    <mergeCell ref="B31:D31"/>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77</v>
      </c>
      <c r="C8" s="110"/>
      <c r="D8" s="111"/>
      <c r="E8" s="1"/>
    </row>
    <row r="9" spans="1:5" x14ac:dyDescent="0.25">
      <c r="A9" s="1"/>
      <c r="B9" s="65" t="s">
        <v>204</v>
      </c>
      <c r="C9" s="9">
        <v>-17165752.113035232</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-9494917.7332263887</v>
      </c>
      <c r="D14" s="14" t="s">
        <v>3</v>
      </c>
      <c r="E14" s="1"/>
    </row>
    <row r="15" spans="1:5" x14ac:dyDescent="0.25">
      <c r="A15" s="1"/>
      <c r="B15" s="65" t="s">
        <v>203</v>
      </c>
      <c r="C15" s="9">
        <v>-9494917.7332263887</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97391287.489691526</v>
      </c>
      <c r="D20" s="14" t="s">
        <v>3</v>
      </c>
      <c r="E20" s="1"/>
    </row>
    <row r="21" spans="1:5" x14ac:dyDescent="0.25">
      <c r="A21" s="1"/>
      <c r="B21" s="65" t="s">
        <v>207</v>
      </c>
      <c r="C21" s="9">
        <v>99386163</v>
      </c>
      <c r="D21" s="14" t="s">
        <v>3</v>
      </c>
      <c r="E21" s="1"/>
    </row>
    <row r="22" spans="1:5" x14ac:dyDescent="0.25">
      <c r="A22" s="1"/>
      <c r="B22" s="65" t="s">
        <v>29</v>
      </c>
      <c r="C22" s="9">
        <v>0</v>
      </c>
      <c r="D22" s="14" t="s">
        <v>3</v>
      </c>
      <c r="E22" s="1"/>
    </row>
    <row r="23" spans="1:5" x14ac:dyDescent="0.25">
      <c r="A23" s="1"/>
      <c r="B23" s="83" t="s">
        <v>208</v>
      </c>
      <c r="C23" s="57">
        <f>C20-C21-C22</f>
        <v>-1994875.5103084743</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3" t="s">
        <v>210</v>
      </c>
      <c r="C27" s="57">
        <f>IF(AND(C15&lt;0,C23&gt;0,ABS(SUM(C14:C15))&lt;C23),ABS(C14),IF(AND(C15&lt;0,C23&gt;0,ABS(SUM(C14:C15))&gt;C23),SUM(C14,C23),C15))</f>
        <v>-9494917.7332263887</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-1994875.5103084743</v>
      </c>
      <c r="D31" s="14" t="s">
        <v>3</v>
      </c>
      <c r="E31" s="1"/>
    </row>
    <row r="32" spans="1:5" x14ac:dyDescent="0.25">
      <c r="A32" s="1"/>
      <c r="B32" s="66" t="s">
        <v>49</v>
      </c>
      <c r="C32" s="9">
        <v>2</v>
      </c>
      <c r="D32" s="14" t="s">
        <v>20</v>
      </c>
      <c r="E32" s="1"/>
    </row>
    <row r="33" spans="1:5" x14ac:dyDescent="0.25">
      <c r="A33" s="1"/>
      <c r="B33" s="67" t="s">
        <v>70</v>
      </c>
      <c r="C33" s="57">
        <f>C31/C32</f>
        <v>-997437.75515423715</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XnHarkSJbtpuJpXAYdT9e+sX7IWGHJw6wZOp9SxK76GwXL8z9bE+AgIHxe90yM6z1+NHlXCe4YFddSQWx+l4Ng==" saltValue="fF7wLQaGfchxpLXGNm+gf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gmIBlh2sFS7L5KwrOaSuRTMgx1rrvzOiuZt15Urk+EBrZ378LqzkMRB36/8ZqBPw/ZRW4Tl0En04AN6Jwb3vA==" saltValue="MoMv37Hp70ai7nelzoYNq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80" t="s">
        <v>215</v>
      </c>
      <c r="C9" s="7"/>
      <c r="D9" s="8" t="s">
        <v>3</v>
      </c>
      <c r="E9" s="1"/>
    </row>
    <row r="10" spans="1:5" ht="14.25" customHeight="1" x14ac:dyDescent="0.25">
      <c r="A10" s="1"/>
      <c r="B10" s="65" t="s">
        <v>172</v>
      </c>
      <c r="C10" s="7"/>
      <c r="D10" s="8" t="s">
        <v>3</v>
      </c>
      <c r="E10" s="1"/>
    </row>
    <row r="11" spans="1:5" ht="14.25" customHeight="1" x14ac:dyDescent="0.25">
      <c r="A11" s="1"/>
      <c r="B11" s="83" t="s">
        <v>48</v>
      </c>
      <c r="C11" s="10">
        <f>C10-C9</f>
        <v>0</v>
      </c>
      <c r="D11" s="11" t="s">
        <v>3</v>
      </c>
      <c r="E11" s="1"/>
    </row>
    <row r="12" spans="1:5" ht="14.25" customHeight="1" x14ac:dyDescent="0.25">
      <c r="A12" s="1"/>
      <c r="B12" s="109" t="s">
        <v>217</v>
      </c>
      <c r="C12" s="110"/>
      <c r="D12" s="111"/>
      <c r="E12" s="1"/>
    </row>
    <row r="13" spans="1:5" ht="26.25" x14ac:dyDescent="0.25">
      <c r="A13" s="1"/>
      <c r="B13" s="80" t="s">
        <v>216</v>
      </c>
      <c r="C13" s="7">
        <v>6335658</v>
      </c>
      <c r="D13" s="8" t="s">
        <v>3</v>
      </c>
      <c r="E13" s="1"/>
    </row>
    <row r="14" spans="1:5" ht="14.25" customHeight="1" x14ac:dyDescent="0.25">
      <c r="A14" s="1"/>
      <c r="B14" s="65" t="s">
        <v>173</v>
      </c>
      <c r="C14" s="7">
        <v>6073104</v>
      </c>
      <c r="D14" s="8" t="s">
        <v>3</v>
      </c>
      <c r="E14" s="1"/>
    </row>
    <row r="15" spans="1:5" ht="14.25" customHeight="1" x14ac:dyDescent="0.25">
      <c r="A15" s="1"/>
      <c r="B15" s="83" t="s">
        <v>48</v>
      </c>
      <c r="C15" s="10">
        <f>C14-C13</f>
        <v>-262554</v>
      </c>
      <c r="D15" s="11" t="s">
        <v>3</v>
      </c>
      <c r="E15" s="1"/>
    </row>
    <row r="16" spans="1:5" ht="14.25" customHeight="1" x14ac:dyDescent="0.25">
      <c r="A16" s="1"/>
      <c r="B16" s="33" t="s">
        <v>174</v>
      </c>
      <c r="C16" s="12">
        <f>C11+C15</f>
        <v>-262554</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JQyuLXPgSX6Nxvfw6gDBWkptKIRky0BKYAUZtyJmbX2sdHToAioAq448dekThRXhn5Ahlg8MTplAdFCIhrerQ==" saltValue="CMmoSGN3DqGnKT8NxblyP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7" t="s">
        <v>219</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3wveRlM7h0AxjVt1JW4OoeD3vLN4U4lfNq+EAzmMY4FpUQGhVWvHnVjc0YuGbc4PUBMforpm/UpAb7MXarl6jw==" saltValue="Q8hEUf+DMPng74FPpaAjm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236</v>
      </c>
      <c r="C11" s="21">
        <v>0</v>
      </c>
      <c r="D11" s="14" t="s">
        <v>3</v>
      </c>
      <c r="E11" s="9">
        <v>5047166</v>
      </c>
      <c r="F11" s="14" t="s">
        <v>3</v>
      </c>
      <c r="G11" s="1"/>
    </row>
    <row r="12" spans="1:7" x14ac:dyDescent="0.25">
      <c r="A12" s="1"/>
      <c r="B12" s="24" t="s">
        <v>237</v>
      </c>
      <c r="C12" s="21">
        <v>0</v>
      </c>
      <c r="D12" s="14" t="s">
        <v>3</v>
      </c>
      <c r="E12" s="9">
        <v>14607</v>
      </c>
      <c r="F12" s="14" t="s">
        <v>3</v>
      </c>
      <c r="G12" s="1"/>
    </row>
    <row r="13" spans="1:7" x14ac:dyDescent="0.25">
      <c r="A13" s="1"/>
      <c r="B13" s="24" t="s">
        <v>238</v>
      </c>
      <c r="C13" s="21">
        <v>422871</v>
      </c>
      <c r="D13" s="14" t="s">
        <v>3</v>
      </c>
      <c r="E13" s="9">
        <v>0</v>
      </c>
      <c r="F13" s="14" t="s">
        <v>3</v>
      </c>
      <c r="G13" s="1"/>
    </row>
    <row r="14" spans="1:7" x14ac:dyDescent="0.25">
      <c r="A14" s="1"/>
      <c r="B14" s="24" t="s">
        <v>239</v>
      </c>
      <c r="C14" s="21">
        <v>67671</v>
      </c>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490542</v>
      </c>
      <c r="D19" s="13" t="s">
        <v>3</v>
      </c>
      <c r="E19" s="12">
        <f>SUM(E10:E18)</f>
        <v>5061773</v>
      </c>
      <c r="F19" s="13" t="s">
        <v>3</v>
      </c>
      <c r="G19" s="1"/>
    </row>
    <row r="20" spans="1:7" x14ac:dyDescent="0.25">
      <c r="A20" s="1"/>
      <c r="B20" s="33" t="s">
        <v>175</v>
      </c>
      <c r="C20" s="12">
        <f>C19*(1+'Fane 15. Nøgletal'!C10)</f>
        <v>523064.93460000004</v>
      </c>
      <c r="D20" s="13" t="s">
        <v>3</v>
      </c>
      <c r="E20" s="12">
        <f>E19*(1+'Fane 15. Nøgletal'!C10)</f>
        <v>5397368.5499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Cbh/lUl+0IJrOnEtd1mnCBljymUbK6rZsHMxpmUrA22nzLTcjJStUU/rWhIBlVQ1wNMH8JkcgIbZeX8U7IaKQ==" saltValue="KPuWnYG8VN9HzWL/3Hmfk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1" t="s">
        <v>17</v>
      </c>
      <c r="C9" s="83" t="s">
        <v>11</v>
      </c>
      <c r="D9" s="82"/>
      <c r="E9" s="83" t="s">
        <v>27</v>
      </c>
      <c r="F9" s="32"/>
      <c r="G9" s="1"/>
    </row>
    <row r="10" spans="1:7" x14ac:dyDescent="0.25">
      <c r="A10" s="1"/>
      <c r="B10" s="24" t="s">
        <v>240</v>
      </c>
      <c r="C10" s="21">
        <v>331509</v>
      </c>
      <c r="D10" s="14" t="s">
        <v>3</v>
      </c>
      <c r="E10" s="9">
        <v>0</v>
      </c>
      <c r="F10" s="14" t="s">
        <v>3</v>
      </c>
      <c r="G10" s="1"/>
    </row>
    <row r="11" spans="1:7" x14ac:dyDescent="0.25">
      <c r="A11" s="1"/>
      <c r="B11" s="24" t="s">
        <v>241</v>
      </c>
      <c r="C11" s="21">
        <v>1277482</v>
      </c>
      <c r="D11" s="14" t="s">
        <v>3</v>
      </c>
      <c r="E11" s="9">
        <v>0</v>
      </c>
      <c r="F11" s="14" t="s">
        <v>3</v>
      </c>
      <c r="G11" s="1"/>
    </row>
    <row r="12" spans="1:7" x14ac:dyDescent="0.25">
      <c r="A12" s="1"/>
      <c r="B12" s="24"/>
      <c r="C12" s="21"/>
      <c r="D12" s="14" t="s">
        <v>3</v>
      </c>
      <c r="E12" s="9"/>
      <c r="F12" s="14" t="s">
        <v>3</v>
      </c>
      <c r="G12" s="1"/>
    </row>
    <row r="13" spans="1:7" x14ac:dyDescent="0.25">
      <c r="A13" s="1"/>
      <c r="B13" s="33" t="s">
        <v>177</v>
      </c>
      <c r="C13" s="12">
        <f>SUM(C10:C12)</f>
        <v>1608991</v>
      </c>
      <c r="D13" s="13" t="s">
        <v>3</v>
      </c>
      <c r="E13" s="12">
        <f>SUM(E10:E12)</f>
        <v>0</v>
      </c>
      <c r="F13" s="13" t="s">
        <v>3</v>
      </c>
      <c r="G13" s="1"/>
    </row>
    <row r="14" spans="1:7" x14ac:dyDescent="0.25">
      <c r="A14" s="1"/>
      <c r="B14" s="33" t="s">
        <v>178</v>
      </c>
      <c r="C14" s="12">
        <f>C13*(1+'Fane 15. Nøgletal'!C10)^2</f>
        <v>1829415.83224879</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fUNoLETw/V9r/nPLAaz3dDaigOBm86Ri4zoW0wejw3hg1l+o79lgB8h6b6VFyNYUSxqzm0VqMD2JdYe/2iiSA==" saltValue="aT0T0h/9t0llmGxpxD2ju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7"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7"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7"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aBswHwuPr36Ltwi3N72K5amqiFiSPggNA2ArrbkvbId0YoPXiVYUh90jVa6i5WtSbq/MakXLdIon9S1rmG2NDQ==" saltValue="jnd1KCNHH1OW1r2HJF7jb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ULXF/43Ao3RLZLBh5gir+YkNeQj+DnvDiODsoPEzn4ykAHrhWSCl018Pm5LITh4KOz11juWZurSBj2GAgjVwhQ==" saltValue="azSx8YhrpYT2XpBV2/RQw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0+wvLd3+B88hgjcQ2M0dxUnovOFZd0Y9u5YCcFRH24Oi2udAZpDkUZSDj/HxMOYZcLsAcyRJcn6hMHlwl1/MQ==" saltValue="nZbdQssyqEQdvDwTFxEel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58210890.489349835</v>
      </c>
      <c r="D9" s="8" t="s">
        <v>3</v>
      </c>
      <c r="E9" s="1"/>
    </row>
    <row r="10" spans="1:5" ht="17.25" customHeight="1" x14ac:dyDescent="0.25">
      <c r="A10" s="1"/>
      <c r="B10" s="64" t="s">
        <v>35</v>
      </c>
      <c r="C10" s="7">
        <f>'Fane 11.1. Varige tillæg'!C20</f>
        <v>523064.93460000004</v>
      </c>
      <c r="D10" s="8" t="s">
        <v>3</v>
      </c>
      <c r="E10" s="1"/>
    </row>
    <row r="11" spans="1:5" ht="17.25" customHeight="1" x14ac:dyDescent="0.25">
      <c r="A11" s="1"/>
      <c r="B11" s="64" t="s">
        <v>36</v>
      </c>
      <c r="C11" s="9">
        <f>'Fane 11.1. Varige tillæg'!E20</f>
        <v>5397368.5499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5095964.6915618163</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-527953.0022480567</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68699335.663163587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omk.'!C23+'Fane 6. Ikke-påvirkelige omk.'!C27+'Fane 6. Ikke-påvirkelige omk.'!C35</f>
        <v>55753693.477578416</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1829415.83224879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-36588.316644975799</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1792827.5156038143</v>
      </c>
      <c r="D30" s="11" t="s">
        <v>3</v>
      </c>
      <c r="E30" s="1"/>
    </row>
    <row r="31" spans="1:5" x14ac:dyDescent="0.25">
      <c r="A31" s="1"/>
      <c r="B31" s="33" t="s">
        <v>69</v>
      </c>
      <c r="C31" s="28"/>
      <c r="D31" s="19"/>
      <c r="E31" s="1"/>
    </row>
    <row r="32" spans="1:5" x14ac:dyDescent="0.25">
      <c r="A32" s="1"/>
      <c r="B32" s="31" t="s">
        <v>79</v>
      </c>
      <c r="C32" s="62">
        <f>'Fane 7. Kontrol af ØR2023'!C27</f>
        <v>-9494917.7332263887</v>
      </c>
      <c r="D32" s="11" t="s">
        <v>3</v>
      </c>
      <c r="E32" s="1"/>
    </row>
    <row r="33" spans="1:5" ht="15" customHeight="1" x14ac:dyDescent="0.25">
      <c r="A33" s="1"/>
      <c r="B33" s="33" t="s">
        <v>154</v>
      </c>
      <c r="C33" s="28"/>
      <c r="D33" s="19"/>
      <c r="E33" s="1"/>
    </row>
    <row r="34" spans="1:5" x14ac:dyDescent="0.25">
      <c r="A34" s="1"/>
      <c r="B34" s="31" t="s">
        <v>154</v>
      </c>
      <c r="C34" s="10">
        <f>'Fane 9. Korrektion af ØR2023'!C16</f>
        <v>-262554</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116488384.92311943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yJqm8Bq+UCltHoOoQZtMAWbeAEIf2wF2Uy6I/sPB2YBK+ciHvpyc89luzvf+9ZeHWQkyuQ+7ZB1UAoCilE81ZA==" saltValue="/pFP/6cTnpXyaHp2S5GsK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k/dyfiFLOgHOEorHN3+HUjsufa7Eho5/x+SmuHJpAP3b1REbNURHrb1Tjl/HcsG+xFZuEppa9KVv+oYz0gQwwg==" saltValue="0jf3sL4+gLN498DaV0iS9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68699335.663163587</v>
      </c>
      <c r="D9" s="8" t="s">
        <v>3</v>
      </c>
      <c r="E9" s="1"/>
    </row>
    <row r="10" spans="1:5" ht="15" customHeight="1" x14ac:dyDescent="0.25">
      <c r="A10" s="1"/>
      <c r="B10" s="26" t="s">
        <v>19</v>
      </c>
      <c r="C10" s="7">
        <f>C9*'Fane 15. Nøgletal'!C10</f>
        <v>4554765.9544677455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-551697.16057116096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72702404.457060173</v>
      </c>
      <c r="D14" s="11" t="s">
        <v>3</v>
      </c>
      <c r="E14" s="1"/>
    </row>
    <row r="15" spans="1:5" x14ac:dyDescent="0.25">
      <c r="A15" s="1"/>
      <c r="B15" s="33" t="s">
        <v>12</v>
      </c>
      <c r="C15" s="28"/>
      <c r="D15" s="19"/>
      <c r="E15" s="1"/>
    </row>
    <row r="16" spans="1:5" ht="15" customHeight="1" x14ac:dyDescent="0.25">
      <c r="A16" s="1"/>
      <c r="B16" s="31" t="s">
        <v>12</v>
      </c>
      <c r="C16" s="10">
        <f>'Fane 6. Ikke-påvirkelige omk.'!C23*(1+'Fane 15. Nøgletal'!C10)+'Fane 6. Ikke-påvirkelige omk.'!C28+'Fane 6. Ikke-påvirkelige omk.'!C36</f>
        <v>54822804.017241865</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-997437.75515423715</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126527770.7191478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yEyoS1aBAItD8uic6mn32s/fRx2+UlYyqTToS5rerp6H7QmSEV3TJV2PcnZm64KXg4zSi7vmnzotooEr7A7Yw==" saltValue="Sf/T43ivqjdRYUCATPyr8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72702404.457060173</v>
      </c>
      <c r="D9" s="8" t="s">
        <v>3</v>
      </c>
      <c r="E9" s="1"/>
    </row>
    <row r="10" spans="1:5" ht="15" customHeight="1" x14ac:dyDescent="0.25">
      <c r="A10" s="1"/>
      <c r="B10" s="26" t="s">
        <v>19</v>
      </c>
      <c r="C10" s="7">
        <f>SUM(C9:C9)*'Fane 15. Nøgletal'!C10</f>
        <v>4820169.4155030893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-576509.18867068831</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76946064.683892563</v>
      </c>
      <c r="D14" s="11" t="s">
        <v>3</v>
      </c>
      <c r="E14" s="1"/>
    </row>
    <row r="15" spans="1:5" x14ac:dyDescent="0.25">
      <c r="A15" s="1"/>
      <c r="B15" s="33" t="s">
        <v>12</v>
      </c>
      <c r="C15" s="28"/>
      <c r="D15" s="19"/>
      <c r="E15" s="1"/>
    </row>
    <row r="16" spans="1:5" ht="15" customHeight="1" x14ac:dyDescent="0.25">
      <c r="A16" s="1"/>
      <c r="B16" s="31" t="s">
        <v>12</v>
      </c>
      <c r="C16" s="10">
        <f>'Fane 6. Ikke-påvirkelige omk.'!C23*(1+'Fane 15. Nøgletal'!C10)^2+'Fane 6. Ikke-påvirkelige omk.'!C29+'Fane 6. Ikke-påvirkelige omk.'!C37</f>
        <v>58348494.811384998</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-997437.75515423715</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134297121.74012333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YsjgVmoYIZ714P2RtEkU7zSz7UPNHW3ECffLpMtiEHuDIja8fns4ojy23yfYkK2SRlUljC36h/GDvRyrAFLjw==" saltValue="a9788Q9sdZvExVMV7n2vk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76946064.683892563</v>
      </c>
      <c r="D9" s="8" t="s">
        <v>3</v>
      </c>
      <c r="E9" s="1"/>
    </row>
    <row r="10" spans="1:5" ht="15" customHeight="1" x14ac:dyDescent="0.25">
      <c r="A10" s="1"/>
      <c r="B10" s="26" t="s">
        <v>19</v>
      </c>
      <c r="C10" s="7">
        <f>SUM(C9:C9)*'Fane 15. Nøgletal'!C10</f>
        <v>5101524.0885420768</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-602437.11292196391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81445151.659512669</v>
      </c>
      <c r="D14" s="11" t="s">
        <v>3</v>
      </c>
      <c r="E14" s="1"/>
    </row>
    <row r="15" spans="1:5" x14ac:dyDescent="0.25">
      <c r="A15" s="1"/>
      <c r="B15" s="33" t="s">
        <v>12</v>
      </c>
      <c r="C15" s="28"/>
      <c r="D15" s="19"/>
      <c r="E15" s="1"/>
    </row>
    <row r="16" spans="1:5" ht="15" customHeight="1" x14ac:dyDescent="0.25">
      <c r="A16" s="1"/>
      <c r="B16" s="31" t="s">
        <v>12</v>
      </c>
      <c r="C16" s="10">
        <f>'Fane 6. Ikke-påvirkelige omk.'!C23*(1+'Fane 15. Nøgletal'!C10)^3+'Fane 6. Ikke-påvirkelige omk.'!C30+'Fane 6. Ikke-påvirkelige omk.'!C38</f>
        <v>62107729.206579834</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143552880.8660925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fiSqgNSr3kXnKVso62/k/Kq5w/221JOy+SWwcfbFVSsX8W/5eoR7xt+v51oF6IIrk5DOYCg1sdVrDsxgY7Vdg==" saltValue="kUSqFZ0hVFB63V2d0Ciqb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51350093.439413853</v>
      </c>
      <c r="D9" s="8" t="s">
        <v>3</v>
      </c>
      <c r="E9" s="1"/>
    </row>
    <row r="10" spans="1:5" ht="15" customHeight="1" x14ac:dyDescent="0.25">
      <c r="A10" s="1"/>
      <c r="B10" s="64" t="s">
        <v>35</v>
      </c>
      <c r="C10" s="7">
        <v>337650.56640000001</v>
      </c>
      <c r="D10" s="8" t="s">
        <v>3</v>
      </c>
      <c r="E10" s="1"/>
    </row>
    <row r="11" spans="1:5" ht="15" customHeight="1" x14ac:dyDescent="0.25">
      <c r="A11" s="1"/>
      <c r="B11" s="64" t="s">
        <v>36</v>
      </c>
      <c r="C11" s="9">
        <v>2622777.36</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4388290.1263577593</v>
      </c>
      <c r="D16" s="8" t="s">
        <v>3</v>
      </c>
      <c r="E16" s="1"/>
    </row>
    <row r="17" spans="1:5" ht="15" customHeight="1" x14ac:dyDescent="0.25">
      <c r="A17" s="1"/>
      <c r="B17" s="64" t="s">
        <v>10</v>
      </c>
      <c r="C17" s="38">
        <v>0</v>
      </c>
      <c r="D17" s="8" t="s">
        <v>3</v>
      </c>
      <c r="E17" s="1"/>
    </row>
    <row r="18" spans="1:5" ht="15" customHeight="1" x14ac:dyDescent="0.25">
      <c r="A18" s="1"/>
      <c r="B18" s="64" t="s">
        <v>22</v>
      </c>
      <c r="C18" s="38">
        <v>-487921.00282177329</v>
      </c>
      <c r="D18" s="8" t="s">
        <v>3</v>
      </c>
      <c r="E18" s="1"/>
    </row>
    <row r="19" spans="1:5" ht="15" customHeight="1" x14ac:dyDescent="0.25">
      <c r="A19" s="1"/>
      <c r="B19" s="64" t="s">
        <v>23</v>
      </c>
      <c r="C19" s="38">
        <v>0</v>
      </c>
      <c r="D19" s="8" t="s">
        <v>3</v>
      </c>
      <c r="E19" s="43"/>
    </row>
    <row r="20" spans="1:5" ht="15" customHeight="1" x14ac:dyDescent="0.25">
      <c r="A20" s="1"/>
      <c r="B20" s="83" t="s">
        <v>21</v>
      </c>
      <c r="C20" s="10">
        <v>58210890.489349835</v>
      </c>
      <c r="D20" s="11" t="s">
        <v>3</v>
      </c>
      <c r="E20" s="1"/>
    </row>
    <row r="21" spans="1:5" ht="15" customHeight="1" x14ac:dyDescent="0.25">
      <c r="A21" s="1"/>
      <c r="B21" s="33" t="s">
        <v>12</v>
      </c>
      <c r="C21" s="28"/>
      <c r="D21" s="19"/>
      <c r="E21" s="1"/>
    </row>
    <row r="22" spans="1:5" ht="15" customHeight="1" x14ac:dyDescent="0.25">
      <c r="A22" s="1"/>
      <c r="B22" s="31" t="s">
        <v>12</v>
      </c>
      <c r="C22" s="10">
        <v>56278414.962329596</v>
      </c>
      <c r="D22" s="11" t="s">
        <v>3</v>
      </c>
      <c r="E22" s="1"/>
    </row>
    <row r="23" spans="1:5" ht="15" customHeight="1" x14ac:dyDescent="0.25">
      <c r="A23" s="1"/>
      <c r="B23" s="33" t="s">
        <v>42</v>
      </c>
      <c r="C23" s="28"/>
      <c r="D23" s="19"/>
      <c r="E23" s="1"/>
    </row>
    <row r="24" spans="1:5" ht="15" customHeight="1" x14ac:dyDescent="0.25">
      <c r="A24" s="1"/>
      <c r="B24" s="83" t="s">
        <v>42</v>
      </c>
      <c r="C24" s="10">
        <v>0</v>
      </c>
      <c r="D24" s="11" t="s">
        <v>3</v>
      </c>
      <c r="E24" s="1"/>
    </row>
    <row r="25" spans="1:5" x14ac:dyDescent="0.25">
      <c r="A25" s="1"/>
      <c r="B25" s="41" t="s">
        <v>41</v>
      </c>
      <c r="C25" s="39"/>
      <c r="D25" s="40"/>
      <c r="E25" s="1"/>
    </row>
    <row r="26" spans="1:5" ht="15" customHeight="1" x14ac:dyDescent="0.25">
      <c r="A26" s="1"/>
      <c r="B26" s="64" t="s">
        <v>89</v>
      </c>
      <c r="C26" s="71">
        <v>222533.17843455999</v>
      </c>
      <c r="D26" s="8" t="s">
        <v>3</v>
      </c>
      <c r="E26" s="1"/>
    </row>
    <row r="27" spans="1:5" ht="15" customHeight="1" x14ac:dyDescent="0.25">
      <c r="A27" s="1"/>
      <c r="B27" s="64" t="s">
        <v>38</v>
      </c>
      <c r="C27" s="72">
        <v>0</v>
      </c>
      <c r="D27" s="8" t="s">
        <v>3</v>
      </c>
      <c r="E27" s="1"/>
    </row>
    <row r="28" spans="1:5" ht="15" customHeight="1" x14ac:dyDescent="0.25">
      <c r="A28" s="1"/>
      <c r="B28" s="64" t="s">
        <v>92</v>
      </c>
      <c r="C28" s="71">
        <v>-4450.6635686911995</v>
      </c>
      <c r="D28" s="8" t="s">
        <v>3</v>
      </c>
      <c r="E28" s="1"/>
    </row>
    <row r="29" spans="1:5" ht="15" customHeight="1" x14ac:dyDescent="0.25">
      <c r="A29" s="1"/>
      <c r="B29" s="64" t="s">
        <v>93</v>
      </c>
      <c r="C29" s="72">
        <v>0</v>
      </c>
      <c r="D29" s="8" t="s">
        <v>3</v>
      </c>
      <c r="E29" s="1"/>
    </row>
    <row r="30" spans="1:5" ht="15" customHeight="1" x14ac:dyDescent="0.25">
      <c r="A30" s="1"/>
      <c r="B30" s="67" t="s">
        <v>43</v>
      </c>
      <c r="C30" s="10">
        <v>218082.51486586878</v>
      </c>
      <c r="D30" s="11" t="s">
        <v>3</v>
      </c>
      <c r="E30" s="1"/>
    </row>
    <row r="31" spans="1:5" ht="15" customHeight="1" x14ac:dyDescent="0.25">
      <c r="A31" s="1"/>
      <c r="B31" s="33" t="s">
        <v>69</v>
      </c>
      <c r="C31" s="28"/>
      <c r="D31" s="19"/>
      <c r="E31" s="1"/>
    </row>
    <row r="32" spans="1:5" ht="15" customHeight="1" x14ac:dyDescent="0.25">
      <c r="A32" s="1"/>
      <c r="B32" s="31" t="s">
        <v>79</v>
      </c>
      <c r="C32" s="10">
        <v>-9494917.5</v>
      </c>
      <c r="D32" s="11" t="s">
        <v>3</v>
      </c>
      <c r="E32" s="1"/>
    </row>
    <row r="33" spans="1:5" x14ac:dyDescent="0.25">
      <c r="A33" s="1"/>
      <c r="B33" s="33" t="s">
        <v>128</v>
      </c>
      <c r="C33" s="28"/>
      <c r="D33" s="19"/>
      <c r="E33" s="1"/>
    </row>
    <row r="34" spans="1:5" ht="15.4" customHeight="1" x14ac:dyDescent="0.25">
      <c r="A34" s="1"/>
      <c r="B34" s="31" t="s">
        <v>128</v>
      </c>
      <c r="C34" s="10">
        <v>-614804</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104597666.4665453</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Gos2kWL3PFW3T8l06MaLzDJtVS+adlpsnZcYSpMGlq0OkuTN1/bF2C7J2Hgtxul1EFV8AwqKiDv4WiUdGTW1Ag==" saltValue="0X2p1F3bBqU+H9nKUKSOf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123</v>
      </c>
      <c r="C8" s="110"/>
      <c r="D8" s="111"/>
      <c r="E8" s="1"/>
    </row>
    <row r="9" spans="1:5" x14ac:dyDescent="0.25">
      <c r="A9" s="1"/>
      <c r="B9" s="65" t="s">
        <v>88</v>
      </c>
      <c r="C9" s="23">
        <v>24031117.408923544</v>
      </c>
      <c r="D9" s="14" t="s">
        <v>3</v>
      </c>
      <c r="E9" s="1"/>
    </row>
    <row r="10" spans="1:5" x14ac:dyDescent="0.25">
      <c r="A10" s="1"/>
      <c r="B10" s="65" t="s">
        <v>125</v>
      </c>
      <c r="C10" s="23">
        <f>('Fane 3. Omkostninger i ØR2024'!C10+'Fane 3. Omkostninger i ØR2024'!C12+'Fane 3. Omkostninger i ØR2024'!C14)*(1+'Fane 15. Nøgletal'!C9)</f>
        <v>364932.73216512002</v>
      </c>
      <c r="D10" s="14" t="s">
        <v>3</v>
      </c>
      <c r="E10" s="1"/>
    </row>
    <row r="11" spans="1:5" x14ac:dyDescent="0.25">
      <c r="A11" s="1"/>
      <c r="B11" s="65" t="s">
        <v>131</v>
      </c>
      <c r="C11" s="23">
        <f>C9*'Fane 15. Nøgletal'!C21+C10*'Fane 15. Nøgletal'!C21</f>
        <v>487921.00282177329</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25839905.972638857</v>
      </c>
      <c r="D15" s="14" t="s">
        <v>3</v>
      </c>
      <c r="E15" s="1"/>
    </row>
    <row r="16" spans="1:5" x14ac:dyDescent="0.25">
      <c r="A16" s="1"/>
      <c r="B16" s="65" t="s">
        <v>184</v>
      </c>
      <c r="C16" s="23">
        <f>('Fane 2.1. Økonomisk ramme 2025'!C10+'Fane 2.1. Økonomisk ramme 2025'!C12+'Fane 2.1. Økonomisk ramme 2025'!C14)*(1+'Fane 15. Nøgletal'!C10)</f>
        <v>557744.13976398006</v>
      </c>
      <c r="D16" s="14" t="s">
        <v>3</v>
      </c>
      <c r="E16" s="1"/>
    </row>
    <row r="17" spans="1:5" x14ac:dyDescent="0.25">
      <c r="A17" s="1"/>
      <c r="B17" s="65" t="s">
        <v>132</v>
      </c>
      <c r="C17" s="23">
        <f>C15*'Fane 15. Nøgletal'!C21+C16*'Fane 15. Nøgletal'!C21</f>
        <v>527953.0022480567</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27584858.028558046</v>
      </c>
      <c r="D21" s="14" t="s">
        <v>3</v>
      </c>
      <c r="E21" s="1"/>
    </row>
    <row r="22" spans="1:5" x14ac:dyDescent="0.25">
      <c r="A22" s="1"/>
      <c r="B22" s="65" t="s">
        <v>196</v>
      </c>
      <c r="C22" s="23">
        <f>C21*'Fane 15. Nøgletal'!C21</f>
        <v>551697.16057116096</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28825459.433534414</v>
      </c>
      <c r="D26" s="14" t="s">
        <v>3</v>
      </c>
      <c r="E26" s="1"/>
    </row>
    <row r="27" spans="1:5" x14ac:dyDescent="0.25">
      <c r="A27" s="1"/>
      <c r="B27" s="65" t="s">
        <v>194</v>
      </c>
      <c r="C27" s="23">
        <f>C26*'Fane 15. Nøgletal'!C21</f>
        <v>576509.18867068831</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30121855.646098193</v>
      </c>
      <c r="D31" s="14" t="s">
        <v>3</v>
      </c>
      <c r="E31" s="1"/>
    </row>
    <row r="32" spans="1:5" x14ac:dyDescent="0.25">
      <c r="A32" s="1"/>
      <c r="B32" s="65" t="s">
        <v>195</v>
      </c>
      <c r="C32" s="23">
        <f>C31*'Fane 15. Nøgletal'!C21</f>
        <v>602437.11292196391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waA6eRvPj/ZKtxBgUnIUMczqorH94OElYXBPD3nF49xNOZNQn7c67aHNlmgcXysLTV3DvoQekWbiq+U1KjsRg==" saltValue="lAX5B8Gn/Myx/phdgfgxv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34141198.587355375</v>
      </c>
      <c r="D9" s="14" t="s">
        <v>3</v>
      </c>
      <c r="E9" s="1"/>
    </row>
    <row r="10" spans="1:5" x14ac:dyDescent="0.25">
      <c r="A10" s="1"/>
      <c r="B10" s="65" t="s">
        <v>126</v>
      </c>
      <c r="C10" s="23">
        <f>('Fane 3. Omkostninger i ØR2024'!C11+'Fane 3. Omkostninger i ØR2024'!C13+'Fane 3. Omkostninger i ØR2024'!C15)*(1+'Fane 15. Nøgletal'!C9)</f>
        <v>2834697.7706879997</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39963548.783773273</v>
      </c>
      <c r="D15" s="14" t="s">
        <v>3</v>
      </c>
      <c r="E15" s="1"/>
    </row>
    <row r="16" spans="1:5" x14ac:dyDescent="0.25">
      <c r="A16" s="1"/>
      <c r="B16" s="65" t="s">
        <v>185</v>
      </c>
      <c r="C16" s="23">
        <f>('Fane 2.1. Økonomisk ramme 2025'!C11+'Fane 2.1. Økonomisk ramme 2025'!C13+'Fane 2.1. Økonomisk ramme 2025'!C15)*(1+'Fane 15. Nøgletal'!C10)</f>
        <v>5755214.0847583702</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48749916.846715294</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51982036.333652519</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55428445.34257368</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v6kVtngb+zuRLtdI4SybzWwwOBsF+oagSG2DcRvabfq0aWBknlCsGJ2PUuvx0JvtPVy6cXD1I5ZKSQyOldY8w==" saltValue="kgoZjzg64cC0eRT84zBQo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ZaUYypmEdUReZWQr34ALSYX0EDNScnoa9MyQ1o/SdLdi6IlhEktpEOHi+l2zPMqVwrAe0V8DMDRLMAo0dkjHtQ==" saltValue="CJF2MWylsFDPd0IyZZZbz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2024-08-21T06:57:46Z</dcterms:modified>
</cp:coreProperties>
</file>