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vendborg Vand AS (V17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4" i="11" l="1"/>
  <c r="E11" i="11"/>
  <c r="C13" i="19" l="1"/>
  <c r="E33" i="32" l="1"/>
  <c r="E39" i="32" s="1"/>
  <c r="E41" i="32" s="1"/>
  <c r="E16" i="27" l="1"/>
  <c r="E12" i="11" l="1"/>
  <c r="E13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4" i="11"/>
  <c r="C10" i="37" s="1"/>
  <c r="C12" i="37" s="1"/>
  <c r="G14" i="11"/>
  <c r="C13" i="37" l="1"/>
  <c r="C10" i="2" s="1"/>
  <c r="E11" i="21"/>
  <c r="E12" i="21" s="1"/>
  <c r="C11" i="21"/>
  <c r="C12" i="21" s="1"/>
  <c r="E11" i="29"/>
  <c r="E12" i="29" s="1"/>
  <c r="C11" i="29"/>
  <c r="C12" i="29" s="1"/>
  <c r="C14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0" i="37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<sst xmlns="http://schemas.openxmlformats.org/spreadsheetml/2006/main" count="597" uniqueCount="251">
  <si>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</si>
  <si>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</si>
  <si>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</si>
  <si>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</si>
  <si>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</si>
  <si>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</si>
  <si>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</si>
  <si>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</si>
  <si>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</si>
  <si>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</si>
  <si>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</si>
  <si>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</si>
  <si>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</si>
  <si>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</si>
  <si>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</si>
  <si>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</si>
  <si>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</si>
  <si>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</si>
  <si>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</si>
  <si>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</si>
  <si>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</si>
  <si>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</si>
  <si>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</si>
  <si>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</si>
  <si>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</si>
  <si>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</si>
  <si>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</si>
  <si>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</si>
  <si>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</si>
  <si>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</si>
  <si>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</si>
  <si>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</si>
  <si>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</si>
  <si>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</si>
  <si>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</si>
  <si>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</si>
  <si>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</si>
  <si>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</si>
  <si>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</si>
  <si>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</si>
  <si>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</si>
  <si>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</si>
  <si>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</si>
  <si>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</si>
  <si>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</si>
  <si>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</si>
  <si>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</si>
  <si>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</si>
  <si>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</si>
  <si>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</si>
  <si>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</si>
  <si>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</si>
  <si>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</si>
  <si>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</si>
  <si>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</si>
  <si>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</si>
  <si>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</si>
  <si>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</si>
  <si>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</si>
  <si>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</si>
  <si>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</si>
  <si>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</si>
  <si>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</si>
  <si>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</si>
  <si>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</si>
  <si>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</si>
  <si>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</si>
  <si>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</si>
  <si>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</si>
  <si>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</si>
  <si>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</si>
  <si>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</si>
  <si>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</si>
  <si>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</si>
  <si>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</si>
  <si>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</si>
  <si>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</si>
  <si>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</si>
  <si>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</si>
  <si>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</si>
  <si>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</si>
  <si>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</si>
  <si>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</si>
  <si>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</si>
  <si>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</si>
  <si>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</si>
  <si>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</si>
  <si>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</si>
  <si>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</si>
  <si>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</si>
  <si>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</si>
  <si>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</si>
  <si>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</si>
  <si>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</si>
  <si>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</si>
  <si>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</si>
  <si>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</si>
  <si>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</si>
  <si>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</si>
  <si>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</si>
  <si>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</si>
  <si>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</si>
  <si>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</si>
  <si>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</si>
  <si>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</si>
  <si>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</si>
  <si>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</si>
  <si>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</si>
  <si>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</si>
  <si>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</si>
  <si>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</si>
  <si>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</si>
  <si>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</si>
  <si>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</si>
  <si>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</si>
  <si>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</si>
  <si>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</si>
  <si>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</si>
  <si>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</si>
  <si>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</si>
  <si>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</si>
  <si>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</si>
  <si>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</si>
  <si>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</si>
  <si>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</si>
  <si>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</si>
  <si>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</si>
  <si>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</si>
  <si>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</si>
  <si>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</si>
  <si>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</si>
  <si>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</si>
  <si>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</si>
  <si>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</si>
  <si>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</si>
  <si>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</si>
  <si>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</si>
  <si>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</si>
  <si>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</si>
  <si>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</si>
  <si>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</si>
  <si>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</si>
  <si>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</si>
  <si>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</si>
  <si>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</si>
  <si>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</si>
  <si>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</si>
  <si>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</si>
  <si>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</si>
  <si>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</si>
  <si>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</si>
  <si>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</si>
  <si>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</si>
  <si>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</si>
  <si>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</si>
  <si>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</si>
  <si>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</si>
  <si>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</si>
  <si>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</si>
  <si>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</si>
  <si>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</si>
  <si>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</si>
  <si>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</si>
  <si>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</si>
  <si>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</si>
  <si>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</si>
  <si>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</si>
  <si>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</si>
  <si>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</si>
  <si>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</si>
  <si>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</si>
  <si>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</si>
  <si>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</si>
  <si>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</si>
  <si>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</si>
  <si>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</si>
  <si>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</si>
  <si>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</si>
  <si>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</si>
  <si>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</si>
  <si>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</si>
  <si>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</si>
  <si>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</si>
  <si>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</si>
  <si>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</si>
  <si>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</si>
  <si>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</si>
  <si>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</si>
  <si>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</si>
  <si>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</si>
  <si>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</si>
  <si>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</si>
  <si>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</si>
  <si>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</si>
  <si>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</si>
  <si>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</si>
  <si>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</si>
  <si>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</si>
  <si>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</si>
  <si>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</si>
  <si>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</si>
  <si>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</si>
  <si>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</si>
  <si>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</si>
  <si>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</si>
  <si>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</si>
  <si>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</si>
  <si>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</si>
  <si>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</si>
  <si>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</si>
  <si>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</si>
  <si>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</si>
  <si>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</si>
  <si>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</si>
  <si>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</si>
  <si>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</si>
  <si>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</si>
  <si>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</si>
  <si>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</si>
  <si>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</si>
  <si>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</si>
  <si>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</si>
  <si>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</si>
  <si>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</si>
  <si>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</si>
  <si>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</si>
  <si>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</si>
  <si>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</si>
  <si>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</si>
  <si>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</si>
  <si>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</si>
  <si>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</si>
  <si>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</si>
  <si>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</si>
  <si>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</si>
  <si>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</si>
  <si>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</si>
  <si>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Ingen tilknyttet virksomhed</t>
  </si>
  <si>
    <t>Ingen bortfald eller nedsættelse</t>
  </si>
  <si>
    <t>Udvidelse af forsyningsområdet</t>
  </si>
  <si>
    <t>Økonomisk ramme for 2024</t>
  </si>
  <si>
    <t>Beholderanlæg - højdebeholder</t>
  </si>
  <si>
    <t>50</t>
  </si>
  <si>
    <t>Rentvandsbeholder  element</t>
  </si>
  <si>
    <t>Pumpestation (inkl. evt. hydrofor)/trykforøger, Mek./EL</t>
  </si>
  <si>
    <t>25</t>
  </si>
  <si>
    <t>Pumpestation (inkl. evt. hydrofor)/trykforøger, SRO</t>
  </si>
  <si>
    <t>10</t>
  </si>
  <si>
    <t>Yderligere opkrævningsret efter § 17, stk. 10 - 2017</t>
  </si>
  <si>
    <t>Yderligere opkrævningsret efter § 17, stk. 10 - 2018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</si>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</sst>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4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4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4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4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4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4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4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4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4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0" t="s">
        <v>35</v>
      </c>
      <c r="C9" s="11" t="s">
        <v>171</v>
      </c>
      <c r="D9" s="11"/>
      <c r="E9" s="1"/>
      <c r="F9" s="1"/>
    </row>
    <row r="10" spans="1:6" x14ac:dyDescent="0.45">
      <c r="A10" s="1"/>
      <c r="B10" s="49" t="s">
        <v>234</v>
      </c>
      <c r="C10" s="9">
        <v>12296049</v>
      </c>
      <c r="D10" s="14" t="s">
        <v>3</v>
      </c>
      <c r="E10" s="1"/>
      <c r="F10" s="1"/>
    </row>
    <row r="11" spans="1:6" x14ac:dyDescent="0.45">
      <c r="A11" s="1"/>
      <c r="B11" s="49" t="s">
        <v>235</v>
      </c>
      <c r="C11" s="9">
        <v>74714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163008</v>
      </c>
      <c r="D12" s="14" t="s">
        <v>3</v>
      </c>
      <c r="E12" s="1"/>
      <c r="F12" s="1"/>
    </row>
    <row r="13" spans="1:6" x14ac:dyDescent="0.45">
      <c r="A13" s="1"/>
      <c r="B13" s="45" t="s">
        <v>169</v>
      </c>
      <c r="C13" s="12">
        <f>SUM(C10:C12)</f>
        <v>12533771</v>
      </c>
      <c r="D13" s="13" t="s">
        <v>3</v>
      </c>
      <c r="E13" s="1"/>
      <c r="F13" s="1"/>
    </row>
    <row r="14" spans="1:6" x14ac:dyDescent="0.45">
      <c r="A14" s="1"/>
      <c r="B14" s="45" t="s">
        <v>170</v>
      </c>
      <c r="C14" s="12">
        <f>C13*(1+'Fane 12. Nøgletal'!C13)^2</f>
        <v>12841460.538875639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ht="15" customHeight="1" x14ac:dyDescent="0.45">
      <c r="A5" s="1"/>
      <c r="B5" s="47"/>
      <c r="C5" s="47"/>
      <c r="D5" s="47"/>
      <c r="E5" s="47"/>
      <c r="F5" s="47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-1982101.0616666668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-431646.1987843141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-2413747.2604509806</v>
      </c>
      <c r="F9" s="17" t="s">
        <v>3</v>
      </c>
      <c r="G9" s="1"/>
    </row>
    <row r="10" spans="1:7" ht="15" customHeight="1" x14ac:dyDescent="0.45">
      <c r="A10" s="1"/>
      <c r="B10" s="45"/>
      <c r="C10" s="46"/>
      <c r="D10" s="46"/>
      <c r="E10" s="46"/>
      <c r="F10" s="20"/>
      <c r="G10" s="1"/>
    </row>
    <row r="11" spans="1:7" ht="28.5" customHeight="1" x14ac:dyDescent="0.4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40714558.1979362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39255576.789999999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1458981.4079362005</v>
      </c>
      <c r="F17" s="17" t="s">
        <v>3</v>
      </c>
      <c r="G17" s="1"/>
    </row>
    <row r="18" spans="1:7" x14ac:dyDescent="0.45">
      <c r="A18" s="1"/>
      <c r="B18" s="45"/>
      <c r="C18" s="46"/>
      <c r="D18" s="46"/>
      <c r="E18" s="46"/>
      <c r="F18" s="20"/>
      <c r="G18" s="1"/>
    </row>
    <row r="19" spans="1:7" ht="30" customHeight="1" x14ac:dyDescent="0.4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40449962.624783583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41344066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-894103.37521641701</v>
      </c>
      <c r="F25" s="17" t="s">
        <v>3</v>
      </c>
      <c r="G25" s="1"/>
    </row>
    <row r="26" spans="1:7" x14ac:dyDescent="0.45">
      <c r="A26" s="1"/>
      <c r="B26" s="45"/>
      <c r="C26" s="46"/>
      <c r="D26" s="46"/>
      <c r="E26" s="46"/>
      <c r="F26" s="20"/>
      <c r="G26" s="1"/>
    </row>
    <row r="27" spans="1:7" ht="28.5" customHeight="1" x14ac:dyDescent="0.4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38974509.032714583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40009277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-1034767.967285417</v>
      </c>
      <c r="F33" s="17" t="s">
        <v>3</v>
      </c>
      <c r="G33" s="1"/>
    </row>
    <row r="34" spans="1:7" x14ac:dyDescent="0.45">
      <c r="A34" s="1"/>
      <c r="B34" s="45"/>
      <c r="C34" s="46"/>
      <c r="D34" s="46"/>
      <c r="E34" s="46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248</v>
      </c>
      <c r="C37" s="111"/>
      <c r="D37" s="112"/>
      <c r="E37" s="9">
        <v>0</v>
      </c>
      <c r="F37" s="14"/>
      <c r="G37" s="1"/>
    </row>
    <row r="38" spans="1:7" x14ac:dyDescent="0.45">
      <c r="A38" s="1"/>
      <c r="B38" s="110" t="s">
        <v>249</v>
      </c>
      <c r="C38" s="111"/>
      <c r="D38" s="112"/>
      <c r="E38" s="9">
        <v>0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-1928871.342501834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-964435.67125091702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ht="26.65" x14ac:dyDescent="0.45">
      <c r="A10" s="1"/>
      <c r="B10" s="52" t="s">
        <v>241</v>
      </c>
      <c r="C10" s="53" t="s">
        <v>242</v>
      </c>
      <c r="D10" s="9">
        <v>8773320</v>
      </c>
      <c r="E10" s="9">
        <f>IFERROR(D10/C10,0)</f>
        <v>175466.4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52" t="s">
        <v>243</v>
      </c>
      <c r="C11" s="53" t="s">
        <v>242</v>
      </c>
      <c r="D11" s="9">
        <v>10278231</v>
      </c>
      <c r="E11" s="9">
        <f>IFERROR(D11/C11,0)</f>
        <v>205564.62</v>
      </c>
      <c r="F11" s="9">
        <v>0</v>
      </c>
      <c r="G11" s="9">
        <v>0</v>
      </c>
      <c r="H11" s="14" t="s">
        <v>3</v>
      </c>
      <c r="I11" s="1"/>
    </row>
    <row r="12" spans="1:9" ht="39.75" x14ac:dyDescent="0.45">
      <c r="A12" s="1"/>
      <c r="B12" s="52" t="s">
        <v>244</v>
      </c>
      <c r="C12" s="53" t="s">
        <v>245</v>
      </c>
      <c r="D12" s="9">
        <v>925903</v>
      </c>
      <c r="E12" s="9">
        <f t="shared" ref="E12:E13" si="0">IFERROR(D12/C12,0)</f>
        <v>37036.120000000003</v>
      </c>
      <c r="F12" s="9">
        <v>0</v>
      </c>
      <c r="G12" s="9">
        <v>0</v>
      </c>
      <c r="H12" s="14" t="s">
        <v>3</v>
      </c>
      <c r="I12" s="1"/>
    </row>
    <row r="13" spans="1:9" ht="26.65" x14ac:dyDescent="0.45">
      <c r="A13" s="1"/>
      <c r="B13" s="52" t="s">
        <v>246</v>
      </c>
      <c r="C13" s="53" t="s">
        <v>247</v>
      </c>
      <c r="D13" s="9">
        <v>349044</v>
      </c>
      <c r="E13" s="9">
        <f t="shared" si="0"/>
        <v>34904.400000000001</v>
      </c>
      <c r="F13" s="9">
        <v>0</v>
      </c>
      <c r="G13" s="9">
        <v>0</v>
      </c>
      <c r="H13" s="14" t="s">
        <v>3</v>
      </c>
      <c r="I13" s="1"/>
    </row>
    <row r="14" spans="1:9" x14ac:dyDescent="0.45">
      <c r="A14" s="1"/>
      <c r="B14" s="96" t="s">
        <v>198</v>
      </c>
      <c r="C14" s="97"/>
      <c r="D14" s="98"/>
      <c r="E14" s="12">
        <f>SUM(E10:E13)</f>
        <v>452971.54000000004</v>
      </c>
      <c r="F14" s="12">
        <f t="shared" ref="F14:G14" si="1">SUM(F10:F13)</f>
        <v>0</v>
      </c>
      <c r="G14" s="12">
        <f t="shared" si="1"/>
        <v>0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Anlægsprojekter'!F14</f>
        <v>0</v>
      </c>
      <c r="D10" s="14" t="s">
        <v>3</v>
      </c>
      <c r="E10" s="9">
        <f>SUM('Fane 8. Anlægsprojekter'!E14,'Fane 8. Anlægsprojekter'!G14)</f>
        <v>452971.54000000004</v>
      </c>
      <c r="F10" s="14" t="s">
        <v>3</v>
      </c>
      <c r="G10" s="1"/>
    </row>
    <row r="11" spans="1:7" x14ac:dyDescent="0.45">
      <c r="A11" s="1"/>
      <c r="B11" s="54" t="s">
        <v>239</v>
      </c>
      <c r="C11" s="22">
        <v>36355</v>
      </c>
      <c r="D11" s="14" t="s">
        <v>3</v>
      </c>
      <c r="E11" s="9">
        <v>6746</v>
      </c>
      <c r="F11" s="14" t="s">
        <v>3</v>
      </c>
      <c r="G11" s="1"/>
    </row>
    <row r="12" spans="1:7" x14ac:dyDescent="0.45">
      <c r="A12" s="1"/>
      <c r="B12" s="45" t="s">
        <v>48</v>
      </c>
      <c r="C12" s="12">
        <f>SUM(C10:C11)</f>
        <v>36355</v>
      </c>
      <c r="D12" s="13" t="s">
        <v>3</v>
      </c>
      <c r="E12" s="12">
        <f>SUM(E10:E11)</f>
        <v>459717.54000000004</v>
      </c>
      <c r="F12" s="13" t="s">
        <v>3</v>
      </c>
      <c r="G12" s="1"/>
    </row>
    <row r="13" spans="1:7" x14ac:dyDescent="0.45">
      <c r="A13" s="1"/>
      <c r="B13" s="45" t="s">
        <v>173</v>
      </c>
      <c r="C13" s="12">
        <f>C12*(1+'Fane 12. Nøgletal'!C13)</f>
        <v>36798.531000000003</v>
      </c>
      <c r="D13" s="13" t="s">
        <v>3</v>
      </c>
      <c r="E13" s="12">
        <f>E12*(1+'Fane 12. Nøgletal'!C13)</f>
        <v>465326.09398800001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FRu1DsLfZq63N+kV5RcvnM8D5kwAVacwSDlcxQzLQQ9Gvhl1GTfFcuGGy3V9l9m6/c9IJDtokeckEvqGUsE3Lg==" saltValue="dG96zYRK77ND7NbCFaIXC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250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25" t="s">
        <v>250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25" t="s">
        <v>250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25" t="s">
        <v>250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iVMcqFYQiderCglqaOh/f1F6CvdLT1Xyo/pltgNblrJLb+oHgJreot1d219n9vNd3ATam9ChGatuF6R+7QSaOQ==" saltValue="I9xSkdta+YgVYnUTZKBvE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1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45">
      <c r="A10" s="1"/>
      <c r="B10" s="25" t="s">
        <v>237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238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238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238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3" t="s">
        <v>211</v>
      </c>
      <c r="C3" s="83"/>
      <c r="D3" s="1"/>
    </row>
    <row r="4" spans="1:4" ht="25.5" customHeight="1" x14ac:dyDescent="0.45">
      <c r="A4" s="1"/>
      <c r="B4" s="83"/>
      <c r="C4" s="8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5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5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5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x14ac:dyDescent="0.45">
      <c r="A9" s="1"/>
      <c r="B9" s="48" t="s">
        <v>25</v>
      </c>
      <c r="C9" s="7">
        <f>'Fane 3. Omkostninger i ØR2020'!E20</f>
        <v>26787701.69429085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36798.531000000003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465326.09398800001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332935.881095202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-489805.46358924906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-251330.4008715332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-464551.55817523622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26417074.777738035</v>
      </c>
      <c r="D20" s="11" t="s">
        <v>3</v>
      </c>
      <c r="E20" s="1"/>
    </row>
    <row r="21" spans="1:5" ht="15" customHeight="1" x14ac:dyDescent="0.45">
      <c r="A21" s="1"/>
      <c r="B21" s="45" t="s">
        <v>12</v>
      </c>
      <c r="C21" s="46"/>
      <c r="D21" s="20"/>
      <c r="E21" s="1"/>
    </row>
    <row r="22" spans="1:5" ht="15" customHeight="1" x14ac:dyDescent="0.45">
      <c r="A22" s="1"/>
      <c r="B22" s="41" t="s">
        <v>12</v>
      </c>
      <c r="C22" s="10">
        <f>'Fane 6. Ikke-påvirkelige omk.'!C14</f>
        <v>12841460.538875639</v>
      </c>
      <c r="D22" s="11" t="s">
        <v>3</v>
      </c>
      <c r="E22" s="1"/>
    </row>
    <row r="23" spans="1:5" ht="15" customHeight="1" x14ac:dyDescent="0.45">
      <c r="A23" s="1"/>
      <c r="B23" s="45" t="s">
        <v>99</v>
      </c>
      <c r="C23" s="46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6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-964435.67125091702</v>
      </c>
      <c r="D28" s="11" t="s">
        <v>3</v>
      </c>
      <c r="E28" s="1"/>
    </row>
    <row r="29" spans="1:5" x14ac:dyDescent="0.45">
      <c r="A29" s="1"/>
      <c r="B29" s="45" t="s">
        <v>31</v>
      </c>
      <c r="C29" s="32">
        <f>SUM(C20,C22,C26,C28)</f>
        <v>38294099.645362757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ht="15" customHeight="1" x14ac:dyDescent="0.45">
      <c r="A9" s="1"/>
      <c r="B9" s="48" t="s">
        <v>26</v>
      </c>
      <c r="C9" s="7">
        <f>'Fane 2.1. Økonomisk ramme 2021'!C20</f>
        <v>26417074.777738035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322288.31228840403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-474141.07392251672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-249308.69912692255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-457288.06228738732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25558625.254689615</v>
      </c>
      <c r="D16" s="11" t="s">
        <v>3</v>
      </c>
      <c r="E16" s="1"/>
    </row>
    <row r="17" spans="1:5" x14ac:dyDescent="0.45">
      <c r="A17" s="1"/>
      <c r="B17" s="45" t="s">
        <v>12</v>
      </c>
      <c r="C17" s="46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omk.'!C14*(1+'Fane 12. Nøgletal'!C13)</f>
        <v>12998126.357449923</v>
      </c>
      <c r="D18" s="11" t="s">
        <v>3</v>
      </c>
      <c r="E18" s="1"/>
    </row>
    <row r="19" spans="1:5" ht="15" customHeight="1" x14ac:dyDescent="0.45">
      <c r="A19" s="1"/>
      <c r="B19" s="45" t="s">
        <v>99</v>
      </c>
      <c r="C19" s="46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6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-964435.67125091702</v>
      </c>
      <c r="D24" s="11" t="s">
        <v>3</v>
      </c>
      <c r="E24" s="1"/>
    </row>
    <row r="25" spans="1:5" x14ac:dyDescent="0.45">
      <c r="A25" s="1"/>
      <c r="B25" s="45" t="s">
        <v>32</v>
      </c>
      <c r="C25" s="12">
        <f>SUM(C16,C18,C22,C24)</f>
        <v>37592315.940888621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8" t="s">
        <v>165</v>
      </c>
      <c r="C8" s="7">
        <f>'Fane 2.2. Økonomisk ramme 2022'!C16</f>
        <v>25558625.254689615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311815.22810721333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-458733.38089855429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-247303.25995114559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-450138.13478949288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24714265.707157638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omk.'!C14*(1+'Fane 12. Nøgletal'!C13)^2</f>
        <v>13156703.499010811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5" t="s">
        <v>109</v>
      </c>
      <c r="C22" s="12">
        <f>SUM(C15,C17,C21)</f>
        <v>37870969.20616845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8" t="s">
        <v>166</v>
      </c>
      <c r="C8" s="7">
        <f>'Fane 2.3. Økonomisk ramme 2023'!C15</f>
        <v>24714265.707157638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301514.0416273232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-443578.57871050434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-245313.95252809854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-443099.99998299178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23883787.217563368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omk.'!C14*(1+'Fane 12. Nøgletal'!C13)^3</f>
        <v>13317215.281698743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5" t="s">
        <v>240</v>
      </c>
      <c r="C22" s="12">
        <f>SUM(C15,C17,C21)</f>
        <v>37201002.499262109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167</v>
      </c>
      <c r="C8" s="46"/>
      <c r="D8" s="46"/>
      <c r="E8" s="46"/>
      <c r="F8" s="20"/>
      <c r="G8" s="1"/>
    </row>
    <row r="9" spans="1:7" x14ac:dyDescent="0.45">
      <c r="A9" s="1"/>
      <c r="B9" s="84" t="s">
        <v>23</v>
      </c>
      <c r="C9" s="85"/>
      <c r="D9" s="86"/>
      <c r="E9" s="7">
        <v>27214525.007408552</v>
      </c>
      <c r="F9" s="8" t="s">
        <v>3</v>
      </c>
      <c r="G9" s="1"/>
    </row>
    <row r="10" spans="1:7" ht="15" customHeight="1" x14ac:dyDescent="0.45">
      <c r="A10" s="1"/>
      <c r="B10" s="75" t="s">
        <v>45</v>
      </c>
      <c r="C10" s="76"/>
      <c r="D10" s="77"/>
      <c r="E10" s="7">
        <v>0</v>
      </c>
      <c r="F10" s="8" t="s">
        <v>3</v>
      </c>
      <c r="G10" s="1"/>
    </row>
    <row r="11" spans="1:7" ht="15" customHeight="1" x14ac:dyDescent="0.45">
      <c r="A11" s="1"/>
      <c r="B11" s="75" t="s">
        <v>46</v>
      </c>
      <c r="C11" s="76"/>
      <c r="D11" s="77"/>
      <c r="E11" s="9">
        <v>17803.915773600002</v>
      </c>
      <c r="F11" s="8" t="s">
        <v>3</v>
      </c>
      <c r="G11" s="1"/>
    </row>
    <row r="12" spans="1:7" x14ac:dyDescent="0.4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4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4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4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45">
      <c r="A16" s="1"/>
      <c r="B16" s="75" t="s">
        <v>18</v>
      </c>
      <c r="C16" s="76"/>
      <c r="D16" s="77"/>
      <c r="E16" s="9">
        <f>E9*'Fane 12. Nøgletal'!C11+SUM(E10:E15)*'Fane 12. Nøgletal'!C12</f>
        <v>460276.2097659444</v>
      </c>
      <c r="F16" s="8" t="s">
        <v>3</v>
      </c>
      <c r="G16" s="1"/>
    </row>
    <row r="17" spans="1:7" x14ac:dyDescent="0.45">
      <c r="A17" s="1"/>
      <c r="B17" s="75" t="s">
        <v>9</v>
      </c>
      <c r="C17" s="76"/>
      <c r="D17" s="77"/>
      <c r="E17" s="9">
        <f>-SUM(E9:E16)*'Fane 5. Individuelt eff. krav'!G9</f>
        <v>-509538.89204792079</v>
      </c>
      <c r="F17" s="8" t="s">
        <v>3</v>
      </c>
      <c r="G17" s="1"/>
    </row>
    <row r="18" spans="1:7" x14ac:dyDescent="0.45">
      <c r="A18" s="1"/>
      <c r="B18" s="75" t="s">
        <v>27</v>
      </c>
      <c r="C18" s="76"/>
      <c r="D18" s="77"/>
      <c r="E18" s="9">
        <f>-'Fane 4.1. Gen. krav - drift'!G25</f>
        <v>-252617.50663332769</v>
      </c>
      <c r="F18" s="8" t="s">
        <v>3</v>
      </c>
      <c r="G18" s="1"/>
    </row>
    <row r="19" spans="1:7" x14ac:dyDescent="0.45">
      <c r="A19" s="1"/>
      <c r="B19" s="75" t="s">
        <v>28</v>
      </c>
      <c r="C19" s="76"/>
      <c r="D19" s="77"/>
      <c r="E19" s="9">
        <f>-'Fane 4.2. Gen. krav - anlæg'!G25</f>
        <v>-142747.03997600058</v>
      </c>
      <c r="F19" s="8" t="s">
        <v>3</v>
      </c>
      <c r="G19" s="1"/>
    </row>
    <row r="20" spans="1:7" x14ac:dyDescent="0.45">
      <c r="A20" s="1"/>
      <c r="B20" s="90" t="s">
        <v>20</v>
      </c>
      <c r="C20" s="91"/>
      <c r="D20" s="92"/>
      <c r="E20" s="10">
        <f>SUM(E9:E19)</f>
        <v>26787701.69429085</v>
      </c>
      <c r="F20" s="11" t="s">
        <v>3</v>
      </c>
      <c r="G20" s="1"/>
    </row>
    <row r="21" spans="1:7" x14ac:dyDescent="0.45">
      <c r="A21" s="1"/>
      <c r="B21" s="78" t="s">
        <v>12</v>
      </c>
      <c r="C21" s="79"/>
      <c r="D21" s="79"/>
      <c r="E21" s="46"/>
      <c r="F21" s="20"/>
      <c r="G21" s="1"/>
    </row>
    <row r="22" spans="1:7" x14ac:dyDescent="0.45">
      <c r="A22" s="1"/>
      <c r="B22" s="80" t="s">
        <v>12</v>
      </c>
      <c r="C22" s="81"/>
      <c r="D22" s="82"/>
      <c r="E22" s="10">
        <v>13037934.054152701</v>
      </c>
      <c r="F22" s="11" t="s">
        <v>3</v>
      </c>
      <c r="G22" s="1"/>
    </row>
    <row r="23" spans="1:7" ht="15" customHeight="1" x14ac:dyDescent="0.45">
      <c r="A23" s="1"/>
      <c r="B23" s="78" t="s">
        <v>99</v>
      </c>
      <c r="C23" s="79"/>
      <c r="D23" s="79"/>
      <c r="E23" s="46"/>
      <c r="F23" s="46"/>
      <c r="G23" s="1"/>
    </row>
    <row r="24" spans="1:7" ht="14.25" customHeight="1" x14ac:dyDescent="0.4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4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4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4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45">
      <c r="A28" s="1"/>
      <c r="B28" s="93" t="s">
        <v>229</v>
      </c>
      <c r="C28" s="94"/>
      <c r="D28" s="95"/>
      <c r="E28" s="10">
        <v>0</v>
      </c>
      <c r="F28" s="11" t="s">
        <v>3</v>
      </c>
      <c r="G28" s="1"/>
    </row>
    <row r="29" spans="1:7" x14ac:dyDescent="0.4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45">
      <c r="A30" s="1"/>
      <c r="B30" s="93" t="s">
        <v>231</v>
      </c>
      <c r="C30" s="94"/>
      <c r="D30" s="95"/>
      <c r="E30" s="10">
        <v>-477382.92625739006</v>
      </c>
      <c r="F30" s="11" t="s">
        <v>3</v>
      </c>
      <c r="G30" s="1"/>
    </row>
    <row r="31" spans="1:7" x14ac:dyDescent="0.45">
      <c r="A31" s="1"/>
      <c r="B31" s="45" t="s">
        <v>232</v>
      </c>
      <c r="C31" s="46"/>
      <c r="D31" s="46"/>
      <c r="E31" s="46"/>
      <c r="F31" s="20"/>
      <c r="G31" s="1"/>
    </row>
    <row r="32" spans="1:7" x14ac:dyDescent="0.45">
      <c r="A32" s="1"/>
      <c r="B32" s="80" t="s">
        <v>233</v>
      </c>
      <c r="C32" s="81"/>
      <c r="D32" s="82"/>
      <c r="E32" s="10">
        <v>36220.979980450997</v>
      </c>
      <c r="F32" s="11" t="s">
        <v>3</v>
      </c>
      <c r="G32" s="1"/>
    </row>
    <row r="33" spans="1:7" x14ac:dyDescent="0.45">
      <c r="A33" s="1"/>
      <c r="B33" s="45" t="s">
        <v>24</v>
      </c>
      <c r="C33" s="46"/>
      <c r="D33" s="46"/>
      <c r="E33" s="12">
        <f>SUM(E30,E26,E28,E22,E20,E32)</f>
        <v>39384473.802166611</v>
      </c>
      <c r="F33" s="13" t="s">
        <v>3</v>
      </c>
      <c r="G33" s="1"/>
    </row>
    <row r="34" spans="1:7" ht="28.15" customHeight="1" x14ac:dyDescent="0.45">
      <c r="A34" s="1"/>
      <c r="B34" s="87" t="s">
        <v>179</v>
      </c>
      <c r="C34" s="88"/>
      <c r="D34" s="88"/>
      <c r="E34" s="88"/>
      <c r="F34" s="8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12814979.532729449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256299.59065458897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12718175.177339209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254363.5035467842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12674450.091079516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0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253489.00182159033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12630875.331666384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252617.50663332769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12529272.570498459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37247.473078200004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251330.4008715332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12465434.956346128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249308.69912692255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12365162.997557279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247303.25995114559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12265697.626404926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245313.95252809854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15961109.427687902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145246.0957919599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16016724.796211019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145752.19564552029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16139192.037515054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-993705.55698701786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1072354.0161692698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141095.21232126656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16348442.279681994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18154.652914339924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142747.03997600058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16421780.861310299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471003.07233465358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464551.55817523622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16628656.810450448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457288.06228738732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16368659.44689065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450138.13478949288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16112727.272108791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443099.99998299178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1.8399817915349604E-2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1.7731950919181297E-2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2020-10-20T07:53:18Z</dcterms:modified>
</cp:coreProperties>
</file>