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BlueKolding Spildevand AS (S058)\ØR2024\"/>
    </mc:Choice>
  </mc:AlternateContent>
  <xr:revisionPtr revIDLastSave="0" documentId="13_ncr:1_{8C36E1D4-4E37-4D1A-9F04-47E765E59AA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E13" i="20" s="1"/>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<sst xmlns="http://schemas.openxmlformats.org/spreadsheetml/2006/main" count="660" uniqueCount="295">
  <si>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</si>
  <si>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</si>
  <si>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</si>
  <si>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</si>
  <si>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</si>
  <si>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</si>
  <si>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</si>
  <si>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</si>
  <si>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</si>
  <si>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</si>
  <si>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</si>
  <si>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</si>
  <si>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</si>
  <si>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</si>
  <si>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</si>
  <si>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</si>
  <si>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</si>
  <si>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</si>
  <si>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</si>
  <si>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</si>
  <si>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</si>
  <si>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</si>
  <si>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</si>
  <si>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</si>
  <si>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</si>
  <si>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</si>
  <si>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</si>
  <si>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</si>
  <si>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</si>
  <si>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</si>
  <si>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</si>
  <si>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</si>
  <si>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</si>
  <si>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</si>
  <si>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</si>
  <si>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</si>
  <si>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</si>
  <si>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</si>
  <si>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</si>
  <si>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</si>
  <si>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</si>
  <si>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</si>
  <si>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</si>
  <si>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</si>
  <si>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</si>
  <si>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</si>
  <si>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</si>
  <si>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</si>
  <si>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</si>
  <si>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</si>
  <si>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</si>
  <si>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</si>
  <si>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</si>
  <si>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</si>
  <si>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</si>
  <si>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</si>
  <si>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</si>
  <si>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</si>
  <si>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</si>
  <si>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</si>
  <si>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</si>
  <si>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</si>
  <si>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</si>
  <si>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</si>
  <si>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</si>
  <si>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</si>
  <si>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</si>
  <si>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</si>
  <si>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</si>
  <si>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</si>
  <si>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</si>
  <si>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</si>
  <si>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</si>
  <si>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</si>
  <si>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</si>
  <si>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</si>
  <si>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</si>
  <si>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</si>
  <si>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</si>
  <si>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</si>
  <si>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</si>
  <si>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</si>
  <si>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</si>
  <si>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</si>
  <si>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</si>
  <si>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</si>
  <si>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</si>
  <si>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</si>
  <si>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</si>
  <si>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</si>
  <si>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</si>
  <si>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</si>
  <si>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</si>
  <si>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</si>
  <si>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</si>
  <si>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</si>
  <si>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</si>
  <si>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</si>
  <si>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</si>
  <si>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</si>
  <si>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</si>
  <si>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</si>
  <si>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</si>
  <si>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</si>
  <si>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</si>
  <si>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</si>
  <si>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</si>
  <si>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</si>
  <si>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</si>
  <si>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</si>
  <si>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</si>
  <si>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</si>
  <si>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</si>
  <si>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</si>
  <si>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</si>
  <si>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</si>
  <si>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</si>
  <si>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</si>
  <si>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</si>
  <si>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</si>
  <si>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</si>
  <si>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</si>
  <si>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</si>
  <si>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</si>
  <si>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</si>
  <si>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</si>
  <si>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</si>
  <si>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</si>
  <si>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</si>
  <si>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</si>
  <si>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</si>
  <si>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</si>
  <si>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</si>
  <si>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</si>
  <si>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</si>
  <si>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</si>
  <si>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</si>
  <si>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</si>
  <si>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</si>
  <si>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</si>
  <si>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</si>
  <si>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</si>
  <si>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</si>
  <si>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</si>
  <si>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</si>
  <si>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</si>
  <si>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</si>
  <si>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</si>
  <si>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</si>
  <si>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</si>
  <si>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</si>
  <si>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</si>
  <si>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</si>
  <si>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</si>
  <si>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</si>
  <si>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</si>
  <si>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</si>
  <si>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</si>
  <si>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</si>
  <si>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</si>
  <si>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</si>
  <si>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</si>
  <si>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</si>
  <si>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</si>
  <si>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</si>
  <si>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</si>
  <si>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</si>
  <si>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</si>
  <si>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</si>
  <si>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</si>
  <si>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</si>
  <si>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</si>
  <si>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</si>
  <si>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</si>
  <si>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</si>
  <si>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</si>
  <si>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</si>
  <si>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</si>
  <si>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</si>
  <si>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</si>
  <si>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</si>
  <si>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</si>
  <si>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</si>
  <si>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</si>
  <si>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</si>
  <si>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</si>
  <si>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</si>
  <si>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</si>
  <si>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</si>
  <si>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</si>
  <si>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</si>
  <si>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</si>
  <si>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</si>
  <si>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</si>
  <si>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</si>
  <si>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</si>
  <si>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</si>
  <si>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</si>
  <si>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</si>
  <si>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</si>
  <si>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</si>
  <si>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</si>
  <si>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</si>
  <si>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</si>
  <si>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</si>
  <si>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</si>
  <si>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</si>
  <si>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</si>
  <si>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</si>
  <si>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</si>
  <si>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</si>
  <si>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</si>
  <si>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</si>
  <si>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</si>
  <si>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</si>
  <si>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</si>
  <si>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</si>
  <si>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</si>
  <si>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</si>
  <si>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</si>
  <si>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</si>
  <si>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</si>
  <si>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</si>
  <si>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</si>
  <si>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</si>
  <si>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</si>
  <si>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</si>
  <si>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</si>
  <si>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</si>
  <si>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</si>
  <si>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</si>
  <si>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</si>
  <si>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</si>
  <si>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</si>
  <si>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</si>
  <si>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</si>
  <si>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</si>
  <si>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</si>
  <si>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</si>
  <si>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</si>
  <si>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</si>
  <si>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</si>
  <si>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</si>
  <si>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</si>
  <si>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</si>
  <si>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</si>
  <si>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</si>
  <si>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</si>
  <si>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</si>
  <si>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</si>
  <si>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</si>
  <si>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</si>
  <si>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</si>
  <si>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</si>
  <si>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</si>
  <si>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</si>
  <si>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</si>
  <si>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</si>
  <si>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</si>
  <si>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</si>
  <si>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</si>
  <si>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</si>
  <si>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</si>
  <si>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</si>
  <si>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</si>
  <si>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Ø 500 mm &lt; Ledningsnet ≤ Ø 800 mm</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</si>
  <si>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</si>
  <si>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</si>
  <si>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</si>
  <si>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</si>
  <si>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</si>
  <si>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</si>
  <si>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</si>
  <si>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</si>
  <si>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</si>
  <si>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</si>
  <si>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Tjenestemandspensioner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</si>
  <si>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</si>
  <si>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</si>
  <si>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</si>
  <si>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</si>
  <si>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</si>
  <si>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</si>
  <si>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</si>
  <si>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</si>
  <si>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</si>
  <si>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</si>
  <si>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</si>
  <si>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</si>
  <si>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Udvidelse af forsyningsområdet - 2022</t>
  </si>
  <si>
    <t>Ingen engangstillæg</t>
  </si>
  <si>
    <t>Separatkloakering</t>
  </si>
  <si>
    <t>ANL2203</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</si>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</sst>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252</v>
      </c>
      <c r="E8" s="104"/>
      <c r="F8" s="104"/>
      <c r="G8" s="104"/>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6" t="s">
        <v>197</v>
      </c>
      <c r="E14" s="97"/>
      <c r="F14" s="97"/>
      <c r="G14" s="98"/>
      <c r="H14" s="5"/>
      <c r="I14" s="1"/>
    </row>
    <row r="15" spans="1:9" x14ac:dyDescent="0.25">
      <c r="A15" s="1"/>
      <c r="B15" s="1"/>
      <c r="C15" s="6" t="s">
        <v>31</v>
      </c>
      <c r="D15" s="96" t="s">
        <v>262</v>
      </c>
      <c r="E15" s="97"/>
      <c r="F15" s="97"/>
      <c r="G15" s="98"/>
      <c r="H15" s="5"/>
      <c r="I15" s="1"/>
    </row>
    <row r="16" spans="1:9" x14ac:dyDescent="0.25">
      <c r="A16" s="1"/>
      <c r="B16" s="1"/>
      <c r="C16" s="6" t="s">
        <v>32</v>
      </c>
      <c r="D16" s="96" t="s">
        <v>263</v>
      </c>
      <c r="E16" s="97"/>
      <c r="F16" s="97"/>
      <c r="G16" s="98"/>
      <c r="H16" s="5"/>
      <c r="I16" s="1"/>
    </row>
    <row r="17" spans="1:9" x14ac:dyDescent="0.25">
      <c r="A17" s="1"/>
      <c r="B17" s="1"/>
      <c r="C17" s="6" t="s">
        <v>101</v>
      </c>
      <c r="D17" s="96" t="s">
        <v>198</v>
      </c>
      <c r="E17" s="97"/>
      <c r="F17" s="97"/>
      <c r="G17" s="98"/>
      <c r="H17" s="5"/>
      <c r="I17" s="1"/>
    </row>
    <row r="18" spans="1:9" x14ac:dyDescent="0.25">
      <c r="A18" s="1"/>
      <c r="B18" s="1"/>
      <c r="C18" s="6" t="s">
        <v>88</v>
      </c>
      <c r="D18" s="93" t="s">
        <v>79</v>
      </c>
      <c r="E18" s="94"/>
      <c r="F18" s="94"/>
      <c r="G18" s="95"/>
      <c r="H18" s="5"/>
      <c r="I18" s="1"/>
    </row>
    <row r="19" spans="1:9" x14ac:dyDescent="0.25">
      <c r="A19" s="1"/>
      <c r="B19" s="1"/>
      <c r="C19" s="6" t="s">
        <v>89</v>
      </c>
      <c r="D19" s="93" t="s">
        <v>80</v>
      </c>
      <c r="E19" s="94"/>
      <c r="F19" s="94"/>
      <c r="G19" s="95"/>
      <c r="H19" s="5"/>
      <c r="I19" s="1"/>
    </row>
    <row r="20" spans="1:9" x14ac:dyDescent="0.25">
      <c r="A20" s="1"/>
      <c r="B20" s="1"/>
      <c r="C20" s="6" t="s">
        <v>7</v>
      </c>
      <c r="D20" s="93" t="s">
        <v>10</v>
      </c>
      <c r="E20" s="94"/>
      <c r="F20" s="94"/>
      <c r="G20" s="95"/>
      <c r="H20" s="5"/>
      <c r="I20" s="1"/>
    </row>
    <row r="21" spans="1:9" x14ac:dyDescent="0.25">
      <c r="A21" s="1"/>
      <c r="B21" s="1"/>
      <c r="C21" s="6" t="s">
        <v>90</v>
      </c>
      <c r="D21" s="100" t="s">
        <v>12</v>
      </c>
      <c r="E21" s="101"/>
      <c r="F21" s="101"/>
      <c r="G21" s="102"/>
      <c r="H21" s="5"/>
      <c r="I21" s="1"/>
    </row>
    <row r="22" spans="1:9" x14ac:dyDescent="0.25">
      <c r="A22" s="1"/>
      <c r="B22" s="1"/>
      <c r="C22" s="6" t="s">
        <v>71</v>
      </c>
      <c r="D22" s="87" t="s">
        <v>199</v>
      </c>
      <c r="E22" s="88"/>
      <c r="F22" s="88"/>
      <c r="G22" s="89"/>
      <c r="H22" s="5"/>
      <c r="I22" s="1"/>
    </row>
    <row r="23" spans="1:9" x14ac:dyDescent="0.25">
      <c r="A23" s="1"/>
      <c r="B23" s="1"/>
      <c r="C23" s="6" t="s">
        <v>8</v>
      </c>
      <c r="D23" s="87" t="s">
        <v>181</v>
      </c>
      <c r="E23" s="88"/>
      <c r="F23" s="88"/>
      <c r="G23" s="89"/>
      <c r="H23" s="5"/>
      <c r="I23" s="1"/>
    </row>
    <row r="24" spans="1:9" x14ac:dyDescent="0.25">
      <c r="A24" s="1"/>
      <c r="B24" s="1"/>
      <c r="C24" s="6" t="s">
        <v>9</v>
      </c>
      <c r="D24" s="87" t="s">
        <v>200</v>
      </c>
      <c r="E24" s="88"/>
      <c r="F24" s="88"/>
      <c r="G24" s="89"/>
      <c r="H24" s="5"/>
      <c r="I24" s="1"/>
    </row>
    <row r="25" spans="1:9" x14ac:dyDescent="0.25">
      <c r="A25" s="1"/>
      <c r="B25" s="1"/>
      <c r="C25" s="6" t="s">
        <v>166</v>
      </c>
      <c r="D25" s="87" t="s">
        <v>160</v>
      </c>
      <c r="E25" s="88"/>
      <c r="F25" s="88"/>
      <c r="G25" s="89"/>
      <c r="H25" s="1"/>
      <c r="I25" s="1"/>
    </row>
    <row r="26" spans="1:9" x14ac:dyDescent="0.25">
      <c r="A26" s="1"/>
      <c r="B26" s="1"/>
      <c r="C26" s="6" t="s">
        <v>167</v>
      </c>
      <c r="D26" s="87" t="s">
        <v>72</v>
      </c>
      <c r="E26" s="88"/>
      <c r="F26" s="88"/>
      <c r="G26" s="89"/>
      <c r="H26" s="1"/>
      <c r="I26" s="1"/>
    </row>
    <row r="27" spans="1:9" x14ac:dyDescent="0.25">
      <c r="A27" s="1"/>
      <c r="B27" s="1"/>
      <c r="C27" s="6" t="s">
        <v>168</v>
      </c>
      <c r="D27" s="87" t="s">
        <v>73</v>
      </c>
      <c r="E27" s="88"/>
      <c r="F27" s="88"/>
      <c r="G27" s="89"/>
      <c r="H27" s="1"/>
      <c r="I27" s="1"/>
    </row>
    <row r="28" spans="1:9" x14ac:dyDescent="0.25">
      <c r="A28" s="1"/>
      <c r="B28" s="1"/>
      <c r="C28" s="6" t="s">
        <v>15</v>
      </c>
      <c r="D28" s="87" t="s">
        <v>74</v>
      </c>
      <c r="E28" s="88"/>
      <c r="F28" s="88"/>
      <c r="G28" s="89"/>
      <c r="H28" s="1"/>
      <c r="I28" s="1"/>
    </row>
    <row r="29" spans="1:9" x14ac:dyDescent="0.25">
      <c r="A29" s="1"/>
      <c r="B29" s="1"/>
      <c r="C29" s="6" t="s">
        <v>34</v>
      </c>
      <c r="D29" s="87" t="s">
        <v>114</v>
      </c>
      <c r="E29" s="88"/>
      <c r="F29" s="88"/>
      <c r="G29" s="89"/>
      <c r="H29" s="1"/>
      <c r="I29" s="1"/>
    </row>
    <row r="30" spans="1:9" x14ac:dyDescent="0.25">
      <c r="A30" s="1"/>
      <c r="B30" s="1"/>
      <c r="C30" s="6" t="s">
        <v>35</v>
      </c>
      <c r="D30" s="87" t="s">
        <v>33</v>
      </c>
      <c r="E30" s="88"/>
      <c r="F30" s="88"/>
      <c r="G30" s="89"/>
      <c r="H30" s="1"/>
      <c r="I30" s="1"/>
    </row>
    <row r="31" spans="1:9" x14ac:dyDescent="0.25">
      <c r="A31" s="1"/>
      <c r="B31" s="1"/>
      <c r="C31" s="6" t="s">
        <v>169</v>
      </c>
      <c r="D31" s="90" t="s">
        <v>87</v>
      </c>
      <c r="E31" s="91"/>
      <c r="F31" s="91"/>
      <c r="G31" s="9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0BAAfsKcosYzq/Nl8vwb85w5xylgoKhepfcElBEWKWaXUHIFXTBJyOUk+D8YTLbfMM1WDMvDe09l16Hof1qB9g==" saltValue="AA617eFHqdDhDTBBtfj+4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93</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224</v>
      </c>
      <c r="C8" s="113"/>
      <c r="D8" s="114"/>
      <c r="E8" s="1"/>
      <c r="F8" s="1"/>
    </row>
    <row r="9" spans="1:6" ht="15" customHeight="1" x14ac:dyDescent="0.25">
      <c r="A9" s="1"/>
      <c r="B9" s="27" t="s">
        <v>29</v>
      </c>
      <c r="C9" s="50" t="s">
        <v>225</v>
      </c>
      <c r="D9" s="11"/>
      <c r="E9" s="1"/>
      <c r="F9" s="1"/>
    </row>
    <row r="10" spans="1:6" ht="15" customHeight="1" x14ac:dyDescent="0.25">
      <c r="A10" s="1"/>
      <c r="B10" s="79" t="s">
        <v>272</v>
      </c>
      <c r="C10" s="9">
        <v>3115700</v>
      </c>
      <c r="D10" s="14" t="s">
        <v>3</v>
      </c>
      <c r="E10" s="1"/>
      <c r="F10" s="1"/>
    </row>
    <row r="11" spans="1:6" ht="15" customHeight="1" x14ac:dyDescent="0.25">
      <c r="A11" s="1"/>
      <c r="B11" s="79" t="s">
        <v>273</v>
      </c>
      <c r="C11" s="9">
        <v>163061</v>
      </c>
      <c r="D11" s="14" t="s">
        <v>3</v>
      </c>
      <c r="E11" s="1"/>
      <c r="F11" s="1"/>
    </row>
    <row r="12" spans="1:6" ht="26.25" x14ac:dyDescent="0.25">
      <c r="A12" s="1"/>
      <c r="B12" s="29" t="s">
        <v>274</v>
      </c>
      <c r="C12" s="9">
        <v>333600</v>
      </c>
      <c r="D12" s="14" t="s">
        <v>3</v>
      </c>
      <c r="E12" s="1"/>
      <c r="F12" s="1"/>
    </row>
    <row r="13" spans="1:6" x14ac:dyDescent="0.25">
      <c r="A13" s="1"/>
      <c r="B13" s="79" t="s">
        <v>275</v>
      </c>
      <c r="C13" s="9">
        <v>458871</v>
      </c>
      <c r="D13" s="14" t="s">
        <v>3</v>
      </c>
      <c r="E13" s="1"/>
      <c r="F13" s="1"/>
    </row>
    <row r="14" spans="1:6" x14ac:dyDescent="0.25">
      <c r="A14" s="1"/>
      <c r="B14" s="79" t="s">
        <v>276</v>
      </c>
      <c r="C14" s="9">
        <v>122426</v>
      </c>
      <c r="D14" s="14" t="s">
        <v>3</v>
      </c>
      <c r="E14" s="1"/>
      <c r="F14" s="1"/>
    </row>
    <row r="15" spans="1:6" x14ac:dyDescent="0.25">
      <c r="A15" s="1"/>
      <c r="B15" s="79"/>
      <c r="C15" s="9"/>
      <c r="D15" s="14" t="s">
        <v>3</v>
      </c>
      <c r="E15" s="1"/>
      <c r="F15" s="1"/>
    </row>
    <row r="16" spans="1:6" x14ac:dyDescent="0.25">
      <c r="A16" s="1"/>
      <c r="B16" s="79"/>
      <c r="C16" s="9"/>
      <c r="D16" s="14" t="s">
        <v>3</v>
      </c>
      <c r="E16" s="1"/>
      <c r="F16" s="1"/>
    </row>
    <row r="17" spans="1:6" x14ac:dyDescent="0.25">
      <c r="A17" s="1"/>
      <c r="B17" s="79"/>
      <c r="C17" s="9"/>
      <c r="D17" s="14" t="s">
        <v>3</v>
      </c>
      <c r="E17" s="1"/>
      <c r="F17" s="1"/>
    </row>
    <row r="18" spans="1:6" x14ac:dyDescent="0.25">
      <c r="A18" s="1"/>
      <c r="B18" s="79"/>
      <c r="C18" s="9"/>
      <c r="D18" s="14" t="s">
        <v>3</v>
      </c>
      <c r="E18" s="1"/>
      <c r="F18" s="1"/>
    </row>
    <row r="19" spans="1:6" x14ac:dyDescent="0.25">
      <c r="A19" s="1"/>
      <c r="B19" s="79"/>
      <c r="C19" s="9"/>
      <c r="D19" s="14" t="s">
        <v>3</v>
      </c>
      <c r="E19" s="1"/>
      <c r="F19" s="1"/>
    </row>
    <row r="20" spans="1:6" x14ac:dyDescent="0.25">
      <c r="A20" s="1"/>
      <c r="B20" s="33" t="s">
        <v>226</v>
      </c>
      <c r="C20" s="12">
        <f>SUM(C10:C19)</f>
        <v>4193658</v>
      </c>
      <c r="D20" s="13" t="s">
        <v>3</v>
      </c>
      <c r="E20" s="1"/>
      <c r="F20" s="1"/>
    </row>
    <row r="21" spans="1:6" x14ac:dyDescent="0.25">
      <c r="A21" s="1"/>
      <c r="B21" s="33" t="s">
        <v>227</v>
      </c>
      <c r="C21" s="12">
        <f>C20*(1+'Fane 15. Nøgletal'!C16)^2</f>
        <v>4898732.0161651196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2" t="s">
        <v>99</v>
      </c>
      <c r="C24" s="113"/>
      <c r="D24" s="114"/>
      <c r="E24" s="1"/>
      <c r="F24" s="1"/>
    </row>
    <row r="25" spans="1:6" x14ac:dyDescent="0.25">
      <c r="A25" s="1"/>
      <c r="B25" s="79" t="s">
        <v>109</v>
      </c>
      <c r="C25" s="9">
        <v>656886</v>
      </c>
      <c r="D25" s="14" t="s">
        <v>3</v>
      </c>
      <c r="E25" s="1"/>
      <c r="F25" s="1"/>
    </row>
    <row r="26" spans="1:6" x14ac:dyDescent="0.25">
      <c r="A26" s="1"/>
      <c r="B26" s="79" t="s">
        <v>123</v>
      </c>
      <c r="C26" s="9">
        <v>656886</v>
      </c>
      <c r="D26" s="14" t="s">
        <v>3</v>
      </c>
      <c r="E26" s="1"/>
      <c r="F26" s="1"/>
    </row>
    <row r="27" spans="1:6" x14ac:dyDescent="0.25">
      <c r="A27" s="1"/>
      <c r="B27" s="79" t="s">
        <v>142</v>
      </c>
      <c r="C27" s="9">
        <v>656886</v>
      </c>
      <c r="D27" s="14" t="s">
        <v>3</v>
      </c>
      <c r="E27" s="1"/>
      <c r="F27" s="1"/>
    </row>
    <row r="28" spans="1:6" x14ac:dyDescent="0.25">
      <c r="A28" s="1"/>
      <c r="B28" s="34" t="s">
        <v>261</v>
      </c>
      <c r="C28" s="9">
        <v>656886</v>
      </c>
      <c r="D28" s="38" t="s">
        <v>3</v>
      </c>
      <c r="E28" s="1"/>
      <c r="F28" s="1"/>
    </row>
    <row r="29" spans="1:6" x14ac:dyDescent="0.25">
      <c r="A29" s="1"/>
      <c r="B29" s="112"/>
      <c r="C29" s="113"/>
      <c r="D29" s="114"/>
      <c r="E29" s="1"/>
      <c r="F29" s="1"/>
    </row>
    <row r="30" spans="1:6" x14ac:dyDescent="0.25">
      <c r="A30" s="1"/>
      <c r="B30" s="1"/>
      <c r="C30" s="1"/>
      <c r="D30" s="1"/>
      <c r="E30" s="1"/>
      <c r="F30" s="1"/>
    </row>
    <row r="31" spans="1:6" x14ac:dyDescent="0.25">
      <c r="A31" s="1"/>
      <c r="B31" s="1"/>
      <c r="C31" s="1"/>
      <c r="D31" s="1"/>
      <c r="E31" s="1"/>
      <c r="F31" s="1"/>
    </row>
    <row r="32" spans="1:6" x14ac:dyDescent="0.25">
      <c r="A32" s="1"/>
      <c r="B32" s="112" t="s">
        <v>81</v>
      </c>
      <c r="C32" s="113"/>
      <c r="D32" s="114"/>
      <c r="E32" s="1"/>
      <c r="F32" s="1"/>
    </row>
    <row r="33" spans="1:6" x14ac:dyDescent="0.25">
      <c r="A33" s="1"/>
      <c r="B33" s="79" t="s">
        <v>109</v>
      </c>
      <c r="C33" s="9">
        <v>5819950</v>
      </c>
      <c r="D33" s="14" t="s">
        <v>3</v>
      </c>
      <c r="E33" s="1"/>
      <c r="F33" s="1"/>
    </row>
    <row r="34" spans="1:6" x14ac:dyDescent="0.25">
      <c r="A34" s="1"/>
      <c r="B34" s="79" t="s">
        <v>123</v>
      </c>
      <c r="C34" s="9">
        <v>0</v>
      </c>
      <c r="D34" s="14" t="s">
        <v>3</v>
      </c>
      <c r="E34" s="1"/>
      <c r="F34" s="1"/>
    </row>
    <row r="35" spans="1:6" x14ac:dyDescent="0.25">
      <c r="A35" s="1"/>
      <c r="B35" s="79" t="s">
        <v>142</v>
      </c>
      <c r="C35" s="9">
        <v>0</v>
      </c>
      <c r="D35" s="14" t="s">
        <v>3</v>
      </c>
      <c r="E35" s="1"/>
      <c r="F35" s="1"/>
    </row>
    <row r="36" spans="1:6" x14ac:dyDescent="0.25">
      <c r="A36" s="1"/>
      <c r="B36" s="34" t="s">
        <v>261</v>
      </c>
      <c r="C36" s="9">
        <v>0</v>
      </c>
      <c r="D36" s="38" t="s">
        <v>3</v>
      </c>
      <c r="E36" s="1"/>
      <c r="F36" s="1"/>
    </row>
    <row r="37" spans="1:6" x14ac:dyDescent="0.25">
      <c r="A37" s="1"/>
      <c r="B37" s="112"/>
      <c r="C37" s="113"/>
      <c r="D37" s="114"/>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e0VsNmIGH1lb6xN0/EsWZ+gyWECeSvbU/taal2lOOlce7sGSNizJFjwpnkm+UeglIgiceDpA7shGmOeHL5ct3A==" saltValue="v50NeCvfVU/aATdFKq9Ai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8B5E-E4C1-4749-845F-6371633A0A2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206</v>
      </c>
      <c r="C3" s="110"/>
      <c r="D3" s="110"/>
      <c r="E3" s="110"/>
      <c r="F3" s="110"/>
      <c r="G3" s="1"/>
    </row>
    <row r="4" spans="1:7" ht="15" customHeight="1" x14ac:dyDescent="0.25">
      <c r="A4" s="1"/>
      <c r="B4" s="110"/>
      <c r="C4" s="110"/>
      <c r="D4" s="110"/>
      <c r="E4" s="110"/>
      <c r="F4" s="110"/>
      <c r="G4" s="1"/>
    </row>
    <row r="5" spans="1:7" ht="15" customHeight="1" x14ac:dyDescent="0.25">
      <c r="A5" s="1"/>
      <c r="B5" s="72"/>
      <c r="C5" s="72"/>
      <c r="D5" s="72"/>
      <c r="E5" s="72"/>
      <c r="F5" s="72"/>
      <c r="G5" s="1"/>
    </row>
    <row r="6" spans="1:7" ht="15" customHeight="1" x14ac:dyDescent="0.25">
      <c r="A6" s="1"/>
      <c r="B6" s="72"/>
      <c r="C6" s="72"/>
      <c r="D6" s="72"/>
      <c r="E6" s="72"/>
      <c r="F6" s="72"/>
      <c r="G6" s="1"/>
    </row>
    <row r="7" spans="1:7" ht="15" customHeight="1" x14ac:dyDescent="0.25">
      <c r="A7" s="1"/>
      <c r="B7" s="1"/>
      <c r="C7" s="1"/>
      <c r="D7" s="1"/>
      <c r="E7" s="1"/>
      <c r="F7" s="1"/>
      <c r="G7" s="1"/>
    </row>
    <row r="8" spans="1:7" ht="15" customHeight="1" x14ac:dyDescent="0.25">
      <c r="A8" s="1"/>
      <c r="B8" s="112" t="s">
        <v>137</v>
      </c>
      <c r="C8" s="113"/>
      <c r="D8" s="113"/>
      <c r="E8" s="113"/>
      <c r="F8" s="114"/>
      <c r="G8" s="1"/>
    </row>
    <row r="9" spans="1:7" ht="15" customHeight="1" x14ac:dyDescent="0.25">
      <c r="A9" s="1"/>
      <c r="B9" s="115" t="s">
        <v>277</v>
      </c>
      <c r="C9" s="116"/>
      <c r="D9" s="117"/>
      <c r="E9" s="9">
        <v>-30563715</v>
      </c>
      <c r="F9" s="14" t="s">
        <v>3</v>
      </c>
      <c r="G9" s="1"/>
    </row>
    <row r="10" spans="1:7" ht="15" customHeight="1" x14ac:dyDescent="0.25">
      <c r="A10" s="1"/>
      <c r="B10" s="115" t="s">
        <v>143</v>
      </c>
      <c r="C10" s="116"/>
      <c r="D10" s="117"/>
      <c r="E10" s="9">
        <v>-15852565</v>
      </c>
      <c r="F10" s="14" t="s">
        <v>3</v>
      </c>
      <c r="G10" s="1"/>
    </row>
    <row r="11" spans="1:7" ht="15" customHeight="1" x14ac:dyDescent="0.25">
      <c r="A11" s="1"/>
      <c r="B11" s="115" t="s">
        <v>278</v>
      </c>
      <c r="C11" s="116"/>
      <c r="D11" s="117"/>
      <c r="E11" s="9">
        <v>-11233693</v>
      </c>
      <c r="F11" s="14" t="s">
        <v>3</v>
      </c>
      <c r="G11" s="1"/>
    </row>
    <row r="12" spans="1:7" x14ac:dyDescent="0.25">
      <c r="A12" s="1"/>
      <c r="B12" s="33"/>
      <c r="C12" s="28"/>
      <c r="D12" s="28"/>
      <c r="E12" s="28"/>
      <c r="F12" s="19"/>
      <c r="G12" s="1"/>
    </row>
    <row r="13" spans="1:7" ht="42" customHeight="1" x14ac:dyDescent="0.25">
      <c r="A13" s="1"/>
      <c r="B13" s="124" t="s">
        <v>279</v>
      </c>
      <c r="C13" s="125"/>
      <c r="D13" s="125"/>
      <c r="E13" s="125"/>
      <c r="F13" s="126"/>
      <c r="G13" s="1"/>
    </row>
    <row r="14" spans="1:7" ht="15" customHeight="1" x14ac:dyDescent="0.25">
      <c r="A14" s="1"/>
      <c r="B14" s="1"/>
      <c r="C14" s="1"/>
      <c r="D14" s="1"/>
      <c r="E14" s="1"/>
      <c r="F14" s="1"/>
      <c r="G14" s="1"/>
    </row>
    <row r="15" spans="1:7" x14ac:dyDescent="0.25">
      <c r="A15" s="1"/>
      <c r="B15" s="73" t="s">
        <v>280</v>
      </c>
      <c r="C15" s="74"/>
      <c r="D15" s="74"/>
      <c r="E15" s="74"/>
      <c r="F15" s="75"/>
      <c r="G15" s="1"/>
    </row>
    <row r="16" spans="1:7" x14ac:dyDescent="0.25">
      <c r="A16" s="1"/>
      <c r="B16" s="76" t="s">
        <v>281</v>
      </c>
      <c r="C16" s="77"/>
      <c r="D16" s="78"/>
      <c r="E16" s="9">
        <f>IF(E11&lt;0,E11,0)</f>
        <v>-11233693</v>
      </c>
      <c r="F16" s="14" t="s">
        <v>3</v>
      </c>
      <c r="G16" s="1"/>
    </row>
    <row r="17" spans="1:7" x14ac:dyDescent="0.25">
      <c r="A17" s="1"/>
      <c r="B17" s="76" t="s">
        <v>282</v>
      </c>
      <c r="C17" s="77"/>
      <c r="D17" s="78"/>
      <c r="E17" s="9">
        <f>IF(SUM(E10)&gt;0,SUM(E10),0)</f>
        <v>0</v>
      </c>
      <c r="F17" s="14" t="s">
        <v>3</v>
      </c>
      <c r="G17" s="1"/>
    </row>
    <row r="18" spans="1:7" x14ac:dyDescent="0.25">
      <c r="A18" s="1"/>
      <c r="B18" s="80" t="s">
        <v>283</v>
      </c>
      <c r="C18" s="81"/>
      <c r="D18" s="82"/>
      <c r="E18" s="62">
        <f>IF(SUM(E16:E17)&gt;0,0,SUM(E16:E17))</f>
        <v>-11233693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3" t="s">
        <v>284</v>
      </c>
      <c r="C21" s="74"/>
      <c r="D21" s="74"/>
      <c r="E21" s="74"/>
      <c r="F21" s="75"/>
      <c r="G21" s="1"/>
    </row>
    <row r="22" spans="1:7" x14ac:dyDescent="0.25">
      <c r="A22" s="1"/>
      <c r="B22" s="76" t="s">
        <v>285</v>
      </c>
      <c r="C22" s="77"/>
      <c r="D22" s="78"/>
      <c r="E22" s="9">
        <v>144424777</v>
      </c>
      <c r="F22" s="14" t="s">
        <v>3</v>
      </c>
      <c r="G22" s="1"/>
    </row>
    <row r="23" spans="1:7" x14ac:dyDescent="0.25">
      <c r="A23" s="1"/>
      <c r="B23" s="76" t="s">
        <v>286</v>
      </c>
      <c r="C23" s="77"/>
      <c r="D23" s="78"/>
      <c r="E23" s="9">
        <v>176253410</v>
      </c>
      <c r="F23" s="14" t="s">
        <v>3</v>
      </c>
      <c r="G23" s="1"/>
    </row>
    <row r="24" spans="1:7" x14ac:dyDescent="0.25">
      <c r="A24" s="1"/>
      <c r="B24" s="76" t="s">
        <v>30</v>
      </c>
      <c r="C24" s="77"/>
      <c r="D24" s="78"/>
      <c r="E24" s="9">
        <v>0</v>
      </c>
      <c r="F24" s="14" t="s">
        <v>3</v>
      </c>
      <c r="G24" s="1"/>
    </row>
    <row r="25" spans="1:7" x14ac:dyDescent="0.25">
      <c r="A25" s="1"/>
      <c r="B25" s="80" t="s">
        <v>287</v>
      </c>
      <c r="C25" s="81"/>
      <c r="D25" s="82"/>
      <c r="E25" s="62">
        <f>E22-E23-E24</f>
        <v>-31828633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2" t="s">
        <v>288</v>
      </c>
      <c r="C28" s="113"/>
      <c r="D28" s="113"/>
      <c r="E28" s="113"/>
      <c r="F28" s="114"/>
      <c r="G28" s="1"/>
    </row>
    <row r="29" spans="1:7" x14ac:dyDescent="0.25">
      <c r="A29" s="1"/>
      <c r="B29" s="130" t="s">
        <v>116</v>
      </c>
      <c r="C29" s="131"/>
      <c r="D29" s="132"/>
      <c r="E29" s="9">
        <f>IF(E18&lt;0,IF(E25&lt;0,SUM(E18,E25),IF(E10&gt;0,SUM(E10:E11),E18)),IF(AND(E25&lt;0,SUM(E25,E11)&lt;0),IF(E11&lt;0,E25,IF(SUM(E10:E11)&gt;0,SUM(E25,E11),IF(AND(E25&lt;0,E18=0,E11&gt;0),IF(SUM(E9:E11)&gt;0,E25+E11,E25)))),0))</f>
        <v>-43062326</v>
      </c>
      <c r="F29" s="14" t="s">
        <v>3</v>
      </c>
      <c r="G29" s="1"/>
    </row>
    <row r="30" spans="1:7" x14ac:dyDescent="0.25">
      <c r="A30" s="1"/>
      <c r="B30" s="130" t="s">
        <v>84</v>
      </c>
      <c r="C30" s="131"/>
      <c r="D30" s="132"/>
      <c r="E30" s="9">
        <v>2</v>
      </c>
      <c r="F30" s="14" t="s">
        <v>20</v>
      </c>
      <c r="G30" s="1"/>
    </row>
    <row r="31" spans="1:7" x14ac:dyDescent="0.25">
      <c r="A31" s="1"/>
      <c r="B31" s="133" t="s">
        <v>117</v>
      </c>
      <c r="C31" s="134"/>
      <c r="D31" s="135"/>
      <c r="E31" s="10">
        <f>E29/E30</f>
        <v>-21531163</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nP849mPwwh+hL2HhxIzeC/Ynm9jCt1RFMy8kEHYF2VC5Jet3Yn13vg/MizyxbJ4q3DN6cFwfmH+71V1zdzp6ng==" saltValue="FXN5IjZybeuG+ke18Thqu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170</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189</v>
      </c>
      <c r="C8" s="113"/>
      <c r="D8" s="113"/>
      <c r="E8" s="113"/>
      <c r="F8" s="113"/>
      <c r="G8" s="113"/>
      <c r="H8" s="114"/>
      <c r="I8" s="1"/>
    </row>
    <row r="9" spans="1:9" ht="15" customHeight="1" x14ac:dyDescent="0.25">
      <c r="A9" s="1"/>
      <c r="B9" s="142" t="s">
        <v>171</v>
      </c>
      <c r="C9" s="143"/>
      <c r="D9" s="143"/>
      <c r="E9" s="143"/>
      <c r="F9" s="143"/>
      <c r="G9" s="143"/>
      <c r="H9" s="144"/>
      <c r="I9" s="1"/>
    </row>
    <row r="10" spans="1:9" x14ac:dyDescent="0.25">
      <c r="A10" s="1"/>
      <c r="B10" s="139" t="s">
        <v>172</v>
      </c>
      <c r="C10" s="140"/>
      <c r="D10" s="140"/>
      <c r="E10" s="140"/>
      <c r="F10" s="141"/>
      <c r="G10" s="9">
        <v>0</v>
      </c>
      <c r="H10" s="9" t="s">
        <v>3</v>
      </c>
      <c r="I10" s="1"/>
    </row>
    <row r="11" spans="1:9" x14ac:dyDescent="0.25">
      <c r="A11" s="1"/>
      <c r="B11" s="139" t="s">
        <v>173</v>
      </c>
      <c r="C11" s="140"/>
      <c r="D11" s="140"/>
      <c r="E11" s="140"/>
      <c r="F11" s="141"/>
      <c r="G11" s="9">
        <v>0</v>
      </c>
      <c r="H11" s="9" t="s">
        <v>3</v>
      </c>
      <c r="I11" s="1"/>
    </row>
    <row r="12" spans="1:9" x14ac:dyDescent="0.25">
      <c r="A12" s="1"/>
      <c r="B12" s="139" t="s">
        <v>174</v>
      </c>
      <c r="C12" s="140"/>
      <c r="D12" s="140"/>
      <c r="E12" s="140"/>
      <c r="F12" s="141"/>
      <c r="G12" s="9">
        <v>0</v>
      </c>
      <c r="H12" s="9" t="s">
        <v>3</v>
      </c>
      <c r="I12" s="1"/>
    </row>
    <row r="13" spans="1:9" x14ac:dyDescent="0.25">
      <c r="A13" s="1"/>
      <c r="B13" s="139" t="s">
        <v>175</v>
      </c>
      <c r="C13" s="140"/>
      <c r="D13" s="140"/>
      <c r="E13" s="140"/>
      <c r="F13" s="141"/>
      <c r="G13" s="9">
        <v>0</v>
      </c>
      <c r="H13" s="9" t="s">
        <v>3</v>
      </c>
      <c r="I13" s="1"/>
    </row>
    <row r="14" spans="1:9" x14ac:dyDescent="0.25">
      <c r="A14" s="1"/>
      <c r="B14" s="139" t="s">
        <v>176</v>
      </c>
      <c r="C14" s="140"/>
      <c r="D14" s="140"/>
      <c r="E14" s="140"/>
      <c r="F14" s="141"/>
      <c r="G14" s="9">
        <v>0</v>
      </c>
      <c r="H14" s="9" t="s">
        <v>3</v>
      </c>
      <c r="I14" s="1"/>
    </row>
    <row r="15" spans="1:9" x14ac:dyDescent="0.25">
      <c r="A15" s="1"/>
      <c r="B15" s="139" t="s">
        <v>177</v>
      </c>
      <c r="C15" s="140"/>
      <c r="D15" s="140"/>
      <c r="E15" s="140"/>
      <c r="F15" s="141"/>
      <c r="G15" s="9">
        <v>0</v>
      </c>
      <c r="H15" s="9" t="s">
        <v>3</v>
      </c>
      <c r="I15" s="1"/>
    </row>
    <row r="16" spans="1:9" x14ac:dyDescent="0.25">
      <c r="A16" s="1"/>
      <c r="B16" s="139" t="s">
        <v>178</v>
      </c>
      <c r="C16" s="140"/>
      <c r="D16" s="140"/>
      <c r="E16" s="140"/>
      <c r="F16" s="141"/>
      <c r="G16" s="9">
        <v>0</v>
      </c>
      <c r="H16" s="9" t="s">
        <v>3</v>
      </c>
      <c r="I16" s="1"/>
    </row>
    <row r="17" spans="1:9" x14ac:dyDescent="0.25">
      <c r="A17" s="1"/>
      <c r="B17" s="139" t="s">
        <v>179</v>
      </c>
      <c r="C17" s="140"/>
      <c r="D17" s="140"/>
      <c r="E17" s="140"/>
      <c r="F17" s="141"/>
      <c r="G17" s="9">
        <v>0</v>
      </c>
      <c r="H17" s="9" t="s">
        <v>3</v>
      </c>
      <c r="I17" s="1"/>
    </row>
    <row r="18" spans="1:9" x14ac:dyDescent="0.25">
      <c r="A18" s="1"/>
      <c r="B18" s="112" t="s">
        <v>180</v>
      </c>
      <c r="C18" s="113"/>
      <c r="D18" s="113"/>
      <c r="E18" s="113"/>
      <c r="F18" s="11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g5MJbVcA4zASN7Du1bWyNPnGxJDj01CBXZvgTqGvvmSrJRub4Rcv7ixUbJcEjueX/2iLyLyWUvnzMKToPGGGA==" saltValue="RLiDabvnGHEPHEmWBjQBt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207</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228</v>
      </c>
      <c r="C9" s="113"/>
      <c r="D9" s="113"/>
      <c r="E9" s="113"/>
      <c r="F9" s="114"/>
      <c r="G9" s="1"/>
    </row>
    <row r="10" spans="1:7" x14ac:dyDescent="0.25">
      <c r="A10" s="1"/>
      <c r="B10" s="124" t="s">
        <v>82</v>
      </c>
      <c r="C10" s="125"/>
      <c r="D10" s="126"/>
      <c r="E10" s="7">
        <v>0</v>
      </c>
      <c r="F10" s="8" t="s">
        <v>3</v>
      </c>
      <c r="G10" s="1"/>
    </row>
    <row r="11" spans="1:7" x14ac:dyDescent="0.25">
      <c r="A11" s="1"/>
      <c r="B11" s="115" t="s">
        <v>229</v>
      </c>
      <c r="C11" s="116"/>
      <c r="D11" s="117"/>
      <c r="E11" s="7">
        <v>0</v>
      </c>
      <c r="F11" s="8" t="s">
        <v>3</v>
      </c>
      <c r="G11" s="1"/>
    </row>
    <row r="12" spans="1:7" x14ac:dyDescent="0.25">
      <c r="A12" s="1"/>
      <c r="B12" s="133" t="s">
        <v>83</v>
      </c>
      <c r="C12" s="134"/>
      <c r="D12" s="135"/>
      <c r="E12" s="10">
        <f>E11-E10</f>
        <v>0</v>
      </c>
      <c r="F12" s="11" t="s">
        <v>3</v>
      </c>
      <c r="G12" s="1"/>
    </row>
    <row r="13" spans="1:7" x14ac:dyDescent="0.25">
      <c r="A13" s="1"/>
      <c r="B13" s="112" t="s">
        <v>78</v>
      </c>
      <c r="C13" s="113"/>
      <c r="D13" s="113"/>
      <c r="E13" s="113"/>
      <c r="F13" s="114"/>
      <c r="G13" s="1"/>
    </row>
    <row r="14" spans="1:7" x14ac:dyDescent="0.25">
      <c r="A14" s="1"/>
      <c r="B14" s="115" t="s">
        <v>230</v>
      </c>
      <c r="C14" s="116"/>
      <c r="D14" s="117"/>
      <c r="E14" s="7">
        <v>656886</v>
      </c>
      <c r="F14" s="8" t="s">
        <v>3</v>
      </c>
      <c r="G14" s="1"/>
    </row>
    <row r="15" spans="1:7" x14ac:dyDescent="0.25">
      <c r="A15" s="1"/>
      <c r="B15" s="124" t="s">
        <v>231</v>
      </c>
      <c r="C15" s="125"/>
      <c r="D15" s="126"/>
      <c r="E15" s="7">
        <v>678134</v>
      </c>
      <c r="F15" s="8" t="s">
        <v>3</v>
      </c>
      <c r="G15" s="1"/>
    </row>
    <row r="16" spans="1:7" x14ac:dyDescent="0.25">
      <c r="A16" s="1"/>
      <c r="B16" s="133" t="s">
        <v>83</v>
      </c>
      <c r="C16" s="134"/>
      <c r="D16" s="135"/>
      <c r="E16" s="10">
        <f>E15-E14</f>
        <v>21248</v>
      </c>
      <c r="F16" s="11" t="s">
        <v>3</v>
      </c>
      <c r="G16" s="1"/>
    </row>
    <row r="17" spans="1:7" x14ac:dyDescent="0.25">
      <c r="A17" s="1"/>
      <c r="B17" s="33" t="s">
        <v>232</v>
      </c>
      <c r="C17" s="28"/>
      <c r="D17" s="28"/>
      <c r="E17" s="12">
        <f>E12+E16</f>
        <v>21248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b+j8U+DEEp1561n4e9jtv5c/mt/wBMEage9kzbEwYghj60+1Ppfot2ePQvOhZ/6ThQDRJkGeBBvHPD2vkwoFg==" saltValue="wE2OE+iUQ4H3LIPTm69Ox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182</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149</v>
      </c>
      <c r="C8" s="113"/>
      <c r="D8" s="113"/>
      <c r="E8" s="113"/>
      <c r="F8" s="113"/>
      <c r="G8" s="113"/>
      <c r="H8" s="113"/>
      <c r="I8" s="113"/>
      <c r="J8" s="113"/>
      <c r="K8" s="114"/>
      <c r="L8" s="1"/>
    </row>
    <row r="9" spans="1:12" ht="39.75" customHeight="1" x14ac:dyDescent="0.25">
      <c r="A9" s="1"/>
      <c r="B9" s="18" t="s">
        <v>0</v>
      </c>
      <c r="C9" s="18" t="s">
        <v>1</v>
      </c>
      <c r="D9" s="145" t="s">
        <v>165</v>
      </c>
      <c r="E9" s="146"/>
      <c r="F9" s="145" t="s">
        <v>2</v>
      </c>
      <c r="G9" s="146"/>
      <c r="H9" s="145" t="s">
        <v>164</v>
      </c>
      <c r="I9" s="146"/>
      <c r="J9" s="145" t="s">
        <v>27</v>
      </c>
      <c r="K9" s="146"/>
      <c r="L9" s="1"/>
    </row>
    <row r="10" spans="1:12" ht="26.25" x14ac:dyDescent="0.25">
      <c r="A10" s="1"/>
      <c r="B10" s="83" t="s">
        <v>265</v>
      </c>
      <c r="C10" s="45">
        <v>75</v>
      </c>
      <c r="D10" s="9">
        <v>260742</v>
      </c>
      <c r="E10" s="14" t="s">
        <v>3</v>
      </c>
      <c r="F10" s="9">
        <f>IFERROR(D10/C10,0)</f>
        <v>3476.56</v>
      </c>
      <c r="G10" s="14" t="s">
        <v>3</v>
      </c>
      <c r="H10" s="41">
        <v>0</v>
      </c>
      <c r="I10" s="14" t="s">
        <v>3</v>
      </c>
      <c r="J10" s="41">
        <v>2425</v>
      </c>
      <c r="K10" s="14" t="s">
        <v>3</v>
      </c>
      <c r="L10" s="1"/>
    </row>
    <row r="11" spans="1:12" x14ac:dyDescent="0.25">
      <c r="A11" s="1"/>
      <c r="B11" s="73" t="s">
        <v>150</v>
      </c>
      <c r="C11" s="74"/>
      <c r="D11" s="75"/>
      <c r="E11" s="75"/>
      <c r="F11" s="12">
        <f>SUM(F10:F10)</f>
        <v>3476.56</v>
      </c>
      <c r="G11" s="12" t="s">
        <v>163</v>
      </c>
      <c r="H11" s="12">
        <f>SUM(H10:H10)</f>
        <v>0</v>
      </c>
      <c r="I11" s="12" t="s">
        <v>163</v>
      </c>
      <c r="J11" s="12">
        <f>SUM(J10:J10)</f>
        <v>2425</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vNMk/6uq1bIiI4ZEtWq7Hx2avJxqBGS0oiPZdDswtFgVzHv0AYR3lpxOhzhqsCJL9+l4y9gf4Bc5wLqK/LQQhQ==" saltValue="GZjEe/DPsG+aYOClNmCm6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183</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4" t="s">
        <v>17</v>
      </c>
      <c r="C9" s="84" t="s">
        <v>11</v>
      </c>
      <c r="D9" s="85"/>
      <c r="E9" s="84" t="s">
        <v>28</v>
      </c>
      <c r="F9" s="32"/>
      <c r="G9" s="1"/>
    </row>
    <row r="10" spans="1:7" x14ac:dyDescent="0.25">
      <c r="A10" s="1"/>
      <c r="B10" s="24" t="s">
        <v>153</v>
      </c>
      <c r="C10" s="21">
        <f>'Fane 10. Anlægsprojekter (§ 19)'!H11</f>
        <v>0</v>
      </c>
      <c r="D10" s="14" t="s">
        <v>3</v>
      </c>
      <c r="E10" s="9">
        <f>SUM('Fane 10. Anlægsprojekter (§ 19)'!F11,'Fane 10. Anlægsprojekter (§ 19)'!J11)</f>
        <v>5901.5599999999995</v>
      </c>
      <c r="F10" s="14" t="s">
        <v>3</v>
      </c>
      <c r="G10" s="1"/>
    </row>
    <row r="11" spans="1:7" x14ac:dyDescent="0.25">
      <c r="A11" s="1"/>
      <c r="B11" s="24" t="s">
        <v>291</v>
      </c>
      <c r="C11" s="21">
        <v>160220</v>
      </c>
      <c r="D11" s="14" t="s">
        <v>3</v>
      </c>
      <c r="E11" s="9">
        <v>902437</v>
      </c>
      <c r="F11" s="14" t="s">
        <v>3</v>
      </c>
      <c r="G11" s="1"/>
    </row>
    <row r="12" spans="1:7" x14ac:dyDescent="0.25">
      <c r="A12" s="1"/>
      <c r="B12" s="24" t="s">
        <v>292</v>
      </c>
      <c r="C12" s="21">
        <v>43</v>
      </c>
      <c r="D12" s="14" t="s">
        <v>3</v>
      </c>
      <c r="E12" s="9">
        <v>245</v>
      </c>
      <c r="F12" s="14" t="s">
        <v>3</v>
      </c>
      <c r="G12" s="1"/>
    </row>
    <row r="13" spans="1:7" x14ac:dyDescent="0.25">
      <c r="A13" s="1"/>
      <c r="B13" s="24" t="s">
        <v>289</v>
      </c>
      <c r="C13" s="21">
        <v>1134917</v>
      </c>
      <c r="D13" s="14" t="s">
        <v>3</v>
      </c>
      <c r="E13" s="9">
        <v>868001</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1295180</v>
      </c>
      <c r="D19" s="13" t="s">
        <v>3</v>
      </c>
      <c r="E19" s="12">
        <f>SUM(E10:E18)</f>
        <v>1776584.56</v>
      </c>
      <c r="F19" s="13" t="s">
        <v>3</v>
      </c>
      <c r="G19" s="1"/>
    </row>
    <row r="20" spans="1:7" x14ac:dyDescent="0.25">
      <c r="A20" s="1"/>
      <c r="B20" s="33" t="s">
        <v>233</v>
      </c>
      <c r="C20" s="12">
        <f>C19*(1+'Fane 15. Nøgletal'!C16)</f>
        <v>1399830.544</v>
      </c>
      <c r="D20" s="13" t="s">
        <v>3</v>
      </c>
      <c r="E20" s="12">
        <f>E19*(1+'Fane 15. Nøgletal'!C16)</f>
        <v>1920132.5924480001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WqLd2dYjsUpbeBrYj17UMvkaSYxZh8xYfaBu2e3jI6IEIRcofs6QmwyeZMiZ4syIogi8AVo0jIZt+JVbxA1fg==" saltValue="ItpZiFvZjGTnaKT/4QsgK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184</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260</v>
      </c>
      <c r="C8" s="113"/>
      <c r="D8" s="113"/>
      <c r="E8" s="113"/>
      <c r="F8" s="114"/>
      <c r="G8" s="1"/>
    </row>
    <row r="9" spans="1:7" x14ac:dyDescent="0.25">
      <c r="A9" s="1"/>
      <c r="B9" s="84" t="s">
        <v>17</v>
      </c>
      <c r="C9" s="84" t="s">
        <v>11</v>
      </c>
      <c r="D9" s="85"/>
      <c r="E9" s="84" t="s">
        <v>28</v>
      </c>
      <c r="F9" s="32"/>
      <c r="G9" s="1"/>
    </row>
    <row r="10" spans="1:7" x14ac:dyDescent="0.25">
      <c r="A10" s="1"/>
      <c r="B10" s="24" t="s">
        <v>290</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7"/>
      <c r="C16" s="147"/>
      <c r="D16" s="147"/>
      <c r="E16" s="147"/>
      <c r="F16" s="147"/>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7"/>
      <c r="C23" s="147"/>
      <c r="D23" s="147"/>
      <c r="E23" s="147"/>
      <c r="F23" s="147"/>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7"/>
      <c r="C30" s="147"/>
      <c r="D30" s="147"/>
      <c r="E30" s="147"/>
      <c r="F30" s="147"/>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YDLY780sK4hurgrGTP2fKhIO8AZObuC/Dq6NK5o3NpRFNwXlEG+Py5baf6SK/MIQJ6aXXbuDdl32J8peKAr9w==" saltValue="4ZdKBhxJlc19XyvUP7fhE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185</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2" t="s">
        <v>110</v>
      </c>
      <c r="C9" s="113"/>
      <c r="D9" s="113"/>
      <c r="E9" s="113"/>
      <c r="F9" s="114"/>
      <c r="G9" s="1"/>
    </row>
    <row r="10" spans="1:7" x14ac:dyDescent="0.25">
      <c r="A10" s="1"/>
      <c r="B10" s="139" t="s">
        <v>236</v>
      </c>
      <c r="C10" s="140"/>
      <c r="D10" s="141"/>
      <c r="E10" s="9">
        <v>10155.402600000001</v>
      </c>
      <c r="F10" s="14" t="s">
        <v>3</v>
      </c>
      <c r="G10" s="1"/>
    </row>
    <row r="11" spans="1:7" x14ac:dyDescent="0.25">
      <c r="A11" s="1"/>
      <c r="B11" s="148" t="s">
        <v>10</v>
      </c>
      <c r="C11" s="149"/>
      <c r="D11" s="150"/>
      <c r="E11" s="9">
        <f>-E10*'Fane 5. Individuelt eff. krav'!G9</f>
        <v>-44.911497356925025</v>
      </c>
      <c r="F11" s="14" t="s">
        <v>3</v>
      </c>
      <c r="G11" s="1"/>
    </row>
    <row r="12" spans="1:7" x14ac:dyDescent="0.25">
      <c r="A12" s="1"/>
      <c r="B12" s="148" t="s">
        <v>23</v>
      </c>
      <c r="C12" s="149"/>
      <c r="D12" s="150"/>
      <c r="E12" s="9">
        <f>-E10*'Fane 15. Nøgletal'!C33</f>
        <v>-203.10805200000004</v>
      </c>
      <c r="F12" s="14" t="s">
        <v>3</v>
      </c>
      <c r="G12" s="1"/>
    </row>
    <row r="13" spans="1:7" x14ac:dyDescent="0.25">
      <c r="A13" s="1"/>
      <c r="B13" s="112" t="s">
        <v>111</v>
      </c>
      <c r="C13" s="113"/>
      <c r="D13" s="114"/>
      <c r="E13" s="12">
        <f>SUM(E10:E12)*(1+'Fane 15. Nøgletal'!C16)^2</f>
        <v>11573.097888906748</v>
      </c>
      <c r="F13" s="13" t="s">
        <v>3</v>
      </c>
      <c r="G13" s="1"/>
    </row>
    <row r="14" spans="1:7" x14ac:dyDescent="0.25">
      <c r="A14" s="1"/>
      <c r="B14" s="1"/>
      <c r="C14" s="1"/>
      <c r="D14" s="1"/>
      <c r="E14" s="1"/>
      <c r="F14" s="1"/>
      <c r="G14" s="1"/>
    </row>
    <row r="15" spans="1:7" ht="15" customHeight="1" x14ac:dyDescent="0.25">
      <c r="A15" s="1"/>
      <c r="B15" s="112" t="s">
        <v>124</v>
      </c>
      <c r="C15" s="113"/>
      <c r="D15" s="113"/>
      <c r="E15" s="113"/>
      <c r="F15" s="114"/>
      <c r="G15" s="1"/>
    </row>
    <row r="16" spans="1:7" x14ac:dyDescent="0.25">
      <c r="A16" s="1"/>
      <c r="B16" s="139" t="s">
        <v>236</v>
      </c>
      <c r="C16" s="140"/>
      <c r="D16" s="141"/>
      <c r="E16" s="9">
        <v>10155.402600000001</v>
      </c>
      <c r="F16" s="14" t="s">
        <v>3</v>
      </c>
      <c r="G16" s="1"/>
    </row>
    <row r="17" spans="1:7" x14ac:dyDescent="0.25">
      <c r="A17" s="1"/>
      <c r="B17" s="148" t="s">
        <v>10</v>
      </c>
      <c r="C17" s="149"/>
      <c r="D17" s="150"/>
      <c r="E17" s="9">
        <f>-E16*'Fane 5. Individuelt eff. krav'!G9</f>
        <v>-44.911497356925025</v>
      </c>
      <c r="F17" s="14" t="s">
        <v>3</v>
      </c>
      <c r="G17" s="1"/>
    </row>
    <row r="18" spans="1:7" x14ac:dyDescent="0.25">
      <c r="A18" s="1"/>
      <c r="B18" s="148" t="s">
        <v>23</v>
      </c>
      <c r="C18" s="149"/>
      <c r="D18" s="150"/>
      <c r="E18" s="9">
        <f>-E16*'Fane 15. Nøgletal'!C33</f>
        <v>-203.10805200000004</v>
      </c>
      <c r="F18" s="14" t="s">
        <v>3</v>
      </c>
      <c r="G18" s="1"/>
    </row>
    <row r="19" spans="1:7" x14ac:dyDescent="0.25">
      <c r="A19" s="1"/>
      <c r="B19" s="112" t="s">
        <v>125</v>
      </c>
      <c r="C19" s="113"/>
      <c r="D19" s="114"/>
      <c r="E19" s="12">
        <f>SUM(E16:E18)*(1+'Fane 15. Nøgletal'!C16)^3</f>
        <v>12508.204198330413</v>
      </c>
      <c r="F19" s="13" t="s">
        <v>3</v>
      </c>
      <c r="G19" s="1"/>
    </row>
    <row r="20" spans="1:7" x14ac:dyDescent="0.25">
      <c r="A20" s="1"/>
      <c r="B20" s="1"/>
      <c r="C20" s="1"/>
      <c r="D20" s="1"/>
      <c r="E20" s="1"/>
      <c r="F20" s="1"/>
      <c r="G20" s="1"/>
    </row>
    <row r="21" spans="1:7" ht="15" customHeight="1" x14ac:dyDescent="0.25">
      <c r="A21" s="1"/>
      <c r="B21" s="112" t="s">
        <v>145</v>
      </c>
      <c r="C21" s="113"/>
      <c r="D21" s="113"/>
      <c r="E21" s="113"/>
      <c r="F21" s="114"/>
      <c r="G21" s="1"/>
    </row>
    <row r="22" spans="1:7" x14ac:dyDescent="0.25">
      <c r="A22" s="1"/>
      <c r="B22" s="139" t="s">
        <v>236</v>
      </c>
      <c r="C22" s="140"/>
      <c r="D22" s="141"/>
      <c r="E22" s="9">
        <v>10155.402600000001</v>
      </c>
      <c r="F22" s="14" t="s">
        <v>3</v>
      </c>
      <c r="G22" s="1"/>
    </row>
    <row r="23" spans="1:7" x14ac:dyDescent="0.25">
      <c r="A23" s="1"/>
      <c r="B23" s="148" t="s">
        <v>10</v>
      </c>
      <c r="C23" s="149"/>
      <c r="D23" s="150"/>
      <c r="E23" s="9">
        <f>-E22*'Fane 5. Individuelt eff. krav'!G9</f>
        <v>-44.911497356925025</v>
      </c>
      <c r="F23" s="14" t="s">
        <v>3</v>
      </c>
      <c r="G23" s="1"/>
    </row>
    <row r="24" spans="1:7" x14ac:dyDescent="0.25">
      <c r="A24" s="1"/>
      <c r="B24" s="148" t="s">
        <v>23</v>
      </c>
      <c r="C24" s="149"/>
      <c r="D24" s="150"/>
      <c r="E24" s="9">
        <f>-E22*'Fane 15. Nøgletal'!C33</f>
        <v>-203.10805200000004</v>
      </c>
      <c r="F24" s="14" t="s">
        <v>3</v>
      </c>
      <c r="G24" s="1"/>
    </row>
    <row r="25" spans="1:7" x14ac:dyDescent="0.25">
      <c r="A25" s="1"/>
      <c r="B25" s="112" t="s">
        <v>146</v>
      </c>
      <c r="C25" s="113"/>
      <c r="D25" s="114"/>
      <c r="E25" s="12">
        <f>SUM(E22:E24)*(1+'Fane 15. Nøgletal'!C16)^4</f>
        <v>13518.867097555509</v>
      </c>
      <c r="F25" s="13" t="s">
        <v>3</v>
      </c>
      <c r="G25" s="1"/>
    </row>
    <row r="26" spans="1:7" x14ac:dyDescent="0.25">
      <c r="A26" s="1"/>
      <c r="B26" s="1"/>
      <c r="C26" s="1"/>
      <c r="D26" s="1"/>
      <c r="E26" s="1"/>
      <c r="F26" s="1"/>
      <c r="G26" s="1"/>
    </row>
    <row r="27" spans="1:7" ht="15" customHeight="1" x14ac:dyDescent="0.25">
      <c r="A27" s="1"/>
      <c r="B27" s="112" t="s">
        <v>237</v>
      </c>
      <c r="C27" s="113"/>
      <c r="D27" s="113"/>
      <c r="E27" s="113"/>
      <c r="F27" s="114"/>
      <c r="G27" s="1"/>
    </row>
    <row r="28" spans="1:7" ht="14.25" customHeight="1" x14ac:dyDescent="0.25">
      <c r="A28" s="1"/>
      <c r="B28" s="139" t="s">
        <v>236</v>
      </c>
      <c r="C28" s="140"/>
      <c r="D28" s="141"/>
      <c r="E28" s="9">
        <v>10155.402600000001</v>
      </c>
      <c r="F28" s="14" t="s">
        <v>3</v>
      </c>
      <c r="G28" s="1"/>
    </row>
    <row r="29" spans="1:7" x14ac:dyDescent="0.25">
      <c r="A29" s="1"/>
      <c r="B29" s="148" t="s">
        <v>10</v>
      </c>
      <c r="C29" s="149"/>
      <c r="D29" s="150"/>
      <c r="E29" s="9">
        <f>-E28*'Fane 5. Individuelt eff. krav'!G9</f>
        <v>-44.911497356925025</v>
      </c>
      <c r="F29" s="14" t="s">
        <v>3</v>
      </c>
      <c r="G29" s="1"/>
    </row>
    <row r="30" spans="1:7" x14ac:dyDescent="0.25">
      <c r="A30" s="1"/>
      <c r="B30" s="148" t="s">
        <v>23</v>
      </c>
      <c r="C30" s="149"/>
      <c r="D30" s="150"/>
      <c r="E30" s="9">
        <f>-E28*'Fane 15. Nøgletal'!C33</f>
        <v>-203.10805200000004</v>
      </c>
      <c r="F30" s="14" t="s">
        <v>3</v>
      </c>
      <c r="G30" s="1"/>
    </row>
    <row r="31" spans="1:7" x14ac:dyDescent="0.25">
      <c r="A31" s="1"/>
      <c r="B31" s="112" t="s">
        <v>238</v>
      </c>
      <c r="C31" s="113"/>
      <c r="D31" s="114"/>
      <c r="E31" s="12">
        <f>SUM(E28:E30)*(1+'Fane 15. Nøgletal'!C16)^5</f>
        <v>14611.191559037994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wJw24xRPdvmo6Vdx8zgxGpK4LS203eFtll3+vrHcFfUk82WSwun0hqkGh2uIuBONZV5seckKd0ZIuM1cXYulw==" saltValue="14i9g+ec0dxXRbi1oWJ56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186</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112</v>
      </c>
      <c r="C8" s="113"/>
      <c r="D8" s="113"/>
      <c r="E8" s="113"/>
      <c r="F8" s="114"/>
      <c r="G8" s="1"/>
    </row>
    <row r="9" spans="1:7" ht="15" customHeight="1" x14ac:dyDescent="0.25">
      <c r="A9" s="1"/>
      <c r="B9" s="31" t="s">
        <v>113</v>
      </c>
      <c r="C9" s="31" t="s">
        <v>11</v>
      </c>
      <c r="D9" s="32"/>
      <c r="E9" s="31" t="s">
        <v>28</v>
      </c>
      <c r="F9" s="32"/>
      <c r="G9" s="1"/>
    </row>
    <row r="10" spans="1:7" ht="26.25" x14ac:dyDescent="0.25">
      <c r="A10" s="1"/>
      <c r="B10" s="68"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1EXxQah6Gp4xXc8It3BJVF6I/kXEKKs1RkaW2/Edk9hzfV6XVf+ibtMxVawWGB5nAjM4QsgSWnTLDf9WiGgSA==" saltValue="QMxPvg1fRMFVmnx6r8aY9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187</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240</v>
      </c>
      <c r="C9" s="113"/>
      <c r="D9" s="113"/>
      <c r="E9" s="113"/>
      <c r="F9" s="114"/>
      <c r="G9" s="1"/>
    </row>
    <row r="10" spans="1:7" ht="26.25" customHeight="1" x14ac:dyDescent="0.25">
      <c r="A10" s="1"/>
      <c r="B10" s="31" t="s">
        <v>18</v>
      </c>
      <c r="C10" s="142" t="s">
        <v>11</v>
      </c>
      <c r="D10" s="144"/>
      <c r="E10" s="142" t="s">
        <v>28</v>
      </c>
      <c r="F10" s="144"/>
      <c r="G10" s="1"/>
    </row>
    <row r="11" spans="1:7" x14ac:dyDescent="0.25">
      <c r="A11" s="1"/>
      <c r="B11" s="68"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7"/>
      <c r="C15" s="147"/>
      <c r="D15" s="147"/>
      <c r="E15" s="147"/>
      <c r="F15" s="147"/>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7"/>
      <c r="C21" s="147"/>
      <c r="D21" s="147"/>
      <c r="E21" s="147"/>
      <c r="F21" s="147"/>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7"/>
      <c r="C27" s="147"/>
      <c r="D27" s="147"/>
      <c r="E27" s="147"/>
      <c r="F27" s="147"/>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SM75dUV8uN0IHGG36yPOaskbXtCNHwrho72cgr/oEgX3wgVoUoIFJs1oI7sC9Ymo/GBNI2zjYEp65rg7vlgw==" saltValue="MOiuFFe5J3BlDuumGa/V1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168723155.5243496</v>
      </c>
      <c r="D9" s="8" t="s">
        <v>3</v>
      </c>
      <c r="E9" s="1"/>
    </row>
    <row r="10" spans="1:5" ht="17.25" customHeight="1" x14ac:dyDescent="0.25">
      <c r="A10" s="1"/>
      <c r="B10" s="86" t="s">
        <v>36</v>
      </c>
      <c r="C10" s="7">
        <f>'Fane 11.1. Varige tillæg'!C20</f>
        <v>1399830.544</v>
      </c>
      <c r="D10" s="8" t="s">
        <v>3</v>
      </c>
      <c r="E10" s="1"/>
    </row>
    <row r="11" spans="1:5" ht="17.25" customHeight="1" x14ac:dyDescent="0.25">
      <c r="A11" s="1"/>
      <c r="B11" s="86" t="s">
        <v>37</v>
      </c>
      <c r="C11" s="9">
        <f>'Fane 11.1. Varige tillæg'!E20</f>
        <v>1920132.5924480001</v>
      </c>
      <c r="D11" s="8" t="s">
        <v>3</v>
      </c>
      <c r="E11" s="1"/>
    </row>
    <row r="12" spans="1:5" ht="17.25" customHeight="1" x14ac:dyDescent="0.25">
      <c r="A12" s="1"/>
      <c r="B12" s="86" t="s">
        <v>26</v>
      </c>
      <c r="C12" s="9">
        <f>-'Fane 14. Bortfald'!C13</f>
        <v>0</v>
      </c>
      <c r="D12" s="8" t="s">
        <v>3</v>
      </c>
      <c r="E12" s="1"/>
    </row>
    <row r="13" spans="1:5" ht="17.25" customHeight="1" x14ac:dyDescent="0.25">
      <c r="A13" s="1"/>
      <c r="B13" s="86" t="s">
        <v>25</v>
      </c>
      <c r="C13" s="9">
        <f>-'Fane 14. Bortfald'!E13</f>
        <v>0</v>
      </c>
      <c r="D13" s="8" t="s">
        <v>3</v>
      </c>
      <c r="E13" s="1"/>
    </row>
    <row r="14" spans="1:5" ht="17.25" customHeight="1" x14ac:dyDescent="0.25">
      <c r="A14" s="1"/>
      <c r="B14" s="86" t="s">
        <v>105</v>
      </c>
      <c r="C14" s="9">
        <f>'Fane 13. Tilknyttet virksomhed'!C14</f>
        <v>0</v>
      </c>
      <c r="D14" s="8" t="s">
        <v>3</v>
      </c>
      <c r="E14" s="1"/>
    </row>
    <row r="15" spans="1:5" ht="17.25" customHeight="1" x14ac:dyDescent="0.25">
      <c r="A15" s="1"/>
      <c r="B15" s="86" t="s">
        <v>106</v>
      </c>
      <c r="C15" s="9">
        <f>'Fane 13. Tilknyttet virksomhed'!E14</f>
        <v>0</v>
      </c>
      <c r="D15" s="8" t="s">
        <v>3</v>
      </c>
      <c r="E15" s="1"/>
    </row>
    <row r="16" spans="1:5" ht="17.25" customHeight="1" x14ac:dyDescent="0.25">
      <c r="A16" s="1"/>
      <c r="B16" s="86" t="s">
        <v>19</v>
      </c>
      <c r="C16" s="41">
        <f>SUM(C9)*'Fane 15. Nøgletal'!C16+SUM(C10:C15)*'Fane 15. Nøgletal'!C16</f>
        <v>13901083.987792445</v>
      </c>
      <c r="D16" s="8" t="s">
        <v>3</v>
      </c>
      <c r="E16" s="1"/>
    </row>
    <row r="17" spans="1:5" ht="17.25" customHeight="1" x14ac:dyDescent="0.25">
      <c r="A17" s="1"/>
      <c r="B17" s="86" t="s">
        <v>10</v>
      </c>
      <c r="C17" s="41">
        <f>-SUM(C9,C10:C16)*'Fane 5. Individuelt eff. krav'!G9</f>
        <v>-822324.12585865206</v>
      </c>
      <c r="D17" s="8" t="s">
        <v>3</v>
      </c>
      <c r="E17" s="1"/>
    </row>
    <row r="18" spans="1:5" ht="17.25" customHeight="1" x14ac:dyDescent="0.25">
      <c r="A18" s="1"/>
      <c r="B18" s="86" t="s">
        <v>23</v>
      </c>
      <c r="C18" s="41">
        <f>-'Fane 4.1. Gen. krav - drift'!G54</f>
        <v>-1170786.4822875881</v>
      </c>
      <c r="D18" s="8" t="s">
        <v>3</v>
      </c>
      <c r="E18" s="1"/>
    </row>
    <row r="19" spans="1:5" ht="17.25" customHeight="1" x14ac:dyDescent="0.25">
      <c r="A19" s="1"/>
      <c r="B19" s="86" t="s">
        <v>24</v>
      </c>
      <c r="C19" s="41">
        <f>-'Fane 4.2. Gen. krav - anlæg'!G55</f>
        <v>0</v>
      </c>
      <c r="D19" s="8" t="s">
        <v>3</v>
      </c>
      <c r="E19" s="47"/>
    </row>
    <row r="20" spans="1:5" ht="17.25" customHeight="1" x14ac:dyDescent="0.25">
      <c r="A20" s="1"/>
      <c r="B20" s="80" t="s">
        <v>21</v>
      </c>
      <c r="C20" s="10">
        <f>SUM(C9:C19)</f>
        <v>183951092.04044378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11375568.016165119</v>
      </c>
      <c r="D22" s="11" t="s">
        <v>3</v>
      </c>
      <c r="E22" s="1"/>
    </row>
    <row r="23" spans="1:5" ht="15" customHeight="1" x14ac:dyDescent="0.25">
      <c r="A23" s="1"/>
      <c r="B23" s="33" t="s">
        <v>74</v>
      </c>
      <c r="C23" s="28"/>
      <c r="D23" s="19"/>
      <c r="E23" s="1"/>
    </row>
    <row r="24" spans="1:5" ht="15" customHeight="1" x14ac:dyDescent="0.25">
      <c r="A24" s="1"/>
      <c r="B24" s="80" t="s">
        <v>74</v>
      </c>
      <c r="C24" s="10">
        <f>'Fane 12. Periodevise driftsomk.'!E13</f>
        <v>11573.097888906748</v>
      </c>
      <c r="D24" s="11" t="s">
        <v>3</v>
      </c>
      <c r="E24" s="1"/>
    </row>
    <row r="25" spans="1:5" ht="15" customHeight="1" x14ac:dyDescent="0.25">
      <c r="A25" s="1"/>
      <c r="B25" s="44" t="s">
        <v>73</v>
      </c>
      <c r="C25" s="42"/>
      <c r="D25" s="43"/>
      <c r="E25" s="1"/>
    </row>
    <row r="26" spans="1:5" ht="15" customHeight="1" x14ac:dyDescent="0.25">
      <c r="A26" s="1"/>
      <c r="B26" s="86" t="s">
        <v>158</v>
      </c>
      <c r="C26" s="70">
        <f>'Fane 11.2. Engangstillæg'!C14</f>
        <v>0</v>
      </c>
      <c r="D26" s="8" t="s">
        <v>3</v>
      </c>
      <c r="E26" s="1"/>
    </row>
    <row r="27" spans="1:5" ht="15" customHeight="1" x14ac:dyDescent="0.25">
      <c r="A27" s="1"/>
      <c r="B27" s="86" t="s">
        <v>70</v>
      </c>
      <c r="C27" s="70">
        <f>'Fane 11.2. Engangstillæg'!E14</f>
        <v>0</v>
      </c>
      <c r="D27" s="8" t="s">
        <v>3</v>
      </c>
      <c r="E27" s="1"/>
    </row>
    <row r="28" spans="1:5" ht="15" customHeight="1" x14ac:dyDescent="0.25">
      <c r="A28" s="1"/>
      <c r="B28" s="86" t="s">
        <v>161</v>
      </c>
      <c r="C28" s="70">
        <f>-C26*('Fane 15. Nøgletal'!C33+'Fane 5. Individuelt eff. krav'!G9)</f>
        <v>0</v>
      </c>
      <c r="D28" s="8" t="s">
        <v>3</v>
      </c>
      <c r="E28" s="1"/>
    </row>
    <row r="29" spans="1:5" ht="15" customHeight="1" x14ac:dyDescent="0.25">
      <c r="A29" s="1"/>
      <c r="B29" s="86" t="s">
        <v>162</v>
      </c>
      <c r="C29" s="70">
        <f>-C27*('Fane 15. Nøgletal'!C28+'Fane 5. Individuelt eff. krav'!G9)</f>
        <v>0</v>
      </c>
      <c r="D29" s="8" t="s">
        <v>3</v>
      </c>
      <c r="E29" s="1"/>
    </row>
    <row r="30" spans="1:5" ht="15" customHeight="1" x14ac:dyDescent="0.25">
      <c r="A30" s="1"/>
      <c r="B30" s="67"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-21531163</v>
      </c>
      <c r="D32" s="11" t="s">
        <v>3</v>
      </c>
      <c r="E32" s="1"/>
    </row>
    <row r="33" spans="1:5" ht="15" customHeight="1" x14ac:dyDescent="0.25">
      <c r="A33" s="1"/>
      <c r="B33" s="33" t="s">
        <v>200</v>
      </c>
      <c r="C33" s="28"/>
      <c r="D33" s="19"/>
      <c r="E33" s="1"/>
    </row>
    <row r="34" spans="1:5" x14ac:dyDescent="0.25">
      <c r="A34" s="1"/>
      <c r="B34" s="31" t="s">
        <v>200</v>
      </c>
      <c r="C34" s="10">
        <f>'Fane 9. Korrektion af ØR2022'!E17</f>
        <v>21248</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0" t="s">
        <v>293</v>
      </c>
      <c r="C37" s="28"/>
      <c r="D37" s="19"/>
      <c r="E37" s="1"/>
    </row>
    <row r="38" spans="1:5" x14ac:dyDescent="0.25">
      <c r="A38" s="1"/>
      <c r="B38" s="67" t="s">
        <v>294</v>
      </c>
      <c r="C38" s="10">
        <v>4652358.679031333</v>
      </c>
      <c r="D38" s="11" t="s">
        <v>3</v>
      </c>
      <c r="E38" s="1"/>
    </row>
    <row r="39" spans="1:5" x14ac:dyDescent="0.25">
      <c r="A39" s="1"/>
      <c r="B39" s="33" t="s">
        <v>108</v>
      </c>
      <c r="C39" s="49">
        <f>SUM(C34,C32,C24,C30,C22,C20,C36,C38)</f>
        <v>178480676.83352914</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Zhut6t1amTxxzkBDbiF6zdZd4uD6vi0iqmMSftlUOcmjAGUJaT3RuYD7TppdSPJjEZP4Lxr7K38Z3YcUB5heA==" saltValue="+6hNZXTHwiPyeOyhkyu4H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0" t="s">
        <v>188</v>
      </c>
      <c r="C3" s="110"/>
      <c r="D3" s="1"/>
    </row>
    <row r="4" spans="1:4" ht="25.5" customHeight="1" x14ac:dyDescent="0.25">
      <c r="A4" s="1"/>
      <c r="B4" s="110"/>
      <c r="C4" s="11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9" t="s">
        <v>94</v>
      </c>
      <c r="C9" s="25">
        <v>1.2699999999999999E-2</v>
      </c>
      <c r="D9" s="1"/>
    </row>
    <row r="10" spans="1:4" x14ac:dyDescent="0.25">
      <c r="A10" s="1"/>
      <c r="B10" s="79" t="s">
        <v>95</v>
      </c>
      <c r="C10" s="25">
        <v>1.7500000000000002E-2</v>
      </c>
      <c r="D10" s="1"/>
    </row>
    <row r="11" spans="1:4" x14ac:dyDescent="0.25">
      <c r="A11" s="1"/>
      <c r="B11" s="79"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9"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9" t="s">
        <v>96</v>
      </c>
      <c r="C21" s="22">
        <v>9.1000000000000004E-3</v>
      </c>
      <c r="D21" s="1"/>
    </row>
    <row r="22" spans="1:4" x14ac:dyDescent="0.25">
      <c r="A22" s="1"/>
      <c r="B22" s="79" t="s">
        <v>118</v>
      </c>
      <c r="C22" s="22">
        <v>1.77E-2</v>
      </c>
      <c r="D22" s="1"/>
    </row>
    <row r="23" spans="1:4" x14ac:dyDescent="0.25">
      <c r="A23" s="1"/>
      <c r="B23" s="79" t="s">
        <v>119</v>
      </c>
      <c r="C23" s="22">
        <v>8.6999999999999994E-3</v>
      </c>
      <c r="D23" s="1"/>
    </row>
    <row r="24" spans="1:4" x14ac:dyDescent="0.25">
      <c r="A24" s="1"/>
      <c r="B24" s="79" t="s">
        <v>97</v>
      </c>
      <c r="C24" s="36">
        <v>2.8400000000000002E-2</v>
      </c>
      <c r="D24" s="1"/>
    </row>
    <row r="25" spans="1:4" x14ac:dyDescent="0.25">
      <c r="A25" s="1"/>
      <c r="B25" s="79" t="s">
        <v>120</v>
      </c>
      <c r="C25" s="36">
        <v>2.75E-2</v>
      </c>
      <c r="D25" s="1"/>
    </row>
    <row r="26" spans="1:4" x14ac:dyDescent="0.25">
      <c r="A26" s="1"/>
      <c r="B26" s="79"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9"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XRsDeL4n2BInGBAE/9+To9k6+yFI/OLMPzZXGo05HSlERATRi6b0uu02+n6aozw4GK8KPiEEFG/A0dPugFqRRw==" saltValue="QEG/3Tk/P1Uu1jUIWw44p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202</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183951092.04044378</v>
      </c>
      <c r="D9" s="8" t="s">
        <v>3</v>
      </c>
      <c r="E9" s="1"/>
    </row>
    <row r="10" spans="1:5" ht="15" customHeight="1" x14ac:dyDescent="0.25">
      <c r="A10" s="1"/>
      <c r="B10" s="26" t="s">
        <v>19</v>
      </c>
      <c r="C10" s="7">
        <f>SUM(C9:C9)*'Fane 15. Nøgletal'!C16</f>
        <v>14863248.236867856</v>
      </c>
      <c r="D10" s="8" t="s">
        <v>3</v>
      </c>
      <c r="E10" s="1"/>
    </row>
    <row r="11" spans="1:5" ht="15" customHeight="1" x14ac:dyDescent="0.25">
      <c r="A11" s="1"/>
      <c r="B11" s="26" t="s">
        <v>10</v>
      </c>
      <c r="C11" s="9">
        <f>-SUM(C9:C10)*'Fane 5. Individuelt eff. krav'!G9</f>
        <v>-879241.33287273836</v>
      </c>
      <c r="D11" s="8" t="s">
        <v>3</v>
      </c>
      <c r="E11" s="1"/>
    </row>
    <row r="12" spans="1:5" ht="15" customHeight="1" x14ac:dyDescent="0.25">
      <c r="A12" s="1"/>
      <c r="B12" s="26" t="s">
        <v>23</v>
      </c>
      <c r="C12" s="9">
        <f>-'Fane 4.1. Gen. krav - drift'!G59</f>
        <v>-1240078.3094552965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196695020.63498357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5951435.5630712612</v>
      </c>
      <c r="D16" s="11" t="s">
        <v>3</v>
      </c>
      <c r="E16" s="1"/>
    </row>
    <row r="17" spans="1:5" ht="15" customHeight="1" x14ac:dyDescent="0.25">
      <c r="A17" s="1"/>
      <c r="B17" s="33" t="s">
        <v>74</v>
      </c>
      <c r="C17" s="28"/>
      <c r="D17" s="19"/>
      <c r="E17" s="1"/>
    </row>
    <row r="18" spans="1:5" ht="15" customHeight="1" x14ac:dyDescent="0.25">
      <c r="A18" s="1"/>
      <c r="B18" s="80" t="s">
        <v>74</v>
      </c>
      <c r="C18" s="10">
        <f>'Fane 12. Periodevise driftsomk.'!E19</f>
        <v>12508.204198330413</v>
      </c>
      <c r="D18" s="11" t="s">
        <v>3</v>
      </c>
      <c r="E18" s="1"/>
    </row>
    <row r="19" spans="1:5" x14ac:dyDescent="0.25">
      <c r="A19" s="1"/>
      <c r="B19" s="33" t="s">
        <v>116</v>
      </c>
      <c r="C19" s="28"/>
      <c r="D19" s="19"/>
      <c r="E19" s="1"/>
    </row>
    <row r="20" spans="1:5" ht="15" customHeight="1" x14ac:dyDescent="0.25">
      <c r="A20" s="1"/>
      <c r="B20" s="31" t="s">
        <v>138</v>
      </c>
      <c r="C20" s="10">
        <f>'Fane 7. Kontrol af ØR2022'!E31</f>
        <v>-21531163</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181127801.40225315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BMy2damES6VTqe2sG9ywvLaYK5Uk2j3DlB13mGkwXfsNtG7oBFTt/78B4NPVCjSwArfj0ZeW8XT2McWtsi7Kw==" saltValue="WLTkjooWQ76P2ZrXYNY3c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203</v>
      </c>
      <c r="C3" s="108"/>
      <c r="D3" s="108"/>
      <c r="E3" s="1"/>
    </row>
    <row r="4" spans="1:5" ht="15" customHeight="1" x14ac:dyDescent="0.25">
      <c r="A4" s="1"/>
      <c r="B4" s="108"/>
      <c r="C4" s="108"/>
      <c r="D4" s="108"/>
      <c r="E4" s="1"/>
    </row>
    <row r="5" spans="1:5" x14ac:dyDescent="0.25">
      <c r="A5" s="1"/>
      <c r="B5" s="109" t="s">
        <v>253</v>
      </c>
      <c r="C5" s="109"/>
      <c r="D5" s="109"/>
      <c r="E5" s="1"/>
    </row>
    <row r="6" spans="1:5" x14ac:dyDescent="0.25">
      <c r="A6" s="1"/>
      <c r="B6" s="71"/>
      <c r="C6" s="71"/>
      <c r="D6" s="71"/>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196695020.63498357</v>
      </c>
      <c r="D9" s="8" t="s">
        <v>3</v>
      </c>
      <c r="E9" s="1"/>
    </row>
    <row r="10" spans="1:5" ht="15" customHeight="1" x14ac:dyDescent="0.25">
      <c r="A10" s="1"/>
      <c r="B10" s="26" t="s">
        <v>19</v>
      </c>
      <c r="C10" s="7">
        <f>SUM(C9:C9)*'Fane 15. Nøgletal'!C16</f>
        <v>15892957.667306671</v>
      </c>
      <c r="D10" s="8" t="s">
        <v>3</v>
      </c>
      <c r="E10" s="1"/>
    </row>
    <row r="11" spans="1:5" ht="15" customHeight="1" x14ac:dyDescent="0.25">
      <c r="A11" s="1"/>
      <c r="B11" s="26" t="s">
        <v>10</v>
      </c>
      <c r="C11" s="9">
        <f>-SUM(C9:C10)*'Fane 5. Individuelt eff. krav'!G9</f>
        <v>-940154.20182724635</v>
      </c>
      <c r="D11" s="8" t="s">
        <v>3</v>
      </c>
      <c r="E11" s="1"/>
    </row>
    <row r="12" spans="1:5" ht="15" customHeight="1" x14ac:dyDescent="0.25">
      <c r="A12" s="1"/>
      <c r="B12" s="26" t="s">
        <v>23</v>
      </c>
      <c r="C12" s="9">
        <f>-'Fane 4.1. Gen. krav - drift'!G64</f>
        <v>-1313471.1041220988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210334352.99634087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6379235.1677674185</v>
      </c>
      <c r="D16" s="11" t="s">
        <v>3</v>
      </c>
      <c r="E16" s="1"/>
    </row>
    <row r="17" spans="1:5" ht="15" customHeight="1" x14ac:dyDescent="0.25">
      <c r="A17" s="1"/>
      <c r="B17" s="33" t="s">
        <v>74</v>
      </c>
      <c r="C17" s="28"/>
      <c r="D17" s="19"/>
      <c r="E17" s="1"/>
    </row>
    <row r="18" spans="1:5" ht="15" customHeight="1" x14ac:dyDescent="0.25">
      <c r="A18" s="1"/>
      <c r="B18" s="80" t="s">
        <v>74</v>
      </c>
      <c r="C18" s="10">
        <f>'Fane 12. Periodevise driftsomk.'!E25</f>
        <v>13518.867097555509</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216727107.03120583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EzxEzf0AkAwUJzqvB1/oad3eL0OHsk0+7j7GI0R/o6DTomB2BEHEzv5r2uLzOarKDzBtx93uHedB94aQvbr1w==" saltValue="1XOXr/DCWTslpTqvcJ48y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204</v>
      </c>
      <c r="C3" s="108"/>
      <c r="D3" s="108"/>
      <c r="E3" s="1"/>
      <c r="F3" s="1"/>
    </row>
    <row r="4" spans="1:6" ht="15" customHeight="1" x14ac:dyDescent="0.25">
      <c r="A4" s="1"/>
      <c r="B4" s="108"/>
      <c r="C4" s="108"/>
      <c r="D4" s="108"/>
      <c r="E4" s="1"/>
      <c r="F4" s="1"/>
    </row>
    <row r="5" spans="1:6" x14ac:dyDescent="0.25">
      <c r="A5" s="1"/>
      <c r="B5" s="109" t="s">
        <v>253</v>
      </c>
      <c r="C5" s="109"/>
      <c r="D5" s="109"/>
      <c r="E5" s="1"/>
      <c r="F5" s="1"/>
    </row>
    <row r="6" spans="1:6" x14ac:dyDescent="0.25">
      <c r="A6" s="1"/>
      <c r="B6" s="71"/>
      <c r="C6" s="71"/>
      <c r="D6" s="71"/>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210334352.99634087</v>
      </c>
      <c r="D9" s="8" t="s">
        <v>3</v>
      </c>
      <c r="E9" s="1"/>
      <c r="F9" s="1"/>
    </row>
    <row r="10" spans="1:6" ht="15" customHeight="1" x14ac:dyDescent="0.25">
      <c r="A10" s="1"/>
      <c r="B10" s="26" t="s">
        <v>19</v>
      </c>
      <c r="C10" s="7">
        <f>SUM(C9:C9)*'Fane 15. Nøgletal'!C16</f>
        <v>16995015.722104341</v>
      </c>
      <c r="D10" s="8" t="s">
        <v>3</v>
      </c>
      <c r="E10" s="1"/>
      <c r="F10" s="1"/>
    </row>
    <row r="11" spans="1:6" ht="15" customHeight="1" x14ac:dyDescent="0.25">
      <c r="A11" s="1"/>
      <c r="B11" s="26" t="s">
        <v>10</v>
      </c>
      <c r="C11" s="9">
        <f>-SUM(C9:C10)*'Fane 5. Individuelt eff. krav'!G9</f>
        <v>-1005346.8822939512</v>
      </c>
      <c r="D11" s="8" t="s">
        <v>3</v>
      </c>
      <c r="E11" s="1"/>
      <c r="F11" s="1"/>
    </row>
    <row r="12" spans="1:6" ht="15" customHeight="1" x14ac:dyDescent="0.25">
      <c r="A12" s="1"/>
      <c r="B12" s="26" t="s">
        <v>23</v>
      </c>
      <c r="C12" s="9">
        <f>-'Fane 4.1. Gen. krav - drift'!G69</f>
        <v>-1391207.5779484613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224932814.25820282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6841600.9805230265</v>
      </c>
      <c r="D16" s="11" t="s">
        <v>3</v>
      </c>
      <c r="E16" s="1"/>
      <c r="F16" s="1"/>
    </row>
    <row r="17" spans="1:6" ht="15" customHeight="1" x14ac:dyDescent="0.25">
      <c r="A17" s="1"/>
      <c r="B17" s="33" t="s">
        <v>74</v>
      </c>
      <c r="C17" s="28"/>
      <c r="D17" s="19"/>
      <c r="E17" s="1"/>
      <c r="F17" s="1"/>
    </row>
    <row r="18" spans="1:6" ht="15" customHeight="1" x14ac:dyDescent="0.25">
      <c r="A18" s="1"/>
      <c r="B18" s="80" t="s">
        <v>74</v>
      </c>
      <c r="C18" s="10">
        <f>'Fane 12. Periodevise driftsomk.'!E31</f>
        <v>14611.191559037994</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231789026.43028489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tW9zQnA2oaH7xRCgpDT2jcqIla/2RvmK9k490gQiGs/T7TIzv8rel5OR18VZny0/LszvvsXWYyD9s0+0jW+frA==" saltValue="hLDGW5rMeW0P/MloIDxqm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0" t="s">
        <v>205</v>
      </c>
      <c r="C3" s="110"/>
      <c r="D3" s="110"/>
      <c r="E3" s="1"/>
    </row>
    <row r="4" spans="1:5"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156887842.94796661</v>
      </c>
      <c r="D9" s="8" t="s">
        <v>3</v>
      </c>
      <c r="E9" s="1"/>
    </row>
    <row r="10" spans="1:5" x14ac:dyDescent="0.25">
      <c r="A10" s="1"/>
      <c r="B10" s="86" t="s">
        <v>36</v>
      </c>
      <c r="C10" s="7">
        <v>3107451.3924000002</v>
      </c>
      <c r="D10" s="8" t="s">
        <v>3</v>
      </c>
      <c r="E10" s="1"/>
    </row>
    <row r="11" spans="1:5" x14ac:dyDescent="0.25">
      <c r="A11" s="1"/>
      <c r="B11" s="86" t="s">
        <v>37</v>
      </c>
      <c r="C11" s="9">
        <v>10431913.750124</v>
      </c>
      <c r="D11" s="8" t="s">
        <v>3</v>
      </c>
      <c r="E11" s="1"/>
    </row>
    <row r="12" spans="1:5" x14ac:dyDescent="0.25">
      <c r="A12" s="1"/>
      <c r="B12" s="86" t="s">
        <v>26</v>
      </c>
      <c r="C12" s="9">
        <v>0</v>
      </c>
      <c r="D12" s="8" t="s">
        <v>3</v>
      </c>
      <c r="E12" s="1"/>
    </row>
    <row r="13" spans="1:5" x14ac:dyDescent="0.25">
      <c r="A13" s="1"/>
      <c r="B13" s="86" t="s">
        <v>25</v>
      </c>
      <c r="C13" s="9">
        <v>0</v>
      </c>
      <c r="D13" s="8" t="s">
        <v>3</v>
      </c>
      <c r="E13" s="1"/>
    </row>
    <row r="14" spans="1:5" x14ac:dyDescent="0.25">
      <c r="A14" s="1"/>
      <c r="B14" s="86" t="s">
        <v>105</v>
      </c>
      <c r="C14" s="9">
        <v>0</v>
      </c>
      <c r="D14" s="8" t="s">
        <v>3</v>
      </c>
      <c r="E14" s="1"/>
    </row>
    <row r="15" spans="1:5" x14ac:dyDescent="0.25">
      <c r="A15" s="1"/>
      <c r="B15" s="86" t="s">
        <v>106</v>
      </c>
      <c r="C15" s="9">
        <v>0</v>
      </c>
      <c r="D15" s="8" t="s">
        <v>3</v>
      </c>
      <c r="E15" s="1"/>
    </row>
    <row r="16" spans="1:5" x14ac:dyDescent="0.25">
      <c r="A16" s="1"/>
      <c r="B16" s="86" t="s">
        <v>19</v>
      </c>
      <c r="C16" s="41">
        <v>999731.2808021442</v>
      </c>
      <c r="D16" s="8" t="s">
        <v>3</v>
      </c>
      <c r="E16" s="1"/>
    </row>
    <row r="17" spans="1:5" x14ac:dyDescent="0.25">
      <c r="A17" s="1"/>
      <c r="B17" s="86" t="s">
        <v>10</v>
      </c>
      <c r="C17" s="41">
        <v>0</v>
      </c>
      <c r="D17" s="8" t="s">
        <v>3</v>
      </c>
      <c r="E17" s="1"/>
    </row>
    <row r="18" spans="1:5" x14ac:dyDescent="0.25">
      <c r="A18" s="1"/>
      <c r="B18" s="86" t="s">
        <v>23</v>
      </c>
      <c r="C18" s="41">
        <v>-1076798.5026666604</v>
      </c>
      <c r="D18" s="8" t="s">
        <v>3</v>
      </c>
      <c r="E18" s="1"/>
    </row>
    <row r="19" spans="1:5" x14ac:dyDescent="0.25">
      <c r="A19" s="1"/>
      <c r="B19" s="86" t="s">
        <v>24</v>
      </c>
      <c r="C19" s="41">
        <v>-1626985.3442764839</v>
      </c>
      <c r="D19" s="8" t="s">
        <v>3</v>
      </c>
      <c r="E19" s="47"/>
    </row>
    <row r="20" spans="1:5" x14ac:dyDescent="0.25">
      <c r="A20" s="1"/>
      <c r="B20" s="80" t="s">
        <v>21</v>
      </c>
      <c r="C20" s="10">
        <v>168723155.5243496</v>
      </c>
      <c r="D20" s="11" t="s">
        <v>3</v>
      </c>
      <c r="E20" s="1"/>
    </row>
    <row r="21" spans="1:5" x14ac:dyDescent="0.25">
      <c r="A21" s="1"/>
      <c r="B21" s="33" t="s">
        <v>12</v>
      </c>
      <c r="C21" s="28"/>
      <c r="D21" s="19"/>
      <c r="E21" s="1"/>
    </row>
    <row r="22" spans="1:5" x14ac:dyDescent="0.25">
      <c r="A22" s="1"/>
      <c r="B22" s="31" t="s">
        <v>12</v>
      </c>
      <c r="C22" s="10">
        <v>7184605.139304745</v>
      </c>
      <c r="D22" s="11" t="s">
        <v>3</v>
      </c>
      <c r="E22" s="1"/>
    </row>
    <row r="23" spans="1:5" x14ac:dyDescent="0.25">
      <c r="A23" s="1"/>
      <c r="B23" s="33" t="s">
        <v>74</v>
      </c>
      <c r="C23" s="28"/>
      <c r="D23" s="19"/>
      <c r="E23" s="1"/>
    </row>
    <row r="24" spans="1:5" x14ac:dyDescent="0.25">
      <c r="A24" s="1"/>
      <c r="B24" s="80" t="s">
        <v>74</v>
      </c>
      <c r="C24" s="10">
        <v>10638.4043255616</v>
      </c>
      <c r="D24" s="11" t="s">
        <v>3</v>
      </c>
      <c r="E24" s="1"/>
    </row>
    <row r="25" spans="1:5" x14ac:dyDescent="0.25">
      <c r="A25" s="1"/>
      <c r="B25" s="44" t="s">
        <v>73</v>
      </c>
      <c r="C25" s="42"/>
      <c r="D25" s="43"/>
      <c r="E25" s="1"/>
    </row>
    <row r="26" spans="1:5" x14ac:dyDescent="0.25">
      <c r="A26" s="1"/>
      <c r="B26" s="86" t="s">
        <v>158</v>
      </c>
      <c r="C26" s="9">
        <v>0</v>
      </c>
      <c r="D26" s="8" t="s">
        <v>3</v>
      </c>
      <c r="E26" s="1"/>
    </row>
    <row r="27" spans="1:5" x14ac:dyDescent="0.25">
      <c r="A27" s="1"/>
      <c r="B27" s="86" t="s">
        <v>70</v>
      </c>
      <c r="C27" s="9">
        <v>0</v>
      </c>
      <c r="D27" s="8" t="s">
        <v>3</v>
      </c>
      <c r="E27" s="1"/>
    </row>
    <row r="28" spans="1:5" x14ac:dyDescent="0.25">
      <c r="A28" s="1"/>
      <c r="B28" s="86" t="s">
        <v>161</v>
      </c>
      <c r="C28" s="9">
        <v>0</v>
      </c>
      <c r="D28" s="8" t="s">
        <v>3</v>
      </c>
      <c r="E28" s="1"/>
    </row>
    <row r="29" spans="1:5" x14ac:dyDescent="0.25">
      <c r="A29" s="1"/>
      <c r="B29" s="86" t="s">
        <v>162</v>
      </c>
      <c r="C29" s="9">
        <v>0</v>
      </c>
      <c r="D29" s="8" t="s">
        <v>3</v>
      </c>
      <c r="E29" s="1"/>
    </row>
    <row r="30" spans="1:5" x14ac:dyDescent="0.25">
      <c r="A30" s="1"/>
      <c r="B30" s="67" t="s">
        <v>75</v>
      </c>
      <c r="C30" s="10">
        <v>0</v>
      </c>
      <c r="D30" s="11" t="s">
        <v>3</v>
      </c>
      <c r="E30" s="1"/>
    </row>
    <row r="31" spans="1:5" x14ac:dyDescent="0.25">
      <c r="A31" s="1"/>
      <c r="B31" s="33" t="s">
        <v>116</v>
      </c>
      <c r="C31" s="28"/>
      <c r="D31" s="19"/>
      <c r="E31" s="1"/>
    </row>
    <row r="32" spans="1:5" x14ac:dyDescent="0.25">
      <c r="A32" s="1"/>
      <c r="B32" s="31" t="s">
        <v>138</v>
      </c>
      <c r="C32" s="10">
        <v>-16458832.565264106</v>
      </c>
      <c r="D32" s="11" t="s">
        <v>3</v>
      </c>
      <c r="E32" s="1"/>
    </row>
    <row r="33" spans="1:5" x14ac:dyDescent="0.25">
      <c r="A33" s="1"/>
      <c r="B33" s="33" t="s">
        <v>266</v>
      </c>
      <c r="C33" s="28"/>
      <c r="D33" s="19"/>
      <c r="E33" s="1"/>
    </row>
    <row r="34" spans="1:5" x14ac:dyDescent="0.25">
      <c r="A34" s="1"/>
      <c r="B34" s="31" t="s">
        <v>266</v>
      </c>
      <c r="C34" s="10">
        <v>-1508424.58</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267</v>
      </c>
      <c r="C37" s="49">
        <v>157951141.92271581</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m+/LyDeHXLcB2maKPJEmpIMGoRLV62YEjvhSiXIux9l2YEQrCizPoUH9GRCQwd9xCuRu7pRNyNfe7QlaykMFg==" saltValue="rkWs+JqBr8ccPWJG9wZo5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0" t="s">
        <v>91</v>
      </c>
      <c r="C2" s="110"/>
      <c r="D2" s="110"/>
      <c r="E2" s="110"/>
      <c r="F2" s="110"/>
      <c r="G2" s="110"/>
      <c r="H2" s="110"/>
      <c r="I2" s="1"/>
    </row>
    <row r="3" spans="1:9" ht="28.5" customHeight="1" x14ac:dyDescent="0.25">
      <c r="A3" s="1"/>
      <c r="B3" s="110"/>
      <c r="C3" s="110"/>
      <c r="D3" s="110"/>
      <c r="E3" s="110"/>
      <c r="F3" s="110"/>
      <c r="G3" s="110"/>
      <c r="H3" s="110"/>
      <c r="I3" s="1"/>
    </row>
    <row r="4" spans="1:9" x14ac:dyDescent="0.25">
      <c r="A4" s="1"/>
      <c r="B4" s="112" t="s">
        <v>46</v>
      </c>
      <c r="C4" s="113"/>
      <c r="D4" s="113"/>
      <c r="E4" s="113"/>
      <c r="F4" s="113"/>
      <c r="G4" s="113"/>
      <c r="H4" s="114"/>
      <c r="I4" s="1"/>
    </row>
    <row r="5" spans="1:9" x14ac:dyDescent="0.25">
      <c r="A5" s="1"/>
      <c r="B5" s="115" t="s">
        <v>38</v>
      </c>
      <c r="C5" s="116"/>
      <c r="D5" s="116"/>
      <c r="E5" s="116"/>
      <c r="F5" s="117"/>
      <c r="G5" s="23">
        <v>51602080.977207959</v>
      </c>
      <c r="H5" s="14" t="s">
        <v>3</v>
      </c>
      <c r="I5" s="1"/>
    </row>
    <row r="6" spans="1:9" x14ac:dyDescent="0.25">
      <c r="A6" s="1"/>
      <c r="B6" s="124" t="s">
        <v>102</v>
      </c>
      <c r="C6" s="125"/>
      <c r="D6" s="125"/>
      <c r="E6" s="125"/>
      <c r="F6" s="126"/>
      <c r="G6" s="9">
        <v>4800901</v>
      </c>
      <c r="H6" s="14" t="s">
        <v>3</v>
      </c>
      <c r="I6" s="1"/>
    </row>
    <row r="7" spans="1:9" x14ac:dyDescent="0.25">
      <c r="A7" s="1"/>
      <c r="B7" s="115" t="s">
        <v>39</v>
      </c>
      <c r="C7" s="116"/>
      <c r="D7" s="116"/>
      <c r="E7" s="116"/>
      <c r="F7" s="117"/>
      <c r="G7" s="23">
        <f>SUM(G5:G6)*'Fane 15. Nøgletal'!C33</f>
        <v>1128059.6395441592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2" t="s">
        <v>47</v>
      </c>
      <c r="C10" s="113"/>
      <c r="D10" s="113"/>
      <c r="E10" s="113"/>
      <c r="F10" s="113"/>
      <c r="G10" s="113"/>
      <c r="H10" s="114"/>
      <c r="I10" s="1"/>
    </row>
    <row r="11" spans="1:9" x14ac:dyDescent="0.25">
      <c r="A11" s="1"/>
      <c r="B11" s="115" t="s">
        <v>40</v>
      </c>
      <c r="C11" s="116"/>
      <c r="D11" s="116"/>
      <c r="E11" s="116"/>
      <c r="F11" s="117"/>
      <c r="G11" s="23">
        <f>(G5-G7)*(1+'Fane 15. Nøgletal'!C10)</f>
        <v>51357316.711072922</v>
      </c>
      <c r="H11" s="14" t="s">
        <v>3</v>
      </c>
      <c r="I11" s="1"/>
    </row>
    <row r="12" spans="1:9" ht="15" customHeight="1" x14ac:dyDescent="0.25">
      <c r="A12" s="1"/>
      <c r="B12" s="115" t="s">
        <v>103</v>
      </c>
      <c r="C12" s="116"/>
      <c r="D12" s="116"/>
      <c r="E12" s="116"/>
      <c r="F12" s="117"/>
      <c r="G12" s="9">
        <v>-513253.43180909799</v>
      </c>
      <c r="H12" s="14" t="s">
        <v>3</v>
      </c>
      <c r="I12" s="1"/>
    </row>
    <row r="13" spans="1:9" x14ac:dyDescent="0.25">
      <c r="A13" s="1"/>
      <c r="B13" s="124" t="s">
        <v>100</v>
      </c>
      <c r="C13" s="125"/>
      <c r="D13" s="125"/>
      <c r="E13" s="125"/>
      <c r="F13" s="126"/>
      <c r="G13" s="9">
        <v>3949255.5064120484</v>
      </c>
      <c r="H13" s="14" t="s">
        <v>3</v>
      </c>
      <c r="I13" s="1"/>
    </row>
    <row r="14" spans="1:9" x14ac:dyDescent="0.25">
      <c r="A14" s="1"/>
      <c r="B14" s="121" t="s">
        <v>244</v>
      </c>
      <c r="C14" s="122"/>
      <c r="D14" s="122"/>
      <c r="E14" s="122"/>
      <c r="F14" s="123"/>
      <c r="G14" s="9">
        <v>0</v>
      </c>
      <c r="H14" s="14" t="s">
        <v>3</v>
      </c>
      <c r="I14" s="1"/>
    </row>
    <row r="15" spans="1:9" x14ac:dyDescent="0.25">
      <c r="A15" s="1"/>
      <c r="B15" s="115" t="s">
        <v>41</v>
      </c>
      <c r="C15" s="116"/>
      <c r="D15" s="116"/>
      <c r="E15" s="116"/>
      <c r="F15" s="117"/>
      <c r="G15" s="23">
        <f>SUM(G11:G14)*'Fane 15. Nøgletal'!C33</f>
        <v>1095866.3757135174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2" t="s">
        <v>48</v>
      </c>
      <c r="C18" s="113"/>
      <c r="D18" s="113"/>
      <c r="E18" s="113"/>
      <c r="F18" s="113"/>
      <c r="G18" s="113"/>
      <c r="H18" s="114"/>
      <c r="I18" s="1"/>
    </row>
    <row r="19" spans="1:9" x14ac:dyDescent="0.25">
      <c r="A19" s="1"/>
      <c r="B19" s="115" t="s">
        <v>42</v>
      </c>
      <c r="C19" s="116"/>
      <c r="D19" s="116"/>
      <c r="E19" s="116"/>
      <c r="F19" s="117"/>
      <c r="G19" s="23">
        <f>(SUM(G11:G12,G14)-(G15))*(1+'Fane 15. Nøgletal'!C10)</f>
        <v>50618790.34936244</v>
      </c>
      <c r="H19" s="14" t="s">
        <v>3</v>
      </c>
      <c r="I19" s="1"/>
    </row>
    <row r="20" spans="1:9" x14ac:dyDescent="0.25">
      <c r="A20" s="1"/>
      <c r="B20" s="121" t="s">
        <v>245</v>
      </c>
      <c r="C20" s="122"/>
      <c r="D20" s="122"/>
      <c r="E20" s="122"/>
      <c r="F20" s="123"/>
      <c r="G20" s="9">
        <v>0</v>
      </c>
      <c r="H20" s="14" t="s">
        <v>3</v>
      </c>
      <c r="I20" s="1"/>
    </row>
    <row r="21" spans="1:9" x14ac:dyDescent="0.25">
      <c r="A21" s="1"/>
      <c r="B21" s="115" t="s">
        <v>43</v>
      </c>
      <c r="C21" s="116"/>
      <c r="D21" s="116"/>
      <c r="E21" s="116"/>
      <c r="F21" s="117"/>
      <c r="G21" s="23">
        <f>SUM(G19:G20)*'Fane 15. Nøgletal'!C33</f>
        <v>1012375.8069872488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2" t="s">
        <v>49</v>
      </c>
      <c r="C24" s="113"/>
      <c r="D24" s="113"/>
      <c r="E24" s="113"/>
      <c r="F24" s="113"/>
      <c r="G24" s="113"/>
      <c r="H24" s="114"/>
      <c r="I24" s="1"/>
    </row>
    <row r="25" spans="1:9" x14ac:dyDescent="0.25">
      <c r="A25" s="1"/>
      <c r="B25" s="115" t="s">
        <v>44</v>
      </c>
      <c r="C25" s="116"/>
      <c r="D25" s="116"/>
      <c r="E25" s="116"/>
      <c r="F25" s="117"/>
      <c r="G25" s="23">
        <f>(G19+G20-G21)*(1+'Fane 15. Nøgletal'!C12)</f>
        <v>50583660.908859983</v>
      </c>
      <c r="H25" s="14" t="s">
        <v>3</v>
      </c>
      <c r="I25" s="1"/>
    </row>
    <row r="26" spans="1:9" x14ac:dyDescent="0.25">
      <c r="A26" s="1"/>
      <c r="B26" s="121" t="s">
        <v>246</v>
      </c>
      <c r="C26" s="122"/>
      <c r="D26" s="122"/>
      <c r="E26" s="122"/>
      <c r="F26" s="123"/>
      <c r="G26" s="9">
        <v>0</v>
      </c>
      <c r="H26" s="14" t="s">
        <v>3</v>
      </c>
      <c r="I26" s="1"/>
    </row>
    <row r="27" spans="1:9" x14ac:dyDescent="0.25">
      <c r="A27" s="1"/>
      <c r="B27" s="115" t="s">
        <v>45</v>
      </c>
      <c r="C27" s="116"/>
      <c r="D27" s="116"/>
      <c r="E27" s="116"/>
      <c r="F27" s="117"/>
      <c r="G27" s="23">
        <f>(G25+G26)*'Fane 15. Nøgletal'!C33</f>
        <v>1011673.2181771997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2" t="s">
        <v>52</v>
      </c>
      <c r="C30" s="113"/>
      <c r="D30" s="113"/>
      <c r="E30" s="113"/>
      <c r="F30" s="113"/>
      <c r="G30" s="113"/>
      <c r="H30" s="114"/>
      <c r="I30" s="1"/>
    </row>
    <row r="31" spans="1:9" x14ac:dyDescent="0.25">
      <c r="A31" s="1"/>
      <c r="B31" s="115" t="s">
        <v>53</v>
      </c>
      <c r="C31" s="116"/>
      <c r="D31" s="116"/>
      <c r="E31" s="116"/>
      <c r="F31" s="117"/>
      <c r="G31" s="23">
        <f>(G25+G26-G27)*(1+'Fane 15. Nøgletal'!C12)</f>
        <v>50548555.848189235</v>
      </c>
      <c r="H31" s="14" t="s">
        <v>3</v>
      </c>
      <c r="I31" s="1"/>
    </row>
    <row r="32" spans="1:9" x14ac:dyDescent="0.25">
      <c r="A32" s="1"/>
      <c r="B32" s="115" t="s">
        <v>243</v>
      </c>
      <c r="C32" s="116"/>
      <c r="D32" s="116"/>
      <c r="E32" s="116"/>
      <c r="F32" s="117"/>
      <c r="G32" s="23">
        <v>1814408.3754165599</v>
      </c>
      <c r="H32" s="14" t="s">
        <v>3</v>
      </c>
      <c r="I32" s="1"/>
    </row>
    <row r="33" spans="1:9" x14ac:dyDescent="0.25">
      <c r="A33" s="1"/>
      <c r="B33" s="115" t="s">
        <v>54</v>
      </c>
      <c r="C33" s="116"/>
      <c r="D33" s="116"/>
      <c r="E33" s="116"/>
      <c r="F33" s="117"/>
      <c r="G33" s="23">
        <f>(G31+G32)*'Fane 15. Nøgletal'!C33</f>
        <v>1047259.2844721159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2" t="s">
        <v>126</v>
      </c>
      <c r="C36" s="113"/>
      <c r="D36" s="113"/>
      <c r="E36" s="113"/>
      <c r="F36" s="113"/>
      <c r="G36" s="113"/>
      <c r="H36" s="114"/>
      <c r="I36" s="1"/>
    </row>
    <row r="37" spans="1:9" x14ac:dyDescent="0.25">
      <c r="A37" s="1"/>
      <c r="B37" s="115" t="s">
        <v>68</v>
      </c>
      <c r="C37" s="116"/>
      <c r="D37" s="116"/>
      <c r="E37" s="116"/>
      <c r="F37" s="117"/>
      <c r="G37" s="23">
        <f>(G31+G32-G33)*(1+'Fane 15. Nøgletal'!C14)</f>
        <v>51485046.765432827</v>
      </c>
      <c r="H37" s="14" t="s">
        <v>3</v>
      </c>
      <c r="I37" s="1"/>
    </row>
    <row r="38" spans="1:9" x14ac:dyDescent="0.25">
      <c r="A38" s="1"/>
      <c r="B38" s="115" t="s">
        <v>242</v>
      </c>
      <c r="C38" s="116"/>
      <c r="D38" s="116"/>
      <c r="E38" s="116"/>
      <c r="F38" s="117"/>
      <c r="G38" s="9">
        <v>0</v>
      </c>
      <c r="H38" s="14" t="s">
        <v>3</v>
      </c>
      <c r="I38" s="1"/>
    </row>
    <row r="39" spans="1:9" x14ac:dyDescent="0.25">
      <c r="A39" s="1"/>
      <c r="B39" s="115" t="s">
        <v>128</v>
      </c>
      <c r="C39" s="116"/>
      <c r="D39" s="116"/>
      <c r="E39" s="116"/>
      <c r="F39" s="117"/>
      <c r="G39" s="23">
        <f>(G37+G38)*'Fane 15. Nøgletal'!C33</f>
        <v>1029700.9353086565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2" t="s">
        <v>127</v>
      </c>
      <c r="C42" s="113"/>
      <c r="D42" s="113"/>
      <c r="E42" s="113"/>
      <c r="F42" s="113"/>
      <c r="G42" s="113"/>
      <c r="H42" s="114"/>
      <c r="I42" s="1"/>
    </row>
    <row r="43" spans="1:9" x14ac:dyDescent="0.25">
      <c r="A43" s="1"/>
      <c r="B43" s="115" t="s">
        <v>155</v>
      </c>
      <c r="C43" s="116"/>
      <c r="D43" s="116"/>
      <c r="E43" s="116"/>
      <c r="F43" s="117"/>
      <c r="G43" s="23">
        <f>(G37+G38-G39)*(1+'Fane 15. Nøgletal'!C14)</f>
        <v>50621848.471363582</v>
      </c>
      <c r="H43" s="14" t="s">
        <v>3</v>
      </c>
      <c r="I43" s="1"/>
    </row>
    <row r="44" spans="1:9" x14ac:dyDescent="0.25">
      <c r="A44" s="1"/>
      <c r="B44" s="118" t="s">
        <v>157</v>
      </c>
      <c r="C44" s="119"/>
      <c r="D44" s="119"/>
      <c r="E44" s="119"/>
      <c r="F44" s="120"/>
      <c r="G44" s="45">
        <v>3218076.6619694405</v>
      </c>
      <c r="H44" s="14" t="s">
        <v>3</v>
      </c>
      <c r="I44" s="1"/>
    </row>
    <row r="45" spans="1:9" x14ac:dyDescent="0.25">
      <c r="A45" s="1"/>
      <c r="B45" s="115" t="s">
        <v>129</v>
      </c>
      <c r="C45" s="116"/>
      <c r="D45" s="116"/>
      <c r="E45" s="116"/>
      <c r="F45" s="117"/>
      <c r="G45" s="23">
        <f>SUM(G43:G44)*'Fane 15. Nøgletal'!C33</f>
        <v>1076798.5026666604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2" t="s">
        <v>192</v>
      </c>
      <c r="C51" s="113"/>
      <c r="D51" s="113"/>
      <c r="E51" s="113"/>
      <c r="F51" s="113"/>
      <c r="G51" s="113"/>
      <c r="H51" s="114"/>
      <c r="I51" s="1"/>
    </row>
    <row r="52" spans="1:9" x14ac:dyDescent="0.25">
      <c r="A52" s="1"/>
      <c r="B52" s="115" t="s">
        <v>154</v>
      </c>
      <c r="C52" s="116"/>
      <c r="D52" s="116"/>
      <c r="E52" s="116"/>
      <c r="F52" s="117"/>
      <c r="G52" s="23">
        <f>(G43+G44-G45)*(1+'Fane 15. Nøgletal'!C16)</f>
        <v>57026387.262424201</v>
      </c>
      <c r="H52" s="14" t="s">
        <v>3</v>
      </c>
      <c r="I52" s="1"/>
    </row>
    <row r="53" spans="1:9" x14ac:dyDescent="0.25">
      <c r="A53" s="1"/>
      <c r="B53" s="76" t="s">
        <v>194</v>
      </c>
      <c r="C53" s="77"/>
      <c r="D53" s="77"/>
      <c r="E53" s="77"/>
      <c r="F53" s="78"/>
      <c r="G53" s="23">
        <f>('Fane 2.1. Økonomisk ramme 2024'!C10+'Fane 2.1. Økonomisk ramme 2024'!C12+'Fane 2.1. Økonomisk ramme 2024'!C14)*(1+'Fane 15. Nøgletal'!C16)</f>
        <v>1512936.8519552001</v>
      </c>
      <c r="H53" s="14" t="s">
        <v>3</v>
      </c>
      <c r="I53" s="1"/>
    </row>
    <row r="54" spans="1:9" x14ac:dyDescent="0.25">
      <c r="A54" s="1"/>
      <c r="B54" s="115" t="s">
        <v>210</v>
      </c>
      <c r="C54" s="116"/>
      <c r="D54" s="116"/>
      <c r="E54" s="116"/>
      <c r="F54" s="117"/>
      <c r="G54" s="23">
        <f>(G52)*'Fane 15. Nøgletal'!C33+(G53)*'Fane 15. Nøgletal'!C33</f>
        <v>1170786.4822875881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2" t="s">
        <v>193</v>
      </c>
      <c r="C57" s="113"/>
      <c r="D57" s="113"/>
      <c r="E57" s="113"/>
      <c r="F57" s="113"/>
      <c r="G57" s="113"/>
      <c r="H57" s="114"/>
      <c r="I57" s="1"/>
    </row>
    <row r="58" spans="1:9" x14ac:dyDescent="0.25">
      <c r="A58" s="1"/>
      <c r="B58" s="76" t="s">
        <v>212</v>
      </c>
      <c r="C58" s="77"/>
      <c r="D58" s="77"/>
      <c r="E58" s="77"/>
      <c r="F58" s="78"/>
      <c r="G58" s="23">
        <f>(G52+G53-G54)*(1+'Fane 15. Nøgletal'!C16)</f>
        <v>62003915.472764827</v>
      </c>
      <c r="H58" s="14" t="s">
        <v>3</v>
      </c>
      <c r="I58" s="1"/>
    </row>
    <row r="59" spans="1:9" x14ac:dyDescent="0.25">
      <c r="A59" s="1"/>
      <c r="B59" s="76" t="s">
        <v>211</v>
      </c>
      <c r="C59" s="77"/>
      <c r="D59" s="77"/>
      <c r="E59" s="77"/>
      <c r="F59" s="78"/>
      <c r="G59" s="23">
        <f>(G58)*'Fane 15. Nøgletal'!C33</f>
        <v>1240078.3094552965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2" t="s">
        <v>256</v>
      </c>
      <c r="C62" s="113"/>
      <c r="D62" s="113"/>
      <c r="E62" s="113"/>
      <c r="F62" s="113"/>
      <c r="G62" s="113"/>
      <c r="H62" s="114"/>
      <c r="I62" s="1"/>
    </row>
    <row r="63" spans="1:9" x14ac:dyDescent="0.25">
      <c r="A63" s="1"/>
      <c r="B63" s="76" t="s">
        <v>213</v>
      </c>
      <c r="C63" s="77"/>
      <c r="D63" s="77"/>
      <c r="E63" s="77"/>
      <c r="F63" s="78"/>
      <c r="G63" s="23">
        <f>(G58-G59)*(1+'Fane 15. Nøgletal'!C16)</f>
        <v>65673555.206104942</v>
      </c>
      <c r="H63" s="14" t="s">
        <v>3</v>
      </c>
      <c r="I63" s="1"/>
    </row>
    <row r="64" spans="1:9" x14ac:dyDescent="0.25">
      <c r="A64" s="1"/>
      <c r="B64" s="76" t="s">
        <v>214</v>
      </c>
      <c r="C64" s="77"/>
      <c r="D64" s="77"/>
      <c r="E64" s="77"/>
      <c r="F64" s="78"/>
      <c r="G64" s="23">
        <f>(G63)*'Fane 15. Nøgletal'!C33</f>
        <v>1313471.1041220988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2" t="s">
        <v>257</v>
      </c>
      <c r="C67" s="113"/>
      <c r="D67" s="113"/>
      <c r="E67" s="113"/>
      <c r="F67" s="113"/>
      <c r="G67" s="113"/>
      <c r="H67" s="114"/>
      <c r="I67" s="1"/>
    </row>
    <row r="68" spans="1:9" x14ac:dyDescent="0.25">
      <c r="A68" s="1"/>
      <c r="B68" s="76" t="s">
        <v>213</v>
      </c>
      <c r="C68" s="77"/>
      <c r="D68" s="77"/>
      <c r="E68" s="77"/>
      <c r="F68" s="78"/>
      <c r="G68" s="23">
        <f>(G63-G64)*(1+'Fane 15. Nøgletal'!C16)</f>
        <v>69560378.897423059</v>
      </c>
      <c r="H68" s="14" t="s">
        <v>3</v>
      </c>
      <c r="I68" s="1"/>
    </row>
    <row r="69" spans="1:9" x14ac:dyDescent="0.25">
      <c r="A69" s="1"/>
      <c r="B69" s="76" t="s">
        <v>214</v>
      </c>
      <c r="C69" s="77"/>
      <c r="D69" s="77"/>
      <c r="E69" s="77"/>
      <c r="F69" s="78"/>
      <c r="G69" s="23">
        <f>(G68)*'Fane 15. Nøgletal'!C33</f>
        <v>1391207.5779484613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TcTa9gopi1k3Ju1HQNw1tRGvXB9u9TrmcIRYqlHfUHSCZuj0XmS2UGrliM9HoDCpr9hfasDhXjT14AMQNe+ADw==" saltValue="N1SZegy+b1la406H3NMl9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7" t="s">
        <v>92</v>
      </c>
      <c r="C1" s="127"/>
      <c r="D1" s="127"/>
      <c r="E1" s="127"/>
      <c r="F1" s="127"/>
      <c r="G1" s="127"/>
      <c r="H1" s="127"/>
      <c r="I1" s="1"/>
    </row>
    <row r="2" spans="1:9" ht="15" customHeight="1" x14ac:dyDescent="0.25">
      <c r="A2" s="1"/>
      <c r="B2" s="127"/>
      <c r="C2" s="127"/>
      <c r="D2" s="127"/>
      <c r="E2" s="127"/>
      <c r="F2" s="127"/>
      <c r="G2" s="127"/>
      <c r="H2" s="127"/>
      <c r="I2" s="1"/>
    </row>
    <row r="3" spans="1:9" ht="15" customHeight="1" x14ac:dyDescent="0.25">
      <c r="A3" s="1"/>
      <c r="B3" s="128"/>
      <c r="C3" s="128"/>
      <c r="D3" s="128"/>
      <c r="E3" s="128"/>
      <c r="F3" s="128"/>
      <c r="G3" s="128"/>
      <c r="H3" s="128"/>
      <c r="I3" s="1"/>
    </row>
    <row r="4" spans="1:9" x14ac:dyDescent="0.25">
      <c r="A4" s="1"/>
      <c r="B4" s="112" t="s">
        <v>50</v>
      </c>
      <c r="C4" s="113"/>
      <c r="D4" s="113"/>
      <c r="E4" s="113"/>
      <c r="F4" s="113"/>
      <c r="G4" s="113"/>
      <c r="H4" s="114"/>
      <c r="I4" s="1"/>
    </row>
    <row r="5" spans="1:9" x14ac:dyDescent="0.25">
      <c r="A5" s="1"/>
      <c r="B5" s="115" t="s">
        <v>55</v>
      </c>
      <c r="C5" s="116"/>
      <c r="D5" s="116"/>
      <c r="E5" s="116"/>
      <c r="F5" s="117"/>
      <c r="G5" s="23">
        <v>111781472</v>
      </c>
      <c r="H5" s="14" t="s">
        <v>3</v>
      </c>
      <c r="I5" s="1"/>
    </row>
    <row r="6" spans="1:9" x14ac:dyDescent="0.25">
      <c r="A6" s="1"/>
      <c r="B6" s="115" t="s">
        <v>51</v>
      </c>
      <c r="C6" s="116"/>
      <c r="D6" s="116"/>
      <c r="E6" s="116"/>
      <c r="F6" s="117"/>
      <c r="G6" s="23">
        <f>G5*'Fane 15. Nøgletal'!C21</f>
        <v>1017211.3952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2" t="s">
        <v>56</v>
      </c>
      <c r="C9" s="113"/>
      <c r="D9" s="113"/>
      <c r="E9" s="113"/>
      <c r="F9" s="113"/>
      <c r="G9" s="113"/>
      <c r="H9" s="114"/>
      <c r="I9" s="1"/>
    </row>
    <row r="10" spans="1:9" x14ac:dyDescent="0.25">
      <c r="A10" s="1"/>
      <c r="B10" s="115" t="s">
        <v>57</v>
      </c>
      <c r="C10" s="116"/>
      <c r="D10" s="116"/>
      <c r="E10" s="116"/>
      <c r="F10" s="117"/>
      <c r="G10" s="23">
        <f>(G5-G6)*(1+'Fane 15. Nøgletal'!C10)</f>
        <v>112702635.16538401</v>
      </c>
      <c r="H10" s="14" t="s">
        <v>3</v>
      </c>
      <c r="I10" s="1"/>
    </row>
    <row r="11" spans="1:9" x14ac:dyDescent="0.25">
      <c r="A11" s="1"/>
      <c r="B11" s="115" t="s">
        <v>104</v>
      </c>
      <c r="C11" s="116"/>
      <c r="D11" s="116"/>
      <c r="E11" s="116"/>
      <c r="F11" s="117"/>
      <c r="G11" s="69">
        <v>1196566.1885861347</v>
      </c>
      <c r="H11" s="14" t="s">
        <v>3</v>
      </c>
      <c r="I11" s="1"/>
    </row>
    <row r="12" spans="1:9" x14ac:dyDescent="0.25">
      <c r="A12" s="1"/>
      <c r="B12" s="121" t="s">
        <v>247</v>
      </c>
      <c r="C12" s="122"/>
      <c r="D12" s="122"/>
      <c r="E12" s="122"/>
      <c r="F12" s="123"/>
      <c r="G12" s="9">
        <v>0</v>
      </c>
      <c r="H12" s="14" t="s">
        <v>3</v>
      </c>
      <c r="I12" s="1"/>
    </row>
    <row r="13" spans="1:9" x14ac:dyDescent="0.25">
      <c r="A13" s="1"/>
      <c r="B13" s="115" t="s">
        <v>58</v>
      </c>
      <c r="C13" s="116"/>
      <c r="D13" s="116"/>
      <c r="E13" s="116"/>
      <c r="F13" s="117"/>
      <c r="G13" s="23">
        <f>SUM(G10:G12)*'Fane 15. Nøgletal'!C22</f>
        <v>2016015.8639652715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2" t="s">
        <v>59</v>
      </c>
      <c r="C16" s="113"/>
      <c r="D16" s="113"/>
      <c r="E16" s="113"/>
      <c r="F16" s="113"/>
      <c r="G16" s="113"/>
      <c r="H16" s="114"/>
      <c r="I16" s="1"/>
    </row>
    <row r="17" spans="1:9" x14ac:dyDescent="0.25">
      <c r="A17" s="1"/>
      <c r="B17" s="115" t="s">
        <v>60</v>
      </c>
      <c r="C17" s="116"/>
      <c r="D17" s="116"/>
      <c r="E17" s="116"/>
      <c r="F17" s="117"/>
      <c r="G17" s="23">
        <f>(SUM(G10:G12)-G13)*(1+'Fane 15. Nøgletal'!C10)</f>
        <v>113841141.23607996</v>
      </c>
      <c r="H17" s="14" t="s">
        <v>3</v>
      </c>
      <c r="I17" s="1"/>
    </row>
    <row r="18" spans="1:9" x14ac:dyDescent="0.25">
      <c r="A18" s="1"/>
      <c r="B18" s="121" t="s">
        <v>248</v>
      </c>
      <c r="C18" s="122"/>
      <c r="D18" s="122"/>
      <c r="E18" s="122"/>
      <c r="F18" s="123"/>
      <c r="G18" s="23">
        <v>355393.5083591899</v>
      </c>
      <c r="H18" s="14" t="s">
        <v>3</v>
      </c>
      <c r="I18" s="1"/>
    </row>
    <row r="19" spans="1:9" x14ac:dyDescent="0.25">
      <c r="A19" s="1"/>
      <c r="B19" s="115" t="s">
        <v>61</v>
      </c>
      <c r="C19" s="116"/>
      <c r="D19" s="116"/>
      <c r="E19" s="116"/>
      <c r="F19" s="117"/>
      <c r="G19" s="23">
        <f>G17*'Fane 15. Nøgletal'!C22+G18*'Fane 15. Nøgletal'!C23</f>
        <v>2018080.1234013403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2" t="s">
        <v>62</v>
      </c>
      <c r="C22" s="113"/>
      <c r="D22" s="113"/>
      <c r="E22" s="113"/>
      <c r="F22" s="113"/>
      <c r="G22" s="113"/>
      <c r="H22" s="114"/>
      <c r="I22" s="1"/>
    </row>
    <row r="23" spans="1:9" x14ac:dyDescent="0.25">
      <c r="A23" s="1"/>
      <c r="B23" s="115" t="s">
        <v>63</v>
      </c>
      <c r="C23" s="116"/>
      <c r="D23" s="116"/>
      <c r="E23" s="116"/>
      <c r="F23" s="117"/>
      <c r="G23" s="23">
        <f>(G17+G18-G19)*(1+'Fane 15. Nøgletal'!C12)</f>
        <v>114388370.17707226</v>
      </c>
      <c r="H23" s="14" t="s">
        <v>3</v>
      </c>
      <c r="I23" s="1"/>
    </row>
    <row r="24" spans="1:9" x14ac:dyDescent="0.25">
      <c r="A24" s="1"/>
      <c r="B24" s="121" t="s">
        <v>249</v>
      </c>
      <c r="C24" s="122"/>
      <c r="D24" s="122"/>
      <c r="E24" s="122"/>
      <c r="F24" s="123"/>
      <c r="G24" s="23">
        <v>18963.655185420001</v>
      </c>
      <c r="H24" s="14" t="s">
        <v>3</v>
      </c>
      <c r="I24" s="1"/>
    </row>
    <row r="25" spans="1:9" x14ac:dyDescent="0.25">
      <c r="A25" s="1"/>
      <c r="B25" s="115" t="s">
        <v>64</v>
      </c>
      <c r="C25" s="116"/>
      <c r="D25" s="116"/>
      <c r="E25" s="116"/>
      <c r="F25" s="117"/>
      <c r="G25" s="23">
        <f>(G23+G24)*'Fane 15. Nøgletal'!C24</f>
        <v>3249168.2808361179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2" t="s">
        <v>65</v>
      </c>
      <c r="C28" s="113"/>
      <c r="D28" s="113"/>
      <c r="E28" s="113"/>
      <c r="F28" s="113"/>
      <c r="G28" s="113"/>
      <c r="H28" s="114"/>
      <c r="I28" s="1"/>
    </row>
    <row r="29" spans="1:9" x14ac:dyDescent="0.25">
      <c r="A29" s="1"/>
      <c r="B29" s="115" t="s">
        <v>66</v>
      </c>
      <c r="C29" s="116"/>
      <c r="D29" s="116"/>
      <c r="E29" s="116"/>
      <c r="F29" s="117"/>
      <c r="G29" s="23">
        <f>(G23+G24-G25)*(1+'Fane 15. Nøgletal'!C12)</f>
        <v>113347981.41278456</v>
      </c>
      <c r="H29" s="14" t="s">
        <v>3</v>
      </c>
      <c r="I29" s="1"/>
    </row>
    <row r="30" spans="1:9" x14ac:dyDescent="0.25">
      <c r="A30" s="1"/>
      <c r="B30" s="115" t="s">
        <v>250</v>
      </c>
      <c r="C30" s="116"/>
      <c r="D30" s="116"/>
      <c r="E30" s="116"/>
      <c r="F30" s="117"/>
      <c r="G30" s="23">
        <v>741544.88576868002</v>
      </c>
      <c r="H30" s="14" t="s">
        <v>3</v>
      </c>
      <c r="I30" s="1"/>
    </row>
    <row r="31" spans="1:9" x14ac:dyDescent="0.25">
      <c r="A31" s="1"/>
      <c r="B31" s="115" t="s">
        <v>67</v>
      </c>
      <c r="C31" s="116"/>
      <c r="D31" s="116"/>
      <c r="E31" s="116"/>
      <c r="F31" s="117"/>
      <c r="G31" s="23">
        <f>G29*'Fane 15. Nøgletal'!C24+G30*'Fane 15. Nøgletal'!C25</f>
        <v>3239475.15648172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2" t="s">
        <v>130</v>
      </c>
      <c r="C34" s="113"/>
      <c r="D34" s="113"/>
      <c r="E34" s="113"/>
      <c r="F34" s="113"/>
      <c r="G34" s="113"/>
      <c r="H34" s="114"/>
      <c r="I34" s="1"/>
    </row>
    <row r="35" spans="1:9" x14ac:dyDescent="0.25">
      <c r="A35" s="1"/>
      <c r="B35" s="115" t="s">
        <v>215</v>
      </c>
      <c r="C35" s="116"/>
      <c r="D35" s="116"/>
      <c r="E35" s="116"/>
      <c r="F35" s="117"/>
      <c r="G35" s="23">
        <f>(G29+G30-G31)*(1+'Fane 15. Nøgletal'!C14)</f>
        <v>111215856.31084037</v>
      </c>
      <c r="H35" s="14" t="s">
        <v>3</v>
      </c>
      <c r="I35" s="1"/>
    </row>
    <row r="36" spans="1:9" x14ac:dyDescent="0.25">
      <c r="A36" s="1"/>
      <c r="B36" s="115" t="s">
        <v>251</v>
      </c>
      <c r="C36" s="116"/>
      <c r="D36" s="116"/>
      <c r="E36" s="116"/>
      <c r="F36" s="117"/>
      <c r="G36" s="9">
        <v>0</v>
      </c>
      <c r="H36" s="14" t="s">
        <v>3</v>
      </c>
      <c r="I36" s="1"/>
    </row>
    <row r="37" spans="1:9" x14ac:dyDescent="0.25">
      <c r="A37" s="1"/>
      <c r="B37" s="115" t="s">
        <v>131</v>
      </c>
      <c r="C37" s="116"/>
      <c r="D37" s="116"/>
      <c r="E37" s="116"/>
      <c r="F37" s="117"/>
      <c r="G37" s="23">
        <f>(G35+G36)*'Fane 15. Nøgletal'!C26</f>
        <v>1645994.6734004375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2" t="s">
        <v>151</v>
      </c>
      <c r="C40" s="113"/>
      <c r="D40" s="113"/>
      <c r="E40" s="113"/>
      <c r="F40" s="113"/>
      <c r="G40" s="113"/>
      <c r="H40" s="114"/>
      <c r="I40" s="1"/>
    </row>
    <row r="41" spans="1:9" x14ac:dyDescent="0.25">
      <c r="A41" s="1"/>
      <c r="B41" s="115" t="s">
        <v>216</v>
      </c>
      <c r="C41" s="116"/>
      <c r="D41" s="116"/>
      <c r="E41" s="116"/>
      <c r="F41" s="117"/>
      <c r="G41" s="23">
        <f>(G35+G36-G37)*(1+'Fane 15. Nøgletal'!C14)</f>
        <v>109931442.1808435</v>
      </c>
      <c r="H41" s="14" t="s">
        <v>3</v>
      </c>
      <c r="I41" s="1"/>
    </row>
    <row r="42" spans="1:9" x14ac:dyDescent="0.25">
      <c r="A42" s="1"/>
      <c r="B42" s="40" t="s">
        <v>156</v>
      </c>
      <c r="C42" s="77"/>
      <c r="D42" s="77"/>
      <c r="E42" s="77"/>
      <c r="F42" s="78"/>
      <c r="G42" s="23">
        <v>10803289.879628414</v>
      </c>
      <c r="H42" s="14" t="s">
        <v>3</v>
      </c>
      <c r="I42" s="1"/>
    </row>
    <row r="43" spans="1:9" x14ac:dyDescent="0.25">
      <c r="A43" s="1"/>
      <c r="B43" s="115" t="s">
        <v>132</v>
      </c>
      <c r="C43" s="116"/>
      <c r="D43" s="116"/>
      <c r="E43" s="116"/>
      <c r="F43" s="117"/>
      <c r="G43" s="23">
        <f>(G41)*'Fane 15. Nøgletal'!C26+G42*'Fane 15. Nøgletal'!C27</f>
        <v>1626985.3442764839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2" t="s">
        <v>259</v>
      </c>
      <c r="C52" s="113"/>
      <c r="D52" s="113"/>
      <c r="E52" s="113"/>
      <c r="F52" s="113"/>
      <c r="G52" s="113"/>
      <c r="H52" s="114"/>
      <c r="I52" s="1"/>
    </row>
    <row r="53" spans="1:9" x14ac:dyDescent="0.25">
      <c r="A53" s="1"/>
      <c r="B53" s="115" t="s">
        <v>217</v>
      </c>
      <c r="C53" s="116"/>
      <c r="D53" s="116"/>
      <c r="E53" s="116"/>
      <c r="F53" s="117"/>
      <c r="G53" s="23">
        <f>(G41+G42-G43)*(1+'Fane 15. Nøgletal'!C16)</f>
        <v>128731652.65086402</v>
      </c>
      <c r="H53" s="14" t="s">
        <v>3</v>
      </c>
      <c r="I53" s="1"/>
    </row>
    <row r="54" spans="1:9" x14ac:dyDescent="0.25">
      <c r="A54" s="1"/>
      <c r="B54" s="76" t="s">
        <v>195</v>
      </c>
      <c r="C54" s="77"/>
      <c r="D54" s="77"/>
      <c r="E54" s="77"/>
      <c r="F54" s="78"/>
      <c r="G54" s="23">
        <f>('Fane 2.1. Økonomisk ramme 2024'!C11+'Fane 2.1. Økonomisk ramme 2024'!C13+'Fane 2.1. Økonomisk ramme 2024'!C15)*(1+'Fane 15. Nøgletal'!C16)</f>
        <v>2075279.3059177985</v>
      </c>
      <c r="H54" s="14" t="s">
        <v>3</v>
      </c>
      <c r="I54" s="1"/>
    </row>
    <row r="55" spans="1:9" x14ac:dyDescent="0.25">
      <c r="A55" s="1"/>
      <c r="B55" s="115" t="s">
        <v>218</v>
      </c>
      <c r="C55" s="116"/>
      <c r="D55" s="116"/>
      <c r="E55" s="116"/>
      <c r="F55" s="117"/>
      <c r="G55" s="9">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2" t="s">
        <v>258</v>
      </c>
      <c r="C58" s="113"/>
      <c r="D58" s="113"/>
      <c r="E58" s="113"/>
      <c r="F58" s="113"/>
      <c r="G58" s="113"/>
      <c r="H58" s="114"/>
      <c r="I58" s="1"/>
    </row>
    <row r="59" spans="1:9" x14ac:dyDescent="0.25">
      <c r="A59" s="1"/>
      <c r="B59" s="115" t="s">
        <v>219</v>
      </c>
      <c r="C59" s="116"/>
      <c r="D59" s="116"/>
      <c r="E59" s="116"/>
      <c r="F59" s="117"/>
      <c r="G59" s="23">
        <f>(G53+G54-G55)*(1+'Fane 15. Nøgletal'!C16)</f>
        <v>141376132.05888978</v>
      </c>
      <c r="H59" s="14" t="s">
        <v>3</v>
      </c>
      <c r="I59" s="1"/>
    </row>
    <row r="60" spans="1:9" x14ac:dyDescent="0.25">
      <c r="A60" s="1"/>
      <c r="B60" s="115" t="s">
        <v>220</v>
      </c>
      <c r="C60" s="116"/>
      <c r="D60" s="116"/>
      <c r="E60" s="116"/>
      <c r="F60" s="117"/>
      <c r="G60" s="9">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2" t="s">
        <v>141</v>
      </c>
      <c r="C63" s="113"/>
      <c r="D63" s="113"/>
      <c r="E63" s="113"/>
      <c r="F63" s="113"/>
      <c r="G63" s="113"/>
      <c r="H63" s="114"/>
      <c r="I63" s="1"/>
    </row>
    <row r="64" spans="1:9" x14ac:dyDescent="0.25">
      <c r="A64" s="1"/>
      <c r="B64" s="115" t="s">
        <v>221</v>
      </c>
      <c r="C64" s="116"/>
      <c r="D64" s="116"/>
      <c r="E64" s="116"/>
      <c r="F64" s="117"/>
      <c r="G64" s="23">
        <f>(G59-G60)*(1+'Fane 15. Nøgletal'!C16)</f>
        <v>152799323.52924806</v>
      </c>
      <c r="H64" s="14" t="s">
        <v>3</v>
      </c>
      <c r="I64" s="1"/>
    </row>
    <row r="65" spans="1:9" x14ac:dyDescent="0.25">
      <c r="A65" s="1"/>
      <c r="B65" s="115" t="s">
        <v>222</v>
      </c>
      <c r="C65" s="116"/>
      <c r="D65" s="116"/>
      <c r="E65" s="116"/>
      <c r="F65" s="117"/>
      <c r="G65" s="9">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2" t="s">
        <v>223</v>
      </c>
      <c r="C68" s="113"/>
      <c r="D68" s="113"/>
      <c r="E68" s="113"/>
      <c r="F68" s="113"/>
      <c r="G68" s="113"/>
      <c r="H68" s="114"/>
      <c r="I68" s="1"/>
    </row>
    <row r="69" spans="1:9" x14ac:dyDescent="0.25">
      <c r="A69" s="1"/>
      <c r="B69" s="115" t="s">
        <v>221</v>
      </c>
      <c r="C69" s="116"/>
      <c r="D69" s="116"/>
      <c r="E69" s="116"/>
      <c r="F69" s="117"/>
      <c r="G69" s="23">
        <f>(G64-G65)*(1+'Fane 15. Nøgletal'!C16)</f>
        <v>165145508.87041131</v>
      </c>
      <c r="H69" s="14" t="s">
        <v>3</v>
      </c>
      <c r="I69" s="1"/>
    </row>
    <row r="70" spans="1:9" x14ac:dyDescent="0.25">
      <c r="A70" s="1"/>
      <c r="B70" s="115" t="s">
        <v>222</v>
      </c>
      <c r="C70" s="116"/>
      <c r="D70" s="116"/>
      <c r="E70" s="116"/>
      <c r="F70" s="117"/>
      <c r="G70" s="9">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c3ytgmgT/u1roq/kvKHZpSBoxU3JRwypxc7I4QJFOtiigjWdGqO+P7rUgx2MUO0NR2yP30MyhAtNoQiufgVOww==" saltValue="uZUMcsY/WWtwuKdUoAOwY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76</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2" t="s">
        <v>10</v>
      </c>
      <c r="C8" s="113"/>
      <c r="D8" s="113"/>
      <c r="E8" s="113"/>
      <c r="F8" s="113"/>
      <c r="G8" s="114"/>
      <c r="H8" s="1"/>
    </row>
    <row r="9" spans="1:8" x14ac:dyDescent="0.25">
      <c r="A9" s="1"/>
      <c r="B9" s="115" t="s">
        <v>271</v>
      </c>
      <c r="C9" s="116"/>
      <c r="D9" s="116"/>
      <c r="E9" s="116"/>
      <c r="F9" s="117"/>
      <c r="G9" s="22">
        <v>4.4224241151133705E-3</v>
      </c>
      <c r="H9" s="1"/>
    </row>
    <row r="10" spans="1:8" x14ac:dyDescent="0.25">
      <c r="A10" s="1"/>
      <c r="B10" s="33"/>
      <c r="C10" s="28"/>
      <c r="D10" s="28"/>
      <c r="E10" s="28"/>
      <c r="F10" s="28"/>
      <c r="G10" s="19"/>
      <c r="H10" s="1"/>
    </row>
    <row r="11" spans="1:8" ht="33" customHeight="1" x14ac:dyDescent="0.25">
      <c r="A11" s="1"/>
      <c r="B11" s="129" t="s">
        <v>264</v>
      </c>
      <c r="C11" s="129"/>
      <c r="D11" s="129"/>
      <c r="E11" s="129"/>
      <c r="F11" s="129"/>
      <c r="G11" s="12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TI4lwfaiswqfrhQHVKMUvTauycdSKM6SIYsCo/dwHsRrLltvrOfhPm5V1qVIAiCHoba7RTSFdjq5OygPi13vHA==" saltValue="j2sbsS3dSL+DYDpAFMeWR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2024-02-12T13:30:45Z</dcterms:modified>
</cp:coreProperties>
</file>