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orsyningen Brovst og Omegn (V20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/>
  <c r="E26" i="32"/>
  <c r="E10" i="11"/>
  <c r="E9" i="32"/>
  <c r="E39" i="32"/>
  <c r="E42" i="32"/>
  <c r="E21" i="15"/>
  <c r="E25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2" i="2"/>
  <c r="E18" i="22"/>
  <c r="C13" i="39"/>
  <c r="E21" i="2"/>
  <c r="E19" i="15"/>
  <c r="E23" i="2"/>
  <c r="E15" i="27"/>
  <c r="E16" i="27"/>
  <c r="E27" i="27"/>
  <c r="E9" i="2"/>
  <c r="E34" i="32"/>
  <c r="E40" i="32"/>
  <c r="E43" i="32"/>
  <c r="E22" i="15"/>
  <c r="E26" i="2"/>
  <c r="F11" i="11"/>
  <c r="C10" i="37"/>
  <c r="C12" i="37"/>
  <c r="C13" i="37"/>
  <c r="E12" i="2" s="1"/>
  <c r="G11" i="11"/>
  <c r="E11" i="21"/>
  <c r="C11" i="21"/>
  <c r="E11" i="29"/>
  <c r="C11" i="29"/>
  <c r="C13" i="19"/>
  <c r="E14" i="23"/>
  <c r="E19" i="2"/>
  <c r="E14" i="22"/>
  <c r="E15" i="15"/>
  <c r="C12" i="21"/>
  <c r="E12" i="21"/>
  <c r="C12" i="29"/>
  <c r="E12" i="29"/>
  <c r="E14" i="2"/>
  <c r="E13" i="2"/>
  <c r="E11" i="11"/>
  <c r="E10" i="37"/>
  <c r="E12" i="37"/>
  <c r="E13" i="37"/>
  <c r="E15" i="2" l="1"/>
  <c r="E16" i="2" s="1"/>
  <c r="E17" i="2" l="1"/>
  <c r="E29" i="2" l="1"/>
  <c r="E9" i="15"/>
  <c r="E11" i="15" l="1"/>
  <c r="E13" i="15" s="1"/>
  <c r="E12" i="15"/>
  <c r="E8" i="22" l="1"/>
  <c r="E23" i="15"/>
  <c r="E10" i="22" l="1"/>
  <c r="E11" i="22" s="1"/>
  <c r="E12" i="22" l="1"/>
  <c r="E19" i="22" l="1"/>
  <c r="E8" i="23"/>
  <c r="E10" i="23" l="1"/>
  <c r="E11" i="23" s="1"/>
  <c r="E12" i="23" l="1"/>
  <c r="E19" i="23" s="1"/>
</calcChain>
</file>

<file path=xl/sharedStrings.xml><?xml version="1.0" encoding="utf-8"?>
<sst xmlns="http://schemas.openxmlformats.org/spreadsheetml/2006/main" count="416" uniqueCount="161">
  <si>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</si>
  <si>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</si>
  <si>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</si>
  <si>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</si>
  <si>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</si>
  <si>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</si>
  <si>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</si>
  <si>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</si>
  <si>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</si>
  <si>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</si>
  <si>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</si>
  <si>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</si>
  <si>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</si>
  <si>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</si>
  <si>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</si>
  <si>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</si>
  <si>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</si>
  <si>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</si>
  <si>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</si>
  <si>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</si>
  <si>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</si>
  <si>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</si>
  <si>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</si>
  <si>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</si>
  <si>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</si>
  <si>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</si>
  <si>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</si>
  <si>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</si>
  <si>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</si>
  <si>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</si>
  <si>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</si>
  <si>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</si>
  <si>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</si>
  <si>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</si>
  <si>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</si>
  <si>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</si>
  <si>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</si>
  <si>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</si>
  <si>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</si>
  <si>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</si>
  <si>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</si>
  <si>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</si>
  <si>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</si>
  <si>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</si>
  <si>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</si>
  <si>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</si>
  <si>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</si>
  <si>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</si>
  <si>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</si>
  <si>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</si>
  <si>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</si>
  <si>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</si>
  <si>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</si>
  <si>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</si>
  <si>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</si>
  <si>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</si>
  <si>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</si>
  <si>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</si>
  <si>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</si>
  <si>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</si>
  <si>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</si>
  <si>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</si>
  <si>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</si>
  <si>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</si>
  <si>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</si>
  <si>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</si>
  <si>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</si>
  <si>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</si>
  <si>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</si>
  <si>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</si>
  <si>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</si>
  <si>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</si>
  <si>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</si>
  <si>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</si>
  <si>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</si>
  <si>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</si>
  <si>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</si>
  <si>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</si>
  <si>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</si>
  <si>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</si>
  <si>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</si>
  <si>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</si>
  <si>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</si>
  <si>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</si>
  <si>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</si>
  <si>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</si>
  <si>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</si>
  <si>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</si>
  <si>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</si>
  <si>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</si>
  <si>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</si>
  <si>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</si>
  <si>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</si>
  <si>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</si>
  <si>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</si>
  <si>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</si>
  <si>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</si>
  <si>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</si>
  <si>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</si>
  <si>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</si>
  <si>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</si>
  <si>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</si>
  <si>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</si>
  <si>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</si>
  <si>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</si>
  <si>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</si>
  <si>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</si>
  <si>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</si>
  <si>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</si>
  <si>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</si>
  <si>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</si>
  <si>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</si>
  <si>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</si>
  <si>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</si>
  <si>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</si>
  <si>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</si>
  <si>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</si>
  <si>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</si>
  <si>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</si>
  <si>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</si>
  <si>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</si>
  <si>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</si>
  <si>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</si>
  <si>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</si>
  <si>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</si>
  <si>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</si>
  <si>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</si>
  <si>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</si>
  <si>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</si>
  <si>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</si>
  <si>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</si>
  <si>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</si>
  <si>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</si>
  <si>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</si>
  <si>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</si>
  <si>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</si>
  <si>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</si>
  <si>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</si>
  <si>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</si>
  <si>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</si>
  <si>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</si>
  <si>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</si>
  <si>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</si>
  <si>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</si>
  <si>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</si>
  <si>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</si>
  <si>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</si>
  <si>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</si>
  <si>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</si>
  <si>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</si>
  <si>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</si>
  <si>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</si>
  <si>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</si>
  <si>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til Forsyningssekretariatet</t>
  </si>
  <si>
    <t>Ingen anlægsprojekter</t>
  </si>
  <si>
    <t>Grundvandsbeskyttende fredsskov</t>
  </si>
  <si>
    <t>Ingen engangstillæg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</si>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</sst>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165" fontId="15" fillId="7" borderId="1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5">
    <cellStyle name="Komma" xfId="4" builtinId="3"/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131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83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15</v>
      </c>
      <c r="D14" s="60" t="s">
        <v>132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37</v>
      </c>
      <c r="D15" s="60" t="s">
        <v>47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38</v>
      </c>
      <c r="D16" s="60" t="s">
        <v>84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79</v>
      </c>
      <c r="D17" s="60" t="s">
        <v>85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7" t="s">
        <v>12</v>
      </c>
      <c r="E18" s="58"/>
      <c r="F18" s="58"/>
      <c r="G18" s="59"/>
      <c r="H18" s="1"/>
      <c r="I18" s="1"/>
    </row>
    <row r="19" spans="1:9" x14ac:dyDescent="0.2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2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2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2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2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2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25">
      <c r="A25" s="1"/>
      <c r="B25" s="1"/>
      <c r="C25" s="6" t="s">
        <v>61</v>
      </c>
      <c r="D25" s="54" t="s">
        <v>75</v>
      </c>
      <c r="E25" s="55"/>
      <c r="F25" s="55"/>
      <c r="G25" s="56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kTRl2Em6Yrq8VRKtA87J/cDrf3WvkNX06VayOg+Y6Ak7LuJKna4jL90E6Mci20XBQuz2RXTfaytbp2E2cxDZA==" saltValue="KSkaiUyNDCPvo+qvQJhrIA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25">
      <c r="A9" s="1"/>
      <c r="B9" s="34" t="s">
        <v>16</v>
      </c>
      <c r="C9" s="34" t="s">
        <v>11</v>
      </c>
      <c r="D9" s="35"/>
      <c r="E9" s="34" t="s">
        <v>31</v>
      </c>
      <c r="F9" s="44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0" t="s">
        <v>155</v>
      </c>
      <c r="C11" s="19">
        <v>136906</v>
      </c>
      <c r="D11" s="12" t="s">
        <v>3</v>
      </c>
      <c r="E11" s="8">
        <v>56689</v>
      </c>
      <c r="F11" s="12" t="s">
        <v>3</v>
      </c>
      <c r="G11" s="1"/>
    </row>
    <row r="12" spans="1:7" x14ac:dyDescent="0.25">
      <c r="A12" s="1"/>
      <c r="B12" s="45" t="s">
        <v>42</v>
      </c>
      <c r="C12" s="10">
        <f>SUM(C10:C11)</f>
        <v>136906</v>
      </c>
      <c r="D12" s="11" t="s">
        <v>3</v>
      </c>
      <c r="E12" s="10">
        <f>SUM(E10:E11)</f>
        <v>56689</v>
      </c>
      <c r="F12" s="11" t="s">
        <v>3</v>
      </c>
      <c r="G12" s="1"/>
    </row>
    <row r="13" spans="1:7" x14ac:dyDescent="0.25">
      <c r="A13" s="1"/>
      <c r="B13" s="45" t="s">
        <v>103</v>
      </c>
      <c r="C13" s="10">
        <f>C12*(1+'Fane 10. Nøgletal'!C13)</f>
        <v>138576.25320000001</v>
      </c>
      <c r="D13" s="11" t="s">
        <v>3</v>
      </c>
      <c r="E13" s="10">
        <f>E12*(1+'Fane 10. Nøgletal'!C13)</f>
        <v>57380.605799999998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F1acEELVLrFHFgK8lNp4DJQRVpQ/bmDfsWs1NTZJsludDUKPgJvb7+ersT0zQsSpFhjRIJ1nWyWAWh4ttgQDA==" saltValue="fzK9NJSJE4jo8HIDFtU/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65</v>
      </c>
      <c r="C8" s="85"/>
      <c r="D8" s="85"/>
      <c r="E8" s="85"/>
      <c r="F8" s="86"/>
      <c r="G8" s="1"/>
    </row>
    <row r="9" spans="1:7" x14ac:dyDescent="0.25">
      <c r="A9" s="1"/>
      <c r="B9" s="34" t="s">
        <v>16</v>
      </c>
      <c r="C9" s="34" t="s">
        <v>11</v>
      </c>
      <c r="D9" s="35"/>
      <c r="E9" s="34" t="s">
        <v>31</v>
      </c>
      <c r="F9" s="44"/>
      <c r="G9" s="1"/>
    </row>
    <row r="10" spans="1:7" x14ac:dyDescent="0.25">
      <c r="A10" s="1"/>
      <c r="B10" s="20" t="s">
        <v>156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4" t="s">
        <v>66</v>
      </c>
      <c r="C15" s="85"/>
      <c r="D15" s="85"/>
      <c r="E15" s="85"/>
      <c r="F15" s="86"/>
      <c r="G15" s="1"/>
    </row>
    <row r="16" spans="1:7" x14ac:dyDescent="0.25">
      <c r="A16" s="1"/>
      <c r="B16" s="34" t="s">
        <v>16</v>
      </c>
      <c r="C16" s="34" t="s">
        <v>11</v>
      </c>
      <c r="D16" s="35"/>
      <c r="E16" s="34" t="s">
        <v>31</v>
      </c>
      <c r="F16" s="44"/>
      <c r="G16" s="1"/>
    </row>
    <row r="17" spans="1:7" x14ac:dyDescent="0.25">
      <c r="A17" s="1"/>
      <c r="B17" s="20" t="s">
        <v>156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4" t="s">
        <v>67</v>
      </c>
      <c r="C22" s="85"/>
      <c r="D22" s="85"/>
      <c r="E22" s="85"/>
      <c r="F22" s="86"/>
      <c r="G22" s="1"/>
    </row>
    <row r="23" spans="1:7" x14ac:dyDescent="0.25">
      <c r="A23" s="1"/>
      <c r="B23" s="34" t="s">
        <v>16</v>
      </c>
      <c r="C23" s="34" t="s">
        <v>11</v>
      </c>
      <c r="D23" s="35"/>
      <c r="E23" s="34" t="s">
        <v>31</v>
      </c>
      <c r="F23" s="44"/>
      <c r="G23" s="1"/>
    </row>
    <row r="24" spans="1:7" x14ac:dyDescent="0.25">
      <c r="A24" s="1"/>
      <c r="B24" s="20" t="s">
        <v>156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4" t="s">
        <v>114</v>
      </c>
      <c r="C29" s="85"/>
      <c r="D29" s="85"/>
      <c r="E29" s="85"/>
      <c r="F29" s="86"/>
      <c r="G29" s="1"/>
    </row>
    <row r="30" spans="1:7" x14ac:dyDescent="0.25">
      <c r="A30" s="1"/>
      <c r="B30" s="34" t="s">
        <v>16</v>
      </c>
      <c r="C30" s="34" t="s">
        <v>11</v>
      </c>
      <c r="D30" s="35"/>
      <c r="E30" s="34" t="s">
        <v>31</v>
      </c>
      <c r="F30" s="44"/>
      <c r="G30" s="1"/>
    </row>
    <row r="31" spans="1:7" x14ac:dyDescent="0.25">
      <c r="A31" s="1"/>
      <c r="B31" s="20" t="s">
        <v>156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+yK3aaZ2ZBoRgQJcLMduSb6lz4uJQ9kUlaaGSWIrtAfZr9iWw8Z0FjFTwx4CVT9A4QPzTiJW78gS1NPhKWpUw==" saltValue="FSiSgmJNxLHAqVw8jJYC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142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106</v>
      </c>
      <c r="C8" s="85"/>
      <c r="D8" s="85"/>
      <c r="E8" s="85"/>
      <c r="F8" s="86"/>
      <c r="G8" s="1"/>
    </row>
    <row r="9" spans="1:7" ht="15" customHeight="1" x14ac:dyDescent="0.25">
      <c r="A9" s="1"/>
      <c r="B9" s="43" t="s">
        <v>115</v>
      </c>
      <c r="C9" s="94" t="s">
        <v>11</v>
      </c>
      <c r="D9" s="95"/>
      <c r="E9" s="94" t="s">
        <v>31</v>
      </c>
      <c r="F9" s="95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kbJh2bY+xZlCp2LgkI2FjyS7/BpIGQIIiak9f9pZmFPGTgpYT55JCTXWBd/Tcq1iz+FXTauv7vHw+bL7nnpJg==" saltValue="/IPreqqUoxVQAyBmBkL3q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143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59</v>
      </c>
      <c r="C8" s="85"/>
      <c r="D8" s="85"/>
      <c r="E8" s="85"/>
      <c r="F8" s="86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58</v>
      </c>
      <c r="C14" s="85"/>
      <c r="D14" s="85"/>
      <c r="E14" s="85"/>
      <c r="F14" s="86"/>
      <c r="G14" s="1"/>
    </row>
    <row r="15" spans="1:7" ht="26.25" x14ac:dyDescent="0.2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60</v>
      </c>
      <c r="C20" s="85"/>
      <c r="D20" s="85"/>
      <c r="E20" s="85"/>
      <c r="F20" s="86"/>
      <c r="G20" s="1"/>
    </row>
    <row r="21" spans="1:7" ht="26.25" x14ac:dyDescent="0.2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109</v>
      </c>
      <c r="C26" s="85"/>
      <c r="D26" s="85"/>
      <c r="E26" s="85"/>
      <c r="F26" s="86"/>
      <c r="G26" s="1"/>
    </row>
    <row r="27" spans="1:7" ht="26.25" x14ac:dyDescent="0.2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GT/MeRpzGczmQ/ZAXRjhvsvxURpLROSS6jdRVIqLIXFfF/2e49wL+Z+Fv7IjHDrUsyuXuZDHkzUNMYsEYtbpQ==" saltValue="BjbMZ/5gOdzKQfYgifml8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8" t="s">
        <v>144</v>
      </c>
      <c r="C3" s="68"/>
      <c r="D3" s="1"/>
    </row>
    <row r="4" spans="1:4" ht="25.5" customHeight="1" x14ac:dyDescent="0.25">
      <c r="A4" s="1"/>
      <c r="B4" s="68"/>
      <c r="C4" s="6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46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5"/>
      <c r="C14" s="46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72</v>
      </c>
      <c r="C17" s="46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6"/>
      <c r="C19" s="97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141fvsWoBa4csaAQQ9J5j9q1r+LLBvpn0mpogIoKHBWSEE8MWUK6/RuDsWF9089tQrut5Q4o86q7c3iN4US+7A==" saltValue="oExV4rRdxiPRPLvGtL5w2A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88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41" t="s">
        <v>26</v>
      </c>
      <c r="C9" s="41"/>
      <c r="D9" s="41"/>
      <c r="E9" s="7">
        <f>'Fane 3. Omkostninger i ØR2020'!E16</f>
        <v>1141808.9247946993</v>
      </c>
      <c r="F9" s="41" t="s">
        <v>3</v>
      </c>
      <c r="G9" s="1"/>
    </row>
    <row r="10" spans="1:7" x14ac:dyDescent="0.25">
      <c r="A10" s="1"/>
      <c r="B10" s="41" t="s">
        <v>157</v>
      </c>
      <c r="C10" s="41"/>
      <c r="D10" s="41"/>
      <c r="E10" s="7">
        <v>-1270.9510393565952</v>
      </c>
      <c r="F10" s="41" t="s">
        <v>3</v>
      </c>
      <c r="G10" s="1"/>
    </row>
    <row r="11" spans="1:7" ht="17.100000000000001" customHeight="1" x14ac:dyDescent="0.25">
      <c r="A11" s="1"/>
      <c r="B11" s="41" t="s">
        <v>120</v>
      </c>
      <c r="C11" s="41"/>
      <c r="D11" s="41"/>
      <c r="E11" s="7">
        <v>30328.061990511869</v>
      </c>
      <c r="F11" s="41" t="s">
        <v>3</v>
      </c>
      <c r="G11" s="1"/>
    </row>
    <row r="12" spans="1:7" ht="17.100000000000001" customHeight="1" x14ac:dyDescent="0.25">
      <c r="A12" s="1"/>
      <c r="B12" s="27" t="s">
        <v>80</v>
      </c>
      <c r="C12" s="41"/>
      <c r="D12" s="41"/>
      <c r="E12" s="7">
        <f>'Fane 7.1. Varige tillæg'!C13+'Fane 7.1. Varige tillæg'!E13</f>
        <v>195956.859</v>
      </c>
      <c r="F12" s="41" t="s">
        <v>3</v>
      </c>
      <c r="G12" s="1"/>
    </row>
    <row r="13" spans="1:7" ht="17.100000000000001" customHeight="1" x14ac:dyDescent="0.25">
      <c r="A13" s="1"/>
      <c r="B13" s="27" t="s">
        <v>82</v>
      </c>
      <c r="C13" s="41"/>
      <c r="D13" s="41"/>
      <c r="E13" s="8">
        <f>-('Fane 9. Bortfald'!C12+'Fane 9. Bortfald'!E12)</f>
        <v>0</v>
      </c>
      <c r="F13" s="41" t="s">
        <v>3</v>
      </c>
      <c r="G13" s="1"/>
    </row>
    <row r="14" spans="1:7" ht="17.100000000000001" customHeight="1" x14ac:dyDescent="0.25">
      <c r="A14" s="1"/>
      <c r="B14" s="27" t="s">
        <v>89</v>
      </c>
      <c r="C14" s="41"/>
      <c r="D14" s="41"/>
      <c r="E14" s="8">
        <f>'Fane 8. Tilknyttet virksomhed'!C12+'Fane 8. Tilknyttet virksomhed'!E12</f>
        <v>0</v>
      </c>
      <c r="F14" s="41" t="s">
        <v>3</v>
      </c>
      <c r="G14" s="1"/>
    </row>
    <row r="15" spans="1:7" ht="17.100000000000001" customHeight="1" x14ac:dyDescent="0.25">
      <c r="A15" s="1"/>
      <c r="B15" s="27" t="s">
        <v>18</v>
      </c>
      <c r="C15" s="41"/>
      <c r="D15" s="41"/>
      <c r="E15" s="8">
        <f>SUM(E9:E14)*'Fane 10. Nøgletal'!C13</f>
        <v>16675.239315899424</v>
      </c>
      <c r="F15" s="41" t="s">
        <v>3</v>
      </c>
      <c r="G15" s="1"/>
    </row>
    <row r="16" spans="1:7" ht="17.100000000000001" customHeight="1" x14ac:dyDescent="0.25">
      <c r="A16" s="1"/>
      <c r="B16" s="27" t="s">
        <v>72</v>
      </c>
      <c r="C16" s="41"/>
      <c r="D16" s="41"/>
      <c r="E16" s="8">
        <f>-SUM(E9:E15)*'Fane 10. Nøgletal'!C18</f>
        <v>-23519.468279049815</v>
      </c>
      <c r="F16" s="41" t="s">
        <v>3</v>
      </c>
      <c r="G16" s="1"/>
    </row>
    <row r="17" spans="1:7" ht="15" customHeight="1" x14ac:dyDescent="0.25">
      <c r="A17" s="1"/>
      <c r="B17" s="42" t="s">
        <v>20</v>
      </c>
      <c r="C17" s="37"/>
      <c r="D17" s="37"/>
      <c r="E17" s="9">
        <f>SUM(E9:E16)</f>
        <v>1359978.665782704</v>
      </c>
      <c r="F17" s="39" t="s">
        <v>3</v>
      </c>
      <c r="G17" s="1"/>
    </row>
    <row r="18" spans="1:7" ht="15" customHeight="1" x14ac:dyDescent="0.25">
      <c r="A18" s="1"/>
      <c r="B18" s="38" t="s">
        <v>12</v>
      </c>
      <c r="C18" s="38"/>
      <c r="D18" s="38"/>
      <c r="E18" s="38"/>
      <c r="F18" s="38"/>
      <c r="G18" s="1"/>
    </row>
    <row r="19" spans="1:7" ht="15" customHeight="1" x14ac:dyDescent="0.25">
      <c r="A19" s="1"/>
      <c r="B19" s="39" t="s">
        <v>12</v>
      </c>
      <c r="C19" s="39"/>
      <c r="D19" s="39"/>
      <c r="E19" s="9">
        <f>'Fane 4. Ikke-påvirkelige omk.'!C13</f>
        <v>6624.7327994400002</v>
      </c>
      <c r="F19" s="39" t="s">
        <v>3</v>
      </c>
      <c r="G19" s="1"/>
    </row>
    <row r="20" spans="1:7" ht="15" customHeight="1" x14ac:dyDescent="0.25">
      <c r="A20" s="1"/>
      <c r="B20" s="38" t="s">
        <v>52</v>
      </c>
      <c r="C20" s="38"/>
      <c r="D20" s="38"/>
      <c r="E20" s="38"/>
      <c r="F20" s="38"/>
      <c r="G20" s="1"/>
    </row>
    <row r="21" spans="1:7" ht="15" customHeight="1" x14ac:dyDescent="0.25">
      <c r="A21" s="1"/>
      <c r="B21" s="27" t="s">
        <v>49</v>
      </c>
      <c r="C21" s="41"/>
      <c r="D21" s="41"/>
      <c r="E21" s="8">
        <f>'Fane 7.2. Engangstillæg'!C13</f>
        <v>0</v>
      </c>
      <c r="F21" s="41" t="s">
        <v>3</v>
      </c>
      <c r="G21" s="1"/>
    </row>
    <row r="22" spans="1:7" x14ac:dyDescent="0.25">
      <c r="A22" s="1"/>
      <c r="B22" s="27" t="s">
        <v>50</v>
      </c>
      <c r="C22" s="41"/>
      <c r="D22" s="41"/>
      <c r="E22" s="8">
        <f>'Fane 7.2. Engangstillæg'!E13</f>
        <v>0</v>
      </c>
      <c r="F22" s="41" t="s">
        <v>3</v>
      </c>
      <c r="G22" s="1"/>
    </row>
    <row r="23" spans="1:7" ht="15" customHeight="1" x14ac:dyDescent="0.25">
      <c r="A23" s="1"/>
      <c r="B23" s="42" t="s">
        <v>53</v>
      </c>
      <c r="C23" s="37"/>
      <c r="D23" s="37"/>
      <c r="E23" s="9">
        <f>SUM(E21:E22)</f>
        <v>0</v>
      </c>
      <c r="F23" s="39" t="s">
        <v>3</v>
      </c>
      <c r="G23" s="1"/>
    </row>
    <row r="24" spans="1:7" x14ac:dyDescent="0.25">
      <c r="A24" s="1"/>
      <c r="B24" s="38" t="s">
        <v>124</v>
      </c>
      <c r="C24" s="38"/>
      <c r="D24" s="38"/>
      <c r="E24" s="38"/>
      <c r="F24" s="38"/>
      <c r="G24" s="1"/>
    </row>
    <row r="25" spans="1:7" x14ac:dyDescent="0.25">
      <c r="A25" s="1"/>
      <c r="B25" s="42" t="s">
        <v>36</v>
      </c>
      <c r="C25" s="37"/>
      <c r="D25" s="37"/>
      <c r="E25" s="9">
        <f>'Fane 5. Kontrol af ØR2019'!E42</f>
        <v>-73014.719964524265</v>
      </c>
      <c r="F25" s="39" t="s">
        <v>3</v>
      </c>
      <c r="G25" s="1"/>
    </row>
    <row r="26" spans="1:7" x14ac:dyDescent="0.25">
      <c r="A26" s="1"/>
      <c r="B26" s="32" t="s">
        <v>125</v>
      </c>
      <c r="C26" s="37"/>
      <c r="D26" s="37"/>
      <c r="E26" s="9">
        <f>'Fane 5. Kontrol af ØR2019'!E43</f>
        <v>0</v>
      </c>
      <c r="F26" s="39" t="s">
        <v>3</v>
      </c>
      <c r="G26" s="1"/>
    </row>
    <row r="27" spans="1:7" x14ac:dyDescent="0.25">
      <c r="A27" s="1"/>
      <c r="B27" s="38" t="s">
        <v>158</v>
      </c>
      <c r="C27" s="38"/>
      <c r="D27" s="38"/>
      <c r="E27" s="38"/>
      <c r="F27" s="38"/>
      <c r="G27" s="1"/>
    </row>
    <row r="28" spans="1:7" x14ac:dyDescent="0.25">
      <c r="A28" s="1"/>
      <c r="B28" s="32" t="s">
        <v>159</v>
      </c>
      <c r="C28" s="37"/>
      <c r="D28" s="37"/>
      <c r="E28" s="9">
        <v>88.519363876542272</v>
      </c>
      <c r="F28" s="39" t="s">
        <v>3</v>
      </c>
      <c r="G28" s="1"/>
    </row>
    <row r="29" spans="1:7" x14ac:dyDescent="0.25">
      <c r="A29" s="1"/>
      <c r="B29" s="38" t="s">
        <v>28</v>
      </c>
      <c r="C29" s="38"/>
      <c r="D29" s="38"/>
      <c r="E29" s="10">
        <f>SUM(E17,E19,E23,E25,E26,E28)</f>
        <v>1293677.1979814961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IwspySyCbKlUWxbf5wXKgneWW/UtBMbjgCGCgcDZVT/H8RR+B2PtZxDe9zfe/0k2GPIO7+xdIpSYoFoIp1cCPw==" saltValue="x0ItxEScCc4phEikHOAf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90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/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41" t="s">
        <v>27</v>
      </c>
      <c r="C9" s="41"/>
      <c r="D9" s="41"/>
      <c r="E9" s="7">
        <f>'Fane 2.1. Økonomisk ramme 2021'!E17</f>
        <v>1359978.665782704</v>
      </c>
      <c r="F9" s="41" t="s">
        <v>3</v>
      </c>
      <c r="G9" s="1"/>
    </row>
    <row r="10" spans="1:7" ht="15" customHeight="1" x14ac:dyDescent="0.25">
      <c r="A10" s="1"/>
      <c r="B10" s="27" t="s">
        <v>82</v>
      </c>
      <c r="C10" s="41"/>
      <c r="D10" s="41"/>
      <c r="E10" s="7">
        <f>-('Fane 9. Bortfald'!C18+'Fane 9. Bortfald'!E18)</f>
        <v>0</v>
      </c>
      <c r="F10" s="41" t="s">
        <v>3</v>
      </c>
      <c r="G10" s="1"/>
    </row>
    <row r="11" spans="1:7" ht="15" customHeight="1" x14ac:dyDescent="0.25">
      <c r="A11" s="1"/>
      <c r="B11" s="36" t="s">
        <v>18</v>
      </c>
      <c r="C11" s="41"/>
      <c r="D11" s="41"/>
      <c r="E11" s="8">
        <f>SUM(E9:E10)*'Fane 10. Nøgletal'!C13</f>
        <v>16591.739722548991</v>
      </c>
      <c r="F11" s="41" t="s">
        <v>3</v>
      </c>
      <c r="G11" s="1"/>
    </row>
    <row r="12" spans="1:7" ht="15" customHeight="1" x14ac:dyDescent="0.25">
      <c r="A12" s="1"/>
      <c r="B12" s="36" t="s">
        <v>72</v>
      </c>
      <c r="C12" s="41"/>
      <c r="D12" s="41"/>
      <c r="E12" s="8">
        <f>-SUM(E9:E11)*'Fane 10. Nøgletal'!C18</f>
        <v>-23401.696893589302</v>
      </c>
      <c r="F12" s="41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1353168.7086116637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omk.'!C13*(1+'Fane 10. Nøgletal'!C13)</f>
        <v>6705.5545395931686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41"/>
      <c r="D17" s="41"/>
      <c r="E17" s="8">
        <f>'Fane 7.2. Engangstillæg'!C20</f>
        <v>0</v>
      </c>
      <c r="F17" s="41" t="s">
        <v>3</v>
      </c>
      <c r="G17" s="1"/>
    </row>
    <row r="18" spans="1:7" ht="15" customHeight="1" x14ac:dyDescent="0.25">
      <c r="A18" s="1"/>
      <c r="B18" s="27" t="s">
        <v>50</v>
      </c>
      <c r="C18" s="41"/>
      <c r="D18" s="41"/>
      <c r="E18" s="8">
        <f>'Fane 7.2. Engangstillæg'!E20</f>
        <v>0</v>
      </c>
      <c r="F18" s="41" t="s">
        <v>3</v>
      </c>
      <c r="G18" s="1"/>
    </row>
    <row r="19" spans="1:7" ht="15" customHeight="1" x14ac:dyDescent="0.25">
      <c r="A19" s="1"/>
      <c r="B19" s="42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-73014.719964524265</v>
      </c>
      <c r="F21" s="39" t="s">
        <v>3</v>
      </c>
      <c r="G21" s="1"/>
    </row>
    <row r="22" spans="1:7" x14ac:dyDescent="0.25">
      <c r="A22" s="1"/>
      <c r="B22" s="42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1286859.5431867326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1ZezkSeWW2YaDC5kK5TDvbTvzX8ni8LMmgyrwgi4NBUZW9/85K7/rOP+SY2+28dJyvfyFy9BZH4phF/9Yk3RQ==" saltValue="nmXge9YVpXXF8CxXeH8z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91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21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1" t="s">
        <v>92</v>
      </c>
      <c r="C8" s="41"/>
      <c r="D8" s="41"/>
      <c r="E8" s="7">
        <f>'Fane 2.2. Økonomisk ramme 2022'!E13</f>
        <v>1353168.7086116637</v>
      </c>
      <c r="F8" s="41" t="s">
        <v>3</v>
      </c>
      <c r="G8" s="1"/>
    </row>
    <row r="9" spans="1:7" ht="15" customHeight="1" x14ac:dyDescent="0.25">
      <c r="A9" s="1"/>
      <c r="B9" s="41" t="s">
        <v>82</v>
      </c>
      <c r="C9" s="41"/>
      <c r="D9" s="41"/>
      <c r="E9" s="7">
        <f>-('Fane 9. Bortfald'!C24+'Fane 9. Bortfald'!E24)</f>
        <v>0</v>
      </c>
      <c r="F9" s="41" t="s">
        <v>3</v>
      </c>
      <c r="G9" s="1"/>
    </row>
    <row r="10" spans="1:7" ht="15" customHeight="1" x14ac:dyDescent="0.25">
      <c r="A10" s="1"/>
      <c r="B10" s="36" t="s">
        <v>18</v>
      </c>
      <c r="C10" s="41"/>
      <c r="D10" s="41"/>
      <c r="E10" s="8">
        <f>SUM(E8:E9)*'Fane 10. Nøgletal'!C13</f>
        <v>16508.658245062299</v>
      </c>
      <c r="F10" s="41" t="s">
        <v>3</v>
      </c>
      <c r="G10" s="1"/>
    </row>
    <row r="11" spans="1:7" ht="15" customHeight="1" x14ac:dyDescent="0.25">
      <c r="A11" s="1"/>
      <c r="B11" s="36" t="s">
        <v>72</v>
      </c>
      <c r="C11" s="41"/>
      <c r="D11" s="41"/>
      <c r="E11" s="8">
        <f>-SUM(E8:E10)*'Fane 10. Nøgletal'!C18</f>
        <v>-23284.515236564341</v>
      </c>
      <c r="F11" s="41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1346392.8516201614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Nøgletal'!C13)^2</f>
        <v>6787.3623049762055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41"/>
      <c r="D16" s="41"/>
      <c r="E16" s="8">
        <f>'Fane 7.2. Engangstillæg'!C27</f>
        <v>0</v>
      </c>
      <c r="F16" s="41" t="s">
        <v>3</v>
      </c>
      <c r="G16" s="1"/>
    </row>
    <row r="17" spans="1:7" ht="15" customHeight="1" x14ac:dyDescent="0.25">
      <c r="A17" s="1"/>
      <c r="B17" s="27" t="s">
        <v>50</v>
      </c>
      <c r="C17" s="41"/>
      <c r="D17" s="41"/>
      <c r="E17" s="8">
        <f>'Fane 7.2. Engangstillæg'!E27</f>
        <v>0</v>
      </c>
      <c r="F17" s="41" t="s">
        <v>3</v>
      </c>
      <c r="G17" s="1"/>
    </row>
    <row r="18" spans="1:7" ht="15" customHeight="1" x14ac:dyDescent="0.25">
      <c r="A18" s="1"/>
      <c r="B18" s="42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1353180.2139251377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YHXDQ/kk3OdA8QDODxBtivaPEgd+A5IOM2hO8XeLaJd/GOFJfJ72+yYCkHpjCC+FoTqbTcp4kCkUz7l6jskCQ==" saltValue="d4o4//6J+Y8Ty2GG2rMQQ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93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21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1" t="s">
        <v>94</v>
      </c>
      <c r="C8" s="41"/>
      <c r="D8" s="41"/>
      <c r="E8" s="7">
        <f>'Fane 2.3. Økonomisk ramme 2023'!E12</f>
        <v>1346392.8516201614</v>
      </c>
      <c r="F8" s="41" t="s">
        <v>3</v>
      </c>
      <c r="G8" s="1"/>
    </row>
    <row r="9" spans="1:7" ht="15" customHeight="1" x14ac:dyDescent="0.25">
      <c r="A9" s="1"/>
      <c r="B9" s="41" t="s">
        <v>82</v>
      </c>
      <c r="C9" s="41"/>
      <c r="D9" s="41"/>
      <c r="E9" s="7">
        <f>-('Fane 9. Bortfald'!C30+'Fane 9. Bortfald'!E30)</f>
        <v>0</v>
      </c>
      <c r="F9" s="41" t="s">
        <v>3</v>
      </c>
      <c r="G9" s="1"/>
    </row>
    <row r="10" spans="1:7" ht="15" customHeight="1" x14ac:dyDescent="0.25">
      <c r="A10" s="1"/>
      <c r="B10" s="36" t="s">
        <v>18</v>
      </c>
      <c r="C10" s="41"/>
      <c r="D10" s="41"/>
      <c r="E10" s="8">
        <f>SUM(E8:E9)*'Fane 10. Nøgletal'!C13</f>
        <v>16425.992789765969</v>
      </c>
      <c r="F10" s="41" t="s">
        <v>3</v>
      </c>
      <c r="G10" s="1"/>
    </row>
    <row r="11" spans="1:7" ht="15" customHeight="1" x14ac:dyDescent="0.25">
      <c r="A11" s="1"/>
      <c r="B11" s="36" t="s">
        <v>72</v>
      </c>
      <c r="C11" s="41"/>
      <c r="D11" s="41"/>
      <c r="E11" s="8">
        <f>-SUM(E8:E10)*'Fane 10. Nøgletal'!C18</f>
        <v>-23167.92035496877</v>
      </c>
      <c r="F11" s="41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1339650.9240549586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Nøgletal'!C13)^3</f>
        <v>6870.168125096915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41"/>
      <c r="D16" s="41"/>
      <c r="E16" s="8">
        <f>'Fane 7.2. Engangstillæg'!C34</f>
        <v>0</v>
      </c>
      <c r="F16" s="41" t="s">
        <v>3</v>
      </c>
      <c r="G16" s="1"/>
    </row>
    <row r="17" spans="1:7" ht="15" customHeight="1" x14ac:dyDescent="0.25">
      <c r="A17" s="1"/>
      <c r="B17" s="27" t="s">
        <v>50</v>
      </c>
      <c r="C17" s="41"/>
      <c r="D17" s="41"/>
      <c r="E17" s="8">
        <f>'Fane 7.2. Engangstillæg'!E34</f>
        <v>0</v>
      </c>
      <c r="F17" s="41" t="s">
        <v>3</v>
      </c>
      <c r="G17" s="1"/>
    </row>
    <row r="18" spans="1:7" ht="15" customHeight="1" x14ac:dyDescent="0.25">
      <c r="A18" s="1"/>
      <c r="B18" s="42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1346521.0921800556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kleIx1It8VY+nLYw9lJ5CqrTsVhrbS72avUuDm5eIBWpYYsGQIQNj8G7XTYASVdHA5efw5plE1Wkf7ZrD/hpA==" saltValue="rEyf8X2m6461bppxLlSO7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96</v>
      </c>
      <c r="C3" s="68"/>
      <c r="D3" s="68"/>
      <c r="E3" s="68"/>
      <c r="F3" s="68"/>
      <c r="G3" s="1"/>
    </row>
    <row r="4" spans="1:7" ht="29.2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69" t="s">
        <v>24</v>
      </c>
      <c r="C9" s="69"/>
      <c r="D9" s="69"/>
      <c r="E9" s="7">
        <v>1146988.610661586</v>
      </c>
      <c r="F9" s="41" t="s">
        <v>3</v>
      </c>
      <c r="G9" s="1"/>
    </row>
    <row r="10" spans="1:7" x14ac:dyDescent="0.25">
      <c r="A10" s="1"/>
      <c r="B10" s="70" t="s">
        <v>149</v>
      </c>
      <c r="C10" s="70"/>
      <c r="D10" s="70"/>
      <c r="E10" s="7">
        <v>0</v>
      </c>
      <c r="F10" s="41" t="s">
        <v>3</v>
      </c>
      <c r="G10" s="1"/>
    </row>
    <row r="11" spans="1:7" x14ac:dyDescent="0.25">
      <c r="A11" s="1"/>
      <c r="B11" s="70" t="s">
        <v>150</v>
      </c>
      <c r="C11" s="70"/>
      <c r="D11" s="70"/>
      <c r="E11" s="7">
        <v>7.2759576141834259E-12</v>
      </c>
      <c r="F11" s="41" t="s">
        <v>3</v>
      </c>
      <c r="G11" s="1"/>
    </row>
    <row r="12" spans="1:7" x14ac:dyDescent="0.25">
      <c r="A12" s="1"/>
      <c r="B12" s="70" t="s">
        <v>80</v>
      </c>
      <c r="C12" s="70"/>
      <c r="D12" s="70"/>
      <c r="E12" s="7">
        <v>0</v>
      </c>
      <c r="F12" s="41" t="s">
        <v>3</v>
      </c>
      <c r="G12" s="1"/>
    </row>
    <row r="13" spans="1:7" x14ac:dyDescent="0.25">
      <c r="A13" s="1"/>
      <c r="B13" s="70" t="s">
        <v>81</v>
      </c>
      <c r="C13" s="70"/>
      <c r="D13" s="70"/>
      <c r="E13" s="8">
        <v>0</v>
      </c>
      <c r="F13" s="41" t="s">
        <v>3</v>
      </c>
      <c r="G13" s="1"/>
    </row>
    <row r="14" spans="1:7" x14ac:dyDescent="0.25">
      <c r="A14" s="1"/>
      <c r="B14" s="70" t="s">
        <v>18</v>
      </c>
      <c r="C14" s="70"/>
      <c r="D14" s="70"/>
      <c r="E14" s="8">
        <f>(E9-SUM(E10:E11))*'Fane 10. Nøgletal'!C9+E10*'Fane 10. Nøgletal'!C10+E11*'Fane 10. Nøgletal'!C11+SUM(E12:E13)*'Fane 10. Nøgletal'!C12</f>
        <v>14566.755355402142</v>
      </c>
      <c r="F14" s="41" t="s">
        <v>3</v>
      </c>
      <c r="G14" s="1"/>
    </row>
    <row r="15" spans="1:7" x14ac:dyDescent="0.25">
      <c r="A15" s="1"/>
      <c r="B15" s="70" t="s">
        <v>72</v>
      </c>
      <c r="C15" s="70"/>
      <c r="D15" s="70"/>
      <c r="E15" s="8">
        <f>-SUM(E9:E9,E12:E14)*'Fane 10. Nøgletal'!C18</f>
        <v>-19746.441222288802</v>
      </c>
      <c r="F15" s="41" t="s">
        <v>3</v>
      </c>
      <c r="G15" s="1"/>
    </row>
    <row r="16" spans="1:7" x14ac:dyDescent="0.25">
      <c r="A16" s="1"/>
      <c r="B16" s="75" t="s">
        <v>20</v>
      </c>
      <c r="C16" s="75"/>
      <c r="D16" s="75"/>
      <c r="E16" s="9">
        <f>SUM(E9,E12:E15)</f>
        <v>1141808.9247946993</v>
      </c>
      <c r="F16" s="39" t="s">
        <v>3</v>
      </c>
      <c r="G16" s="1"/>
    </row>
    <row r="17" spans="1:7" x14ac:dyDescent="0.25">
      <c r="A17" s="1"/>
      <c r="B17" s="76" t="s">
        <v>12</v>
      </c>
      <c r="C17" s="76"/>
      <c r="D17" s="76"/>
      <c r="E17" s="38"/>
      <c r="F17" s="38"/>
      <c r="G17" s="1"/>
    </row>
    <row r="18" spans="1:7" x14ac:dyDescent="0.25">
      <c r="A18" s="1"/>
      <c r="B18" s="77" t="s">
        <v>12</v>
      </c>
      <c r="C18" s="77"/>
      <c r="D18" s="77"/>
      <c r="E18" s="9">
        <v>24838.45789392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8" t="s">
        <v>49</v>
      </c>
      <c r="C20" s="79"/>
      <c r="D20" s="80"/>
      <c r="E20" s="33">
        <v>65926.724058360007</v>
      </c>
      <c r="F20" s="31" t="s">
        <v>3</v>
      </c>
      <c r="G20" s="1"/>
    </row>
    <row r="21" spans="1:7" ht="15.75" customHeight="1" x14ac:dyDescent="0.25">
      <c r="A21" s="1"/>
      <c r="B21" s="78" t="s">
        <v>50</v>
      </c>
      <c r="C21" s="79"/>
      <c r="D21" s="80"/>
      <c r="E21" s="31">
        <v>0</v>
      </c>
      <c r="F21" s="31" t="s">
        <v>3</v>
      </c>
      <c r="G21" s="1"/>
    </row>
    <row r="22" spans="1:7" x14ac:dyDescent="0.25">
      <c r="A22" s="1"/>
      <c r="B22" s="81" t="s">
        <v>53</v>
      </c>
      <c r="C22" s="82"/>
      <c r="D22" s="83"/>
      <c r="E22" s="9">
        <v>64805.969749367883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71" t="s">
        <v>146</v>
      </c>
      <c r="C24" s="72"/>
      <c r="D24" s="73"/>
      <c r="E24" s="9">
        <v>108683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71" t="s">
        <v>148</v>
      </c>
      <c r="C26" s="72"/>
      <c r="D26" s="73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1340136.352437987</v>
      </c>
      <c r="F27" s="11" t="s">
        <v>3</v>
      </c>
      <c r="G27" s="1"/>
    </row>
    <row r="28" spans="1:7" ht="28.5" customHeight="1" x14ac:dyDescent="0.25">
      <c r="A28" s="1"/>
      <c r="B28" s="74" t="s">
        <v>98</v>
      </c>
      <c r="C28" s="74"/>
      <c r="D28" s="74"/>
      <c r="E28" s="74"/>
      <c r="F28" s="74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rs047sebRZBw1ci4GR/0PRKZxw2qH67riCN6IQDLVm99/+J92/7WzCrEgBRcON6S+D1MarASdfTAZUXNDmdEUw==" saltValue="891nN8CakVn9KZRyya0sw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69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99</v>
      </c>
      <c r="C8" s="85"/>
      <c r="D8" s="86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x14ac:dyDescent="0.25">
      <c r="A10" s="1"/>
      <c r="B10" s="26" t="s">
        <v>153</v>
      </c>
      <c r="C10" s="8">
        <v>6466</v>
      </c>
      <c r="D10" s="12" t="s">
        <v>3</v>
      </c>
      <c r="E10" s="1"/>
      <c r="F10" s="1"/>
    </row>
    <row r="11" spans="1:6" x14ac:dyDescent="0.25">
      <c r="A11" s="1"/>
      <c r="B11" s="47" t="s">
        <v>160</v>
      </c>
      <c r="C11" s="8">
        <v>0</v>
      </c>
      <c r="D11" s="12" t="s">
        <v>3</v>
      </c>
      <c r="E11" s="1"/>
      <c r="F11" s="1"/>
    </row>
    <row r="12" spans="1:6" x14ac:dyDescent="0.25">
      <c r="A12" s="1"/>
      <c r="B12" s="45" t="s">
        <v>101</v>
      </c>
      <c r="C12" s="10">
        <f>SUM(C10:C11)</f>
        <v>6466</v>
      </c>
      <c r="D12" s="11" t="s">
        <v>3</v>
      </c>
      <c r="E12" s="1"/>
      <c r="F12" s="1"/>
    </row>
    <row r="13" spans="1:6" x14ac:dyDescent="0.25">
      <c r="A13" s="1"/>
      <c r="B13" s="45" t="s">
        <v>102</v>
      </c>
      <c r="C13" s="10">
        <f>C12*(1+'Fane 10. Nøgletal'!C13)^2</f>
        <v>6624.7327994400002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Sptfm3jMRCN0AcQcLn3eQw9C453QolDC3RJWcOB83qPmxRGof8Wy4i3dNwPa+SUeItvTOD7oAwRue3El7cunbQ==" saltValue="bknduFcU3lObjaYBwvaVs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8" t="s">
        <v>116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87" t="s">
        <v>36</v>
      </c>
      <c r="C6" s="87"/>
      <c r="D6" s="87"/>
      <c r="E6" s="87"/>
      <c r="F6" s="87"/>
      <c r="G6" s="1"/>
    </row>
    <row r="7" spans="1:7" ht="15" customHeight="1" x14ac:dyDescent="0.25">
      <c r="A7" s="1"/>
      <c r="B7" s="93" t="s">
        <v>34</v>
      </c>
      <c r="C7" s="93"/>
      <c r="D7" s="93"/>
      <c r="E7" s="8">
        <v>-1892708.1133333333</v>
      </c>
      <c r="F7" s="12" t="s">
        <v>3</v>
      </c>
      <c r="G7" s="1"/>
    </row>
    <row r="8" spans="1:7" ht="15" customHeight="1" x14ac:dyDescent="0.25">
      <c r="A8" s="1"/>
      <c r="B8" s="93" t="s">
        <v>35</v>
      </c>
      <c r="C8" s="93"/>
      <c r="D8" s="93"/>
      <c r="E8" s="8">
        <v>1746678.6734042848</v>
      </c>
      <c r="F8" s="12" t="s">
        <v>3</v>
      </c>
      <c r="G8" s="1"/>
    </row>
    <row r="9" spans="1:7" ht="15" customHeight="1" x14ac:dyDescent="0.25">
      <c r="A9" s="1"/>
      <c r="B9" s="81" t="s">
        <v>76</v>
      </c>
      <c r="C9" s="82"/>
      <c r="D9" s="83"/>
      <c r="E9" s="9">
        <f>SUM(E7:E8)</f>
        <v>-146029.43992904853</v>
      </c>
      <c r="F9" s="15" t="s">
        <v>3</v>
      </c>
      <c r="G9" s="1"/>
    </row>
    <row r="10" spans="1:7" ht="15" customHeight="1" x14ac:dyDescent="0.25">
      <c r="A10" s="1"/>
      <c r="B10" s="84"/>
      <c r="C10" s="85"/>
      <c r="D10" s="85"/>
      <c r="E10" s="85"/>
      <c r="F10" s="86"/>
      <c r="G10" s="1"/>
    </row>
    <row r="11" spans="1:7" ht="27" customHeight="1" x14ac:dyDescent="0.25">
      <c r="A11" s="1"/>
      <c r="B11" s="74" t="s">
        <v>71</v>
      </c>
      <c r="C11" s="74"/>
      <c r="D11" s="74"/>
      <c r="E11" s="74"/>
      <c r="F11" s="74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62</v>
      </c>
      <c r="C14" s="87"/>
      <c r="D14" s="87"/>
      <c r="E14" s="87"/>
      <c r="F14" s="87"/>
      <c r="G14" s="1"/>
    </row>
    <row r="15" spans="1:7" x14ac:dyDescent="0.25">
      <c r="A15" s="1"/>
      <c r="B15" s="93" t="s">
        <v>63</v>
      </c>
      <c r="C15" s="93"/>
      <c r="D15" s="93"/>
      <c r="E15" s="8">
        <v>3009506.4538303148</v>
      </c>
      <c r="F15" s="12" t="s">
        <v>3</v>
      </c>
      <c r="G15" s="1"/>
    </row>
    <row r="16" spans="1:7" x14ac:dyDescent="0.25">
      <c r="A16" s="1"/>
      <c r="B16" s="93" t="s">
        <v>64</v>
      </c>
      <c r="C16" s="93"/>
      <c r="D16" s="93"/>
      <c r="E16" s="8">
        <v>1429808</v>
      </c>
      <c r="F16" s="12" t="s">
        <v>3</v>
      </c>
      <c r="G16" s="1"/>
    </row>
    <row r="17" spans="1:7" x14ac:dyDescent="0.25">
      <c r="A17" s="1"/>
      <c r="B17" s="93" t="s">
        <v>33</v>
      </c>
      <c r="C17" s="93"/>
      <c r="D17" s="93"/>
      <c r="E17" s="8">
        <v>0</v>
      </c>
      <c r="F17" s="12" t="s">
        <v>3</v>
      </c>
      <c r="G17" s="1"/>
    </row>
    <row r="18" spans="1:7" x14ac:dyDescent="0.25">
      <c r="A18" s="1"/>
      <c r="B18" s="88" t="s">
        <v>136</v>
      </c>
      <c r="C18" s="88"/>
      <c r="D18" s="88"/>
      <c r="E18" s="9">
        <f>E15-(E16-E17)</f>
        <v>1579698.4538303148</v>
      </c>
      <c r="F18" s="15" t="s">
        <v>3</v>
      </c>
      <c r="G18" s="1"/>
    </row>
    <row r="19" spans="1:7" x14ac:dyDescent="0.25">
      <c r="A19" s="1"/>
      <c r="B19" s="90"/>
      <c r="C19" s="91"/>
      <c r="D19" s="91"/>
      <c r="E19" s="91"/>
      <c r="F19" s="92"/>
      <c r="G19" s="1"/>
    </row>
    <row r="20" spans="1:7" ht="28.5" customHeight="1" x14ac:dyDescent="0.25">
      <c r="A20" s="1"/>
      <c r="B20" s="74" t="s">
        <v>70</v>
      </c>
      <c r="C20" s="74"/>
      <c r="D20" s="74"/>
      <c r="E20" s="74"/>
      <c r="F20" s="7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7" t="s">
        <v>44</v>
      </c>
      <c r="C22" s="87"/>
      <c r="D22" s="87"/>
      <c r="E22" s="87"/>
      <c r="F22" s="87"/>
      <c r="G22" s="1"/>
    </row>
    <row r="23" spans="1:7" ht="15" customHeight="1" x14ac:dyDescent="0.25">
      <c r="A23" s="1"/>
      <c r="B23" s="93" t="s">
        <v>45</v>
      </c>
      <c r="C23" s="93"/>
      <c r="D23" s="93"/>
      <c r="E23" s="8">
        <v>1248181.7381877864</v>
      </c>
      <c r="F23" s="12" t="s">
        <v>3</v>
      </c>
      <c r="G23" s="1"/>
    </row>
    <row r="24" spans="1:7" ht="15" customHeight="1" x14ac:dyDescent="0.25">
      <c r="A24" s="1"/>
      <c r="B24" s="93" t="s">
        <v>46</v>
      </c>
      <c r="C24" s="93"/>
      <c r="D24" s="93"/>
      <c r="E24" s="8">
        <v>1449364</v>
      </c>
      <c r="F24" s="12" t="s">
        <v>3</v>
      </c>
      <c r="G24" s="1"/>
    </row>
    <row r="25" spans="1:7" ht="15" customHeight="1" x14ac:dyDescent="0.25">
      <c r="A25" s="1"/>
      <c r="B25" s="93" t="s">
        <v>33</v>
      </c>
      <c r="C25" s="93"/>
      <c r="D25" s="93"/>
      <c r="E25" s="8">
        <v>0</v>
      </c>
      <c r="F25" s="12" t="s">
        <v>3</v>
      </c>
      <c r="G25" s="1"/>
    </row>
    <row r="26" spans="1:7" x14ac:dyDescent="0.25">
      <c r="A26" s="1"/>
      <c r="B26" s="88" t="s">
        <v>137</v>
      </c>
      <c r="C26" s="88"/>
      <c r="D26" s="88"/>
      <c r="E26" s="9">
        <f>E23-(E24-E25)</f>
        <v>-201182.26181221358</v>
      </c>
      <c r="F26" s="15" t="s">
        <v>3</v>
      </c>
      <c r="G26" s="1"/>
    </row>
    <row r="27" spans="1:7" x14ac:dyDescent="0.25">
      <c r="A27" s="1"/>
      <c r="B27" s="84"/>
      <c r="C27" s="85"/>
      <c r="D27" s="85"/>
      <c r="E27" s="85"/>
      <c r="F27" s="86"/>
      <c r="G27" s="1"/>
    </row>
    <row r="28" spans="1:7" ht="28.5" customHeight="1" x14ac:dyDescent="0.25">
      <c r="A28" s="1"/>
      <c r="B28" s="74" t="s">
        <v>126</v>
      </c>
      <c r="C28" s="74"/>
      <c r="D28" s="74"/>
      <c r="E28" s="74"/>
      <c r="F28" s="74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7" t="s">
        <v>127</v>
      </c>
      <c r="C30" s="87"/>
      <c r="D30" s="87"/>
      <c r="E30" s="87"/>
      <c r="F30" s="87"/>
      <c r="G30" s="1"/>
    </row>
    <row r="31" spans="1:7" x14ac:dyDescent="0.25">
      <c r="A31" s="1"/>
      <c r="B31" s="93" t="s">
        <v>128</v>
      </c>
      <c r="C31" s="93"/>
      <c r="D31" s="93"/>
      <c r="E31" s="8">
        <v>1343337.3516157684</v>
      </c>
      <c r="F31" s="12" t="s">
        <v>3</v>
      </c>
      <c r="G31" s="1"/>
    </row>
    <row r="32" spans="1:7" x14ac:dyDescent="0.25">
      <c r="A32" s="1"/>
      <c r="B32" s="93" t="s">
        <v>129</v>
      </c>
      <c r="C32" s="93"/>
      <c r="D32" s="93"/>
      <c r="E32" s="8">
        <v>1407217</v>
      </c>
      <c r="F32" s="12" t="s">
        <v>3</v>
      </c>
      <c r="G32" s="1"/>
    </row>
    <row r="33" spans="1:7" x14ac:dyDescent="0.25">
      <c r="A33" s="1"/>
      <c r="B33" s="93" t="s">
        <v>33</v>
      </c>
      <c r="C33" s="93"/>
      <c r="D33" s="93"/>
      <c r="E33" s="8">
        <v>0</v>
      </c>
      <c r="F33" s="12" t="s">
        <v>3</v>
      </c>
      <c r="G33" s="1"/>
    </row>
    <row r="34" spans="1:7" x14ac:dyDescent="0.25">
      <c r="A34" s="1"/>
      <c r="B34" s="88" t="s">
        <v>138</v>
      </c>
      <c r="C34" s="88"/>
      <c r="D34" s="88"/>
      <c r="E34" s="9">
        <f>E31-(E32-E33)</f>
        <v>-63879.648384231608</v>
      </c>
      <c r="F34" s="15" t="s">
        <v>3</v>
      </c>
      <c r="G34" s="1"/>
    </row>
    <row r="35" spans="1:7" x14ac:dyDescent="0.25">
      <c r="A35" s="1"/>
      <c r="B35" s="84"/>
      <c r="C35" s="85"/>
      <c r="D35" s="85"/>
      <c r="E35" s="85"/>
      <c r="F35" s="86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7" t="s">
        <v>130</v>
      </c>
      <c r="C38" s="87"/>
      <c r="D38" s="87"/>
      <c r="E38" s="87"/>
      <c r="F38" s="87"/>
      <c r="G38" s="1"/>
    </row>
    <row r="39" spans="1:7" x14ac:dyDescent="0.25">
      <c r="A39" s="1"/>
      <c r="B39" s="89" t="s">
        <v>36</v>
      </c>
      <c r="C39" s="89"/>
      <c r="D39" s="89"/>
      <c r="E39" s="8">
        <f>E9</f>
        <v>-146029.43992904853</v>
      </c>
      <c r="F39" s="12" t="s">
        <v>3</v>
      </c>
      <c r="G39" s="1"/>
    </row>
    <row r="40" spans="1:7" x14ac:dyDescent="0.2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25">
      <c r="A42" s="1"/>
      <c r="B42" s="88" t="s">
        <v>133</v>
      </c>
      <c r="C42" s="88"/>
      <c r="D42" s="88"/>
      <c r="E42" s="9">
        <f>SUM(E39)/E41</f>
        <v>-73014.719964524265</v>
      </c>
      <c r="F42" s="15" t="s">
        <v>3</v>
      </c>
      <c r="G42" s="1"/>
    </row>
    <row r="43" spans="1:7" x14ac:dyDescent="0.25">
      <c r="A43" s="1"/>
      <c r="B43" s="88" t="s">
        <v>134</v>
      </c>
      <c r="C43" s="88"/>
      <c r="D43" s="88"/>
      <c r="E43" s="9">
        <f>E40/E41</f>
        <v>0</v>
      </c>
      <c r="F43" s="15" t="s">
        <v>3</v>
      </c>
      <c r="G43" s="1"/>
    </row>
    <row r="44" spans="1:7" x14ac:dyDescent="0.25">
      <c r="A44" s="1"/>
      <c r="B44" s="87"/>
      <c r="C44" s="87"/>
      <c r="D44" s="87"/>
      <c r="E44" s="87"/>
      <c r="F44" s="87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uzVjiC4vFsumn87kN2cdO7auunJmUyQ4B0MGUgbbUmbm8QTRnSXWHJh3bs0ktf43bw3e5JYqRPb/1ADgVQTtzg==" saltValue="u/F6MIQ/xNY+x3+Ujo3PRw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139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117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4"/>
      <c r="I9" s="1"/>
    </row>
    <row r="10" spans="1:9" x14ac:dyDescent="0.25">
      <c r="A10" s="1"/>
      <c r="B10" s="48" t="s">
        <v>154</v>
      </c>
      <c r="C10" s="49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4" t="s">
        <v>118</v>
      </c>
      <c r="C11" s="85"/>
      <c r="D11" s="86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BOZEg5gHwQ0NyZ599wz6W5NW64QY1rBoozVDdhFehlIVfijNtROB9cNdb6SLgb4ic3U8wNvUrO+ChgiPq78sw==" saltValue="cCOWFmse4s6WkaiR6DRTt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2020-10-14T12:54:42Z</dcterms:modified>
</cp:coreProperties>
</file>