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Horsens Vand AS (S048)\ØR2025\"/>
    </mc:Choice>
  </mc:AlternateContent>
  <xr:revisionPtr revIDLastSave="0" documentId="13_ncr:1_{3389FF1B-EBD9-46D2-A1E9-A0398F5B0F8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<sst xmlns="http://schemas.openxmlformats.org/spreadsheetml/2006/main" count="555" uniqueCount="245">
  <si>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</si>
  <si>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</si>
  <si>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</si>
  <si>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</si>
  <si>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</si>
  <si>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</si>
  <si>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</si>
  <si>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</si>
  <si>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</si>
  <si>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</si>
  <si>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</si>
  <si>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</si>
  <si>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</si>
  <si>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</si>
  <si>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</si>
  <si>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</si>
  <si>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</si>
  <si>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</si>
  <si>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</si>
  <si>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</si>
  <si>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</si>
  <si>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</si>
  <si>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</si>
  <si>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</si>
  <si>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</si>
  <si>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</si>
  <si>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</si>
  <si>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</si>
  <si>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</si>
  <si>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</si>
  <si>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</si>
  <si>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</si>
  <si>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</si>
  <si>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</si>
  <si>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</si>
  <si>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</si>
  <si>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</si>
  <si>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</si>
  <si>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</si>
  <si>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</si>
  <si>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</si>
  <si>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</si>
  <si>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</si>
  <si>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</si>
  <si>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</si>
  <si>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</si>
  <si>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</si>
  <si>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</si>
  <si>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</si>
  <si>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</si>
  <si>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</si>
  <si>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</si>
  <si>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</si>
  <si>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</si>
  <si>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</si>
  <si>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</si>
  <si>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</si>
  <si>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</si>
  <si>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</si>
  <si>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</si>
  <si>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</si>
  <si>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</si>
  <si>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</si>
  <si>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</si>
  <si>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</si>
  <si>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</si>
  <si>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</si>
  <si>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</si>
  <si>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</si>
  <si>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</si>
  <si>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</si>
  <si>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</si>
  <si>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</si>
  <si>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</si>
  <si>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</si>
  <si>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</si>
  <si>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</si>
  <si>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</si>
  <si>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</si>
  <si>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</si>
  <si>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</si>
  <si>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</si>
  <si>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</si>
  <si>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</si>
  <si>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</si>
  <si>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</si>
  <si>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</si>
  <si>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</si>
  <si>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</si>
  <si>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</si>
  <si>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</si>
  <si>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</si>
  <si>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</si>
  <si>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</si>
  <si>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</si>
  <si>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</si>
  <si>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</si>
  <si>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</si>
  <si>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</si>
  <si>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</si>
  <si>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</si>
  <si>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</si>
  <si>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</si>
  <si>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</si>
  <si>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</si>
  <si>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</si>
  <si>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</si>
  <si>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</si>
  <si>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</si>
  <si>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</si>
  <si>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</si>
  <si>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</si>
  <si>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</si>
  <si>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</si>
  <si>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</si>
  <si>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</si>
  <si>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</si>
  <si>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</si>
  <si>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</si>
  <si>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</si>
  <si>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</si>
  <si>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</si>
  <si>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</si>
  <si>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</si>
  <si>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</si>
  <si>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</si>
  <si>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</si>
  <si>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</si>
  <si>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</si>
  <si>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</si>
  <si>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</si>
  <si>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</si>
  <si>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</si>
  <si>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</si>
  <si>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</si>
  <si>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</si>
  <si>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</si>
  <si>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</si>
  <si>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</si>
  <si>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</si>
  <si>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</si>
  <si>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</si>
  <si>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</si>
  <si>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</si>
  <si>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</si>
  <si>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</si>
  <si>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</si>
  <si>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</si>
  <si>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</si>
  <si>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</si>
  <si>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</si>
  <si>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</si>
  <si>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</si>
  <si>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</si>
  <si>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</si>
  <si>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</si>
  <si>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</si>
  <si>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</si>
  <si>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</si>
  <si>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</si>
  <si>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</si>
  <si>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</si>
  <si>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</si>
  <si>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</si>
  <si>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</si>
  <si>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</si>
  <si>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</si>
  <si>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</si>
  <si>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</si>
  <si>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</si>
  <si>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</si>
  <si>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</si>
  <si>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</si>
  <si>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</si>
  <si>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</si>
  <si>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</si>
  <si>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</si>
  <si>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</si>
  <si>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</si>
  <si>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</si>
  <si>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</si>
  <si>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</si>
  <si>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</si>
  <si>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</si>
  <si>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</si>
  <si>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</si>
  <si>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</si>
  <si>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</si>
  <si>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</si>
  <si>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</si>
  <si>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</si>
  <si>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</si>
  <si>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</si>
  <si>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</si>
  <si>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</si>
  <si>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</si>
  <si>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</si>
  <si>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</si>
  <si>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</si>
  <si>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</si>
  <si>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</si>
  <si>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</si>
  <si>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</si>
  <si>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</si>
  <si>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</si>
  <si>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</si>
  <si>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</si>
  <si>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</si>
  <si>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</si>
  <si>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</si>
  <si>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</si>
  <si>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</si>
  <si>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</si>
  <si>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</si>
  <si>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</si>
  <si>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</si>
  <si>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</si>
  <si>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</si>
  <si>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</si>
  <si>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</si>
  <si>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</si>
  <si>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</si>
  <si>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</si>
  <si>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</si>
  <si>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</si>
  <si>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</si>
  <si>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</si>
  <si>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</si>
  <si>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</si>
  <si>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</si>
  <si>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</si>
  <si>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</si>
  <si>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</si>
  <si>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Tjenestemandspensioner</t>
  </si>
  <si>
    <t>Gebyr til Miljøstyrelsen</t>
  </si>
  <si>
    <t>Til statusmeddelelse for 2025</t>
  </si>
  <si>
    <t>Energieffektiviseringer 2023</t>
  </si>
  <si>
    <t>Ny trykledning</t>
  </si>
  <si>
    <t>Reduktion af metangasutætheder</t>
  </si>
  <si>
    <t>Separatkloakering</t>
  </si>
  <si>
    <t>Byggemodninger</t>
  </si>
  <si>
    <t>Kloakering i åbent land</t>
  </si>
  <si>
    <t>Tilslutning af nye boligområder</t>
  </si>
  <si>
    <t>PFAS i spildevandsslam</t>
  </si>
  <si>
    <t>Medfinansieringsprojekt - ØR - Sluse - Schüttesvej (Bygholm Sø)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</si>
</sst>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235</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128</v>
      </c>
      <c r="D13" s="101"/>
      <c r="E13" s="101"/>
      <c r="F13" s="102"/>
      <c r="G13" s="5"/>
    </row>
    <row r="14" spans="1:7" x14ac:dyDescent="0.25">
      <c r="A14" s="1"/>
      <c r="B14" s="6" t="s">
        <v>16</v>
      </c>
      <c r="C14" s="85" t="s">
        <v>187</v>
      </c>
      <c r="D14" s="86"/>
      <c r="E14" s="86"/>
      <c r="F14" s="87"/>
      <c r="G14" s="5"/>
    </row>
    <row r="15" spans="1:7" x14ac:dyDescent="0.25">
      <c r="A15" s="1"/>
      <c r="B15" s="6" t="s">
        <v>30</v>
      </c>
      <c r="C15" s="85" t="s">
        <v>150</v>
      </c>
      <c r="D15" s="86"/>
      <c r="E15" s="86"/>
      <c r="F15" s="87"/>
      <c r="G15" s="5"/>
    </row>
    <row r="16" spans="1:7" x14ac:dyDescent="0.25">
      <c r="A16" s="1"/>
      <c r="B16" s="6" t="s">
        <v>31</v>
      </c>
      <c r="C16" s="85" t="s">
        <v>152</v>
      </c>
      <c r="D16" s="86"/>
      <c r="E16" s="86"/>
      <c r="F16" s="87"/>
      <c r="G16" s="5"/>
    </row>
    <row r="17" spans="1:8" x14ac:dyDescent="0.25">
      <c r="A17" s="1"/>
      <c r="B17" s="6" t="s">
        <v>62</v>
      </c>
      <c r="C17" s="85" t="s">
        <v>153</v>
      </c>
      <c r="D17" s="86"/>
      <c r="E17" s="86"/>
      <c r="F17" s="87"/>
      <c r="G17" s="5"/>
    </row>
    <row r="18" spans="1:8" x14ac:dyDescent="0.25">
      <c r="A18" s="1"/>
      <c r="B18" s="6" t="s">
        <v>54</v>
      </c>
      <c r="C18" s="97" t="s">
        <v>46</v>
      </c>
      <c r="D18" s="98"/>
      <c r="E18" s="98"/>
      <c r="F18" s="99"/>
      <c r="G18" s="5"/>
    </row>
    <row r="19" spans="1:8" x14ac:dyDescent="0.25">
      <c r="A19" s="1"/>
      <c r="B19" s="6" t="s">
        <v>55</v>
      </c>
      <c r="C19" s="97" t="s">
        <v>47</v>
      </c>
      <c r="D19" s="98"/>
      <c r="E19" s="98"/>
      <c r="F19" s="99"/>
      <c r="G19" s="5"/>
    </row>
    <row r="20" spans="1:8" x14ac:dyDescent="0.25">
      <c r="A20" s="1"/>
      <c r="B20" s="6" t="s">
        <v>7</v>
      </c>
      <c r="C20" s="97" t="s">
        <v>10</v>
      </c>
      <c r="D20" s="98"/>
      <c r="E20" s="98"/>
      <c r="F20" s="99"/>
      <c r="G20" s="5"/>
    </row>
    <row r="21" spans="1:8" x14ac:dyDescent="0.25">
      <c r="A21" s="1"/>
      <c r="B21" s="6" t="s">
        <v>56</v>
      </c>
      <c r="C21" s="89" t="s">
        <v>12</v>
      </c>
      <c r="D21" s="90"/>
      <c r="E21" s="90"/>
      <c r="F21" s="91"/>
      <c r="G21" s="5"/>
    </row>
    <row r="22" spans="1:8" x14ac:dyDescent="0.25">
      <c r="A22" s="1"/>
      <c r="B22" s="6" t="s">
        <v>40</v>
      </c>
      <c r="C22" s="92" t="s">
        <v>154</v>
      </c>
      <c r="D22" s="93"/>
      <c r="E22" s="93"/>
      <c r="F22" s="94"/>
      <c r="G22" s="5"/>
    </row>
    <row r="23" spans="1:8" x14ac:dyDescent="0.25">
      <c r="A23" s="1"/>
      <c r="B23" s="6" t="s">
        <v>8</v>
      </c>
      <c r="C23" s="92" t="s">
        <v>113</v>
      </c>
      <c r="D23" s="93"/>
      <c r="E23" s="93"/>
      <c r="F23" s="94"/>
      <c r="G23" s="5"/>
    </row>
    <row r="24" spans="1:8" x14ac:dyDescent="0.25">
      <c r="A24" s="1"/>
      <c r="B24" s="6" t="s">
        <v>9</v>
      </c>
      <c r="C24" s="92" t="s">
        <v>155</v>
      </c>
      <c r="D24" s="93"/>
      <c r="E24" s="93"/>
      <c r="F24" s="94"/>
      <c r="G24" s="5"/>
    </row>
    <row r="25" spans="1:8" x14ac:dyDescent="0.25">
      <c r="A25" s="1"/>
      <c r="B25" s="6" t="s">
        <v>98</v>
      </c>
      <c r="C25" s="92" t="s">
        <v>92</v>
      </c>
      <c r="D25" s="93"/>
      <c r="E25" s="93"/>
      <c r="F25" s="94"/>
      <c r="G25" s="1"/>
    </row>
    <row r="26" spans="1:8" x14ac:dyDescent="0.25">
      <c r="A26" s="1"/>
      <c r="B26" s="6" t="s">
        <v>99</v>
      </c>
      <c r="C26" s="92" t="s">
        <v>41</v>
      </c>
      <c r="D26" s="93"/>
      <c r="E26" s="93"/>
      <c r="F26" s="94"/>
      <c r="G26" s="1"/>
    </row>
    <row r="27" spans="1:8" x14ac:dyDescent="0.25">
      <c r="A27" s="1"/>
      <c r="B27" s="6" t="s">
        <v>100</v>
      </c>
      <c r="C27" s="92" t="s">
        <v>42</v>
      </c>
      <c r="D27" s="93"/>
      <c r="E27" s="93"/>
      <c r="F27" s="94"/>
      <c r="G27" s="1"/>
    </row>
    <row r="28" spans="1:8" x14ac:dyDescent="0.25">
      <c r="A28" s="1"/>
      <c r="B28" s="6" t="s">
        <v>15</v>
      </c>
      <c r="C28" s="92" t="s">
        <v>43</v>
      </c>
      <c r="D28" s="93"/>
      <c r="E28" s="93"/>
      <c r="F28" s="94"/>
      <c r="G28" s="1"/>
      <c r="H28" s="2" t="s">
        <v>151</v>
      </c>
    </row>
    <row r="29" spans="1:8" x14ac:dyDescent="0.25">
      <c r="A29" s="1"/>
      <c r="B29" s="6" t="s">
        <v>33</v>
      </c>
      <c r="C29" s="92" t="s">
        <v>69</v>
      </c>
      <c r="D29" s="93"/>
      <c r="E29" s="93"/>
      <c r="F29" s="94"/>
      <c r="G29" s="1"/>
    </row>
    <row r="30" spans="1:8" x14ac:dyDescent="0.25">
      <c r="A30" s="1"/>
      <c r="B30" s="6" t="s">
        <v>34</v>
      </c>
      <c r="C30" s="92" t="s">
        <v>32</v>
      </c>
      <c r="D30" s="93"/>
      <c r="E30" s="93"/>
      <c r="F30" s="94"/>
      <c r="G30" s="1"/>
    </row>
    <row r="31" spans="1:8" x14ac:dyDescent="0.25">
      <c r="A31" s="1"/>
      <c r="B31" s="6" t="s">
        <v>101</v>
      </c>
      <c r="C31" s="103" t="s">
        <v>53</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08/cDc8pUH9M2s1fw5vg6rqKKZzBLJK8A7E68X3gleEqrpLjhyAs/kCaXxVDEKEhI4Je7N491l1+B05le5s0nQ==" saltValue="JAvHA7kS+l/bj4OuAzMDQ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166</v>
      </c>
      <c r="C8" s="114"/>
      <c r="D8" s="115"/>
      <c r="E8" s="1"/>
    </row>
    <row r="9" spans="1:5" ht="15" customHeight="1" x14ac:dyDescent="0.25">
      <c r="A9" s="1"/>
      <c r="B9" s="27" t="s">
        <v>28</v>
      </c>
      <c r="C9" s="68" t="s">
        <v>167</v>
      </c>
      <c r="D9" s="11"/>
      <c r="E9" s="1"/>
    </row>
    <row r="10" spans="1:5" ht="15" customHeight="1" x14ac:dyDescent="0.25">
      <c r="A10" s="1"/>
      <c r="B10" s="73" t="s">
        <v>229</v>
      </c>
      <c r="C10" s="74">
        <v>3657777</v>
      </c>
      <c r="D10" s="14" t="s">
        <v>3</v>
      </c>
      <c r="E10" s="1"/>
    </row>
    <row r="11" spans="1:5" ht="15" customHeight="1" x14ac:dyDescent="0.25">
      <c r="A11" s="1"/>
      <c r="B11" s="73" t="s">
        <v>230</v>
      </c>
      <c r="C11" s="74">
        <v>135455</v>
      </c>
      <c r="D11" s="14" t="s">
        <v>3</v>
      </c>
      <c r="E11" s="1"/>
    </row>
    <row r="12" spans="1:5" ht="25.5" x14ac:dyDescent="0.25">
      <c r="A12" s="1"/>
      <c r="B12" s="73" t="s">
        <v>231</v>
      </c>
      <c r="C12" s="74">
        <v>280563</v>
      </c>
      <c r="D12" s="14" t="s">
        <v>3</v>
      </c>
      <c r="E12" s="1"/>
    </row>
    <row r="13" spans="1:5" x14ac:dyDescent="0.25">
      <c r="A13" s="1"/>
      <c r="B13" s="73" t="s">
        <v>232</v>
      </c>
      <c r="C13" s="74">
        <v>383888.77</v>
      </c>
      <c r="D13" s="14" t="s">
        <v>3</v>
      </c>
      <c r="E13" s="1"/>
    </row>
    <row r="14" spans="1:5" x14ac:dyDescent="0.25">
      <c r="A14" s="1"/>
      <c r="B14" s="73" t="s">
        <v>233</v>
      </c>
      <c r="C14" s="74">
        <v>563526.24</v>
      </c>
      <c r="D14" s="14" t="s">
        <v>3</v>
      </c>
      <c r="E14" s="1"/>
    </row>
    <row r="15" spans="1:5" x14ac:dyDescent="0.25">
      <c r="A15" s="1"/>
      <c r="B15" s="73" t="s">
        <v>234</v>
      </c>
      <c r="C15" s="74">
        <v>27780</v>
      </c>
      <c r="D15" s="14" t="s">
        <v>3</v>
      </c>
      <c r="E15" s="1"/>
    </row>
    <row r="16" spans="1:5" x14ac:dyDescent="0.25">
      <c r="A16" s="1"/>
      <c r="B16" s="73" t="s">
        <v>244</v>
      </c>
      <c r="C16" s="74">
        <v>882432</v>
      </c>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5931422.0099999998</v>
      </c>
      <c r="D20" s="13" t="s">
        <v>3</v>
      </c>
      <c r="E20" s="1"/>
    </row>
    <row r="21" spans="1:5" x14ac:dyDescent="0.25">
      <c r="A21" s="1"/>
      <c r="B21" s="33" t="s">
        <v>169</v>
      </c>
      <c r="C21" s="12">
        <f>C20*(1+'Fane 15. Nøgletal'!C10)^2</f>
        <v>6744001.2609411366</v>
      </c>
      <c r="D21" s="13" t="s">
        <v>3</v>
      </c>
      <c r="E21" s="1"/>
    </row>
    <row r="22" spans="1:5" x14ac:dyDescent="0.25">
      <c r="A22" s="1"/>
      <c r="B22" s="16"/>
      <c r="C22" s="15"/>
      <c r="D22" s="15"/>
      <c r="E22" s="1"/>
    </row>
    <row r="23" spans="1:5" x14ac:dyDescent="0.25">
      <c r="A23" s="1"/>
      <c r="B23" s="16"/>
      <c r="C23" s="15"/>
      <c r="D23" s="15"/>
      <c r="E23" s="1"/>
    </row>
    <row r="24" spans="1:5" x14ac:dyDescent="0.25">
      <c r="A24" s="1"/>
      <c r="B24" s="113" t="s">
        <v>61</v>
      </c>
      <c r="C24" s="114"/>
      <c r="D24" s="115"/>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3"/>
      <c r="C29" s="114"/>
      <c r="D29" s="115"/>
      <c r="E29" s="1"/>
    </row>
    <row r="30" spans="1:5" x14ac:dyDescent="0.25">
      <c r="A30" s="1"/>
      <c r="B30" s="1"/>
      <c r="C30" s="1"/>
      <c r="D30" s="1"/>
      <c r="E30" s="1"/>
    </row>
    <row r="31" spans="1:5" x14ac:dyDescent="0.25">
      <c r="A31" s="1"/>
      <c r="B31" s="1"/>
      <c r="C31" s="1"/>
      <c r="D31" s="1"/>
      <c r="E31" s="1"/>
    </row>
    <row r="32" spans="1:5" x14ac:dyDescent="0.25">
      <c r="A32" s="1"/>
      <c r="B32" s="113" t="s">
        <v>48</v>
      </c>
      <c r="C32" s="114"/>
      <c r="D32" s="115"/>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3"/>
      <c r="C37" s="114"/>
      <c r="D37" s="115"/>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T/uvzY5BoyBHA35/Q4FJDwVMFKHtyhOdGg539g+f3eqSt+gDemdpbH4P2zIGljGVssFP0bLr4lT5FpkDcsNnlw==" saltValue="DHke8AX4p86nGwqlm/vI2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7"/>
      <c r="C6" s="77"/>
      <c r="D6" s="77"/>
      <c r="E6" s="1"/>
    </row>
    <row r="7" spans="1:5" x14ac:dyDescent="0.25">
      <c r="A7" s="1"/>
      <c r="B7" s="1"/>
      <c r="C7" s="1"/>
      <c r="D7" s="1"/>
      <c r="E7" s="1"/>
    </row>
    <row r="8" spans="1:5" x14ac:dyDescent="0.25">
      <c r="A8" s="1"/>
      <c r="B8" s="113" t="s">
        <v>78</v>
      </c>
      <c r="C8" s="114"/>
      <c r="D8" s="115"/>
      <c r="E8" s="1"/>
    </row>
    <row r="9" spans="1:5" x14ac:dyDescent="0.25">
      <c r="A9" s="1"/>
      <c r="B9" s="66" t="s">
        <v>205</v>
      </c>
      <c r="C9" s="9">
        <v>-15054612.838397264</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203</v>
      </c>
      <c r="C14" s="9">
        <v>-7527306.4191986322</v>
      </c>
      <c r="D14" s="14" t="s">
        <v>3</v>
      </c>
      <c r="E14" s="1"/>
    </row>
    <row r="15" spans="1:5" x14ac:dyDescent="0.25">
      <c r="A15" s="1"/>
      <c r="B15" s="66" t="s">
        <v>204</v>
      </c>
      <c r="C15" s="9">
        <v>-7527306.4191986322</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8" t="s">
        <v>206</v>
      </c>
      <c r="C19" s="79"/>
      <c r="D19" s="80"/>
      <c r="E19" s="1"/>
    </row>
    <row r="20" spans="1:5" x14ac:dyDescent="0.25">
      <c r="A20" s="1"/>
      <c r="B20" s="66" t="s">
        <v>207</v>
      </c>
      <c r="C20" s="9">
        <v>152876611.94775537</v>
      </c>
      <c r="D20" s="14" t="s">
        <v>3</v>
      </c>
      <c r="E20" s="1"/>
    </row>
    <row r="21" spans="1:5" x14ac:dyDescent="0.25">
      <c r="A21" s="1"/>
      <c r="B21" s="66" t="s">
        <v>208</v>
      </c>
      <c r="C21" s="9">
        <v>150769405</v>
      </c>
      <c r="D21" s="14" t="s">
        <v>3</v>
      </c>
      <c r="E21" s="1"/>
    </row>
    <row r="22" spans="1:5" x14ac:dyDescent="0.25">
      <c r="A22" s="1"/>
      <c r="B22" s="66" t="s">
        <v>29</v>
      </c>
      <c r="C22" s="9">
        <v>0</v>
      </c>
      <c r="D22" s="14" t="s">
        <v>3</v>
      </c>
      <c r="E22" s="1"/>
    </row>
    <row r="23" spans="1:5" x14ac:dyDescent="0.25">
      <c r="A23" s="1"/>
      <c r="B23" s="84" t="s">
        <v>209</v>
      </c>
      <c r="C23" s="57">
        <f>C20-C21-C22</f>
        <v>2107206.9477553666</v>
      </c>
      <c r="D23" s="17" t="s">
        <v>3</v>
      </c>
      <c r="E23" s="1"/>
    </row>
    <row r="24" spans="1:5" x14ac:dyDescent="0.25">
      <c r="A24" s="1"/>
      <c r="B24" s="33"/>
      <c r="C24" s="28"/>
      <c r="D24" s="19"/>
      <c r="E24" s="1"/>
    </row>
    <row r="25" spans="1:5" x14ac:dyDescent="0.25">
      <c r="A25" s="1"/>
      <c r="B25" s="1"/>
      <c r="C25" s="1"/>
      <c r="D25" s="1"/>
      <c r="E25" s="1"/>
    </row>
    <row r="26" spans="1:5" x14ac:dyDescent="0.25">
      <c r="A26" s="1"/>
      <c r="B26" s="113" t="s">
        <v>210</v>
      </c>
      <c r="C26" s="114"/>
      <c r="D26" s="115"/>
      <c r="E26" s="1"/>
    </row>
    <row r="27" spans="1:5" x14ac:dyDescent="0.25">
      <c r="A27" s="1"/>
      <c r="B27" s="84" t="s">
        <v>211</v>
      </c>
      <c r="C27" s="57">
        <f>IF(AND(C15&lt;0,C23&gt;0,ABS(SUM(C14:C15))&lt;C23),ABS(C14),IF(AND(C15&lt;0,C23&gt;0,ABS(SUM(C14:C15))&gt;C23),SUM(C14,C23),C15))</f>
        <v>-5420099.4714432657</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212</v>
      </c>
      <c r="C30" s="114"/>
      <c r="D30" s="115"/>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n+4s9cH3nV4in3+9PM41fnTvq/oY5wvEYOk1Fj1ZXmtt7Qbt2JLLUHkKGLq3iomjIsRV49/ao5l8woMNVw5xcA==" saltValue="IsY+y9QfB7XDJv2/zCUVi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3" t="s">
        <v>121</v>
      </c>
      <c r="C8" s="114"/>
      <c r="D8" s="115"/>
      <c r="E8" s="1"/>
    </row>
    <row r="9" spans="1:5" ht="15" customHeight="1" x14ac:dyDescent="0.25">
      <c r="A9" s="1"/>
      <c r="B9" s="127" t="s">
        <v>103</v>
      </c>
      <c r="C9" s="128"/>
      <c r="D9" s="129"/>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8"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nrhjaqTz+xHdpwzI4gY+A3CFu9GWm67OPAi7fG0aODw+/ujkzgBO1K3hghl7PatbJWfDbIcznkWecJC1Jwqbw==" saltValue="yhNJ2+zRU8dxFcrwxNeJm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172</v>
      </c>
      <c r="C8" s="114"/>
      <c r="D8" s="115"/>
      <c r="E8" s="1"/>
    </row>
    <row r="9" spans="1:5" ht="26.25" x14ac:dyDescent="0.25">
      <c r="A9" s="1"/>
      <c r="B9" s="81" t="s">
        <v>216</v>
      </c>
      <c r="C9" s="7">
        <v>0</v>
      </c>
      <c r="D9" s="8" t="s">
        <v>3</v>
      </c>
      <c r="E9" s="1"/>
    </row>
    <row r="10" spans="1:5" ht="14.25" customHeight="1" x14ac:dyDescent="0.25">
      <c r="A10" s="1"/>
      <c r="B10" s="66" t="s">
        <v>173</v>
      </c>
      <c r="C10" s="7">
        <v>0</v>
      </c>
      <c r="D10" s="8" t="s">
        <v>3</v>
      </c>
      <c r="E10" s="1"/>
    </row>
    <row r="11" spans="1:5" ht="14.25" customHeight="1" x14ac:dyDescent="0.25">
      <c r="A11" s="1"/>
      <c r="B11" s="84" t="s">
        <v>49</v>
      </c>
      <c r="C11" s="10">
        <f>C10-C9</f>
        <v>0</v>
      </c>
      <c r="D11" s="11" t="s">
        <v>3</v>
      </c>
      <c r="E11" s="1"/>
    </row>
    <row r="12" spans="1:5" ht="14.25" customHeight="1" x14ac:dyDescent="0.25">
      <c r="A12" s="1"/>
      <c r="B12" s="113" t="s">
        <v>218</v>
      </c>
      <c r="C12" s="114"/>
      <c r="D12" s="115"/>
      <c r="E12" s="1"/>
    </row>
    <row r="13" spans="1:5" ht="26.25" x14ac:dyDescent="0.25">
      <c r="A13" s="1"/>
      <c r="B13" s="81" t="s">
        <v>217</v>
      </c>
      <c r="C13" s="7">
        <v>0</v>
      </c>
      <c r="D13" s="8" t="s">
        <v>3</v>
      </c>
      <c r="E13" s="1"/>
    </row>
    <row r="14" spans="1:5" ht="14.25" customHeight="1" x14ac:dyDescent="0.25">
      <c r="A14" s="1"/>
      <c r="B14" s="66" t="s">
        <v>174</v>
      </c>
      <c r="C14" s="7">
        <v>0</v>
      </c>
      <c r="D14" s="8" t="s">
        <v>3</v>
      </c>
      <c r="E14" s="1"/>
    </row>
    <row r="15" spans="1:5" ht="14.25" customHeight="1" x14ac:dyDescent="0.25">
      <c r="A15" s="1"/>
      <c r="B15" s="84"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od3oV08ZMMg++Lo4e8Lev0kKbXbLcv2I0Y96vWwkEP3/M/UP9b9atgBvn90Dr8sTQLD9HwKLGbWaKGDc2lseaA==" saltValue="q7tCjH/F8lUI7bhBhx18c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114</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223</v>
      </c>
      <c r="C10" s="42">
        <v>0</v>
      </c>
      <c r="D10" s="9">
        <v>0</v>
      </c>
      <c r="E10" s="14" t="s">
        <v>3</v>
      </c>
      <c r="F10" s="9">
        <f>IFERROR(D10/C10,0)</f>
        <v>0</v>
      </c>
      <c r="G10" s="14" t="s">
        <v>3</v>
      </c>
      <c r="H10" s="38">
        <v>0</v>
      </c>
      <c r="I10" s="14" t="s">
        <v>3</v>
      </c>
      <c r="J10" s="38">
        <v>0</v>
      </c>
      <c r="K10" s="14" t="s">
        <v>3</v>
      </c>
      <c r="L10" s="1"/>
    </row>
    <row r="11" spans="1:12" x14ac:dyDescent="0.25">
      <c r="A11" s="1"/>
      <c r="B11" s="78" t="s">
        <v>220</v>
      </c>
      <c r="C11" s="79"/>
      <c r="D11" s="80"/>
      <c r="E11" s="80"/>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2lmcrQ3W2LO2Dr7C/6V2uFDGvQ6hCtKS+T3DUbqxo1MYzl48HNsKycAlk+qwnO/s9nKq8S/SxPJJJP3CgBv/CA==" saltValue="Ecv/QUsgIG7suhh4a2i68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2" t="s">
        <v>17</v>
      </c>
      <c r="C9" s="84" t="s">
        <v>11</v>
      </c>
      <c r="D9" s="83"/>
      <c r="E9" s="84"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236</v>
      </c>
      <c r="C11" s="21">
        <v>0</v>
      </c>
      <c r="D11" s="14" t="s">
        <v>3</v>
      </c>
      <c r="E11" s="9">
        <v>92054</v>
      </c>
      <c r="F11" s="14" t="s">
        <v>3</v>
      </c>
      <c r="G11" s="1"/>
    </row>
    <row r="12" spans="1:7" x14ac:dyDescent="0.25">
      <c r="A12" s="1"/>
      <c r="B12" s="24" t="s">
        <v>237</v>
      </c>
      <c r="C12" s="21">
        <v>27443</v>
      </c>
      <c r="D12" s="14" t="s">
        <v>3</v>
      </c>
      <c r="E12" s="9">
        <v>15256</v>
      </c>
      <c r="F12" s="14" t="s">
        <v>3</v>
      </c>
      <c r="G12" s="1"/>
    </row>
    <row r="13" spans="1:7" x14ac:dyDescent="0.25">
      <c r="A13" s="1"/>
      <c r="B13" s="24" t="s">
        <v>238</v>
      </c>
      <c r="C13" s="21">
        <v>82953</v>
      </c>
      <c r="D13" s="14" t="s">
        <v>3</v>
      </c>
      <c r="E13" s="9">
        <v>0</v>
      </c>
      <c r="F13" s="14" t="s">
        <v>3</v>
      </c>
      <c r="G13" s="1"/>
    </row>
    <row r="14" spans="1:7" x14ac:dyDescent="0.25">
      <c r="A14" s="1"/>
      <c r="B14" s="24" t="s">
        <v>239</v>
      </c>
      <c r="C14" s="21">
        <v>75649</v>
      </c>
      <c r="D14" s="14" t="s">
        <v>3</v>
      </c>
      <c r="E14" s="9">
        <v>387810</v>
      </c>
      <c r="F14" s="14" t="s">
        <v>3</v>
      </c>
      <c r="G14" s="1"/>
    </row>
    <row r="15" spans="1:7" x14ac:dyDescent="0.25">
      <c r="A15" s="1"/>
      <c r="B15" s="24" t="s">
        <v>240</v>
      </c>
      <c r="C15" s="21">
        <v>319256</v>
      </c>
      <c r="D15" s="14" t="s">
        <v>3</v>
      </c>
      <c r="E15" s="9">
        <v>484248</v>
      </c>
      <c r="F15" s="14" t="s">
        <v>3</v>
      </c>
      <c r="G15" s="1"/>
    </row>
    <row r="16" spans="1:7" x14ac:dyDescent="0.25">
      <c r="A16" s="1"/>
      <c r="B16" s="24" t="s">
        <v>241</v>
      </c>
      <c r="C16" s="21">
        <v>29642</v>
      </c>
      <c r="D16" s="14" t="s">
        <v>3</v>
      </c>
      <c r="E16" s="9">
        <v>17672</v>
      </c>
      <c r="F16" s="14" t="s">
        <v>3</v>
      </c>
      <c r="G16" s="1"/>
    </row>
    <row r="17" spans="1:7" x14ac:dyDescent="0.25">
      <c r="A17" s="1"/>
      <c r="B17" s="24" t="s">
        <v>242</v>
      </c>
      <c r="C17" s="21">
        <v>133031</v>
      </c>
      <c r="D17" s="14" t="s">
        <v>3</v>
      </c>
      <c r="E17" s="9">
        <v>193981</v>
      </c>
      <c r="F17" s="14" t="s">
        <v>3</v>
      </c>
      <c r="G17" s="1"/>
    </row>
    <row r="18" spans="1:7" x14ac:dyDescent="0.25">
      <c r="A18" s="1"/>
      <c r="B18" s="71"/>
      <c r="C18" s="21"/>
      <c r="D18" s="14"/>
      <c r="E18" s="9"/>
      <c r="F18" s="14"/>
      <c r="G18" s="1"/>
    </row>
    <row r="19" spans="1:7" x14ac:dyDescent="0.25">
      <c r="A19" s="1"/>
      <c r="B19" s="33" t="s">
        <v>140</v>
      </c>
      <c r="C19" s="12">
        <f>SUM(C10:C18)</f>
        <v>667974</v>
      </c>
      <c r="D19" s="13" t="s">
        <v>3</v>
      </c>
      <c r="E19" s="12">
        <f>SUM(E10:E18)</f>
        <v>1191021</v>
      </c>
      <c r="F19" s="13" t="s">
        <v>3</v>
      </c>
      <c r="G19" s="1"/>
    </row>
    <row r="20" spans="1:7" x14ac:dyDescent="0.25">
      <c r="A20" s="1"/>
      <c r="B20" s="33" t="s">
        <v>176</v>
      </c>
      <c r="C20" s="12">
        <f>C19*(1+'Fane 15. Nøgletal'!C10)</f>
        <v>712260.67619999999</v>
      </c>
      <c r="D20" s="13" t="s">
        <v>3</v>
      </c>
      <c r="E20" s="12">
        <f>E19*(1+'Fane 15. Nøgletal'!C10)</f>
        <v>1269985.6923</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gu8RCDdapyuYU5ahuAsjJ8gmWNyCkSwHQUhubmkNCBF2IJf2Y9cYUMaDpJLAm43X/K/pVzbQrHW0oli8pV/zA==" saltValue="STVXNMAdhjC8YJA7f+AHm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177</v>
      </c>
      <c r="C8" s="114"/>
      <c r="D8" s="114"/>
      <c r="E8" s="114"/>
      <c r="F8" s="115"/>
      <c r="G8" s="1"/>
    </row>
    <row r="9" spans="1:7" x14ac:dyDescent="0.25">
      <c r="A9" s="1"/>
      <c r="B9" s="82" t="s">
        <v>17</v>
      </c>
      <c r="C9" s="84" t="s">
        <v>11</v>
      </c>
      <c r="D9" s="83"/>
      <c r="E9" s="84" t="s">
        <v>27</v>
      </c>
      <c r="F9" s="32"/>
      <c r="G9" s="1"/>
    </row>
    <row r="10" spans="1:7" x14ac:dyDescent="0.25">
      <c r="A10" s="1"/>
      <c r="B10" s="24" t="s">
        <v>236</v>
      </c>
      <c r="C10" s="21">
        <v>54594</v>
      </c>
      <c r="D10" s="14" t="s">
        <v>3</v>
      </c>
      <c r="E10" s="9">
        <v>0</v>
      </c>
      <c r="F10" s="14" t="s">
        <v>3</v>
      </c>
      <c r="G10" s="1"/>
    </row>
    <row r="11" spans="1:7" x14ac:dyDescent="0.25">
      <c r="A11" s="1"/>
      <c r="B11" s="24" t="s">
        <v>243</v>
      </c>
      <c r="C11" s="21">
        <v>450314</v>
      </c>
      <c r="D11" s="14" t="s">
        <v>3</v>
      </c>
      <c r="E11" s="9">
        <v>0</v>
      </c>
      <c r="F11" s="14" t="s">
        <v>3</v>
      </c>
      <c r="G11" s="1"/>
    </row>
    <row r="12" spans="1:7" x14ac:dyDescent="0.25">
      <c r="A12" s="1"/>
      <c r="B12" s="24"/>
      <c r="C12" s="21"/>
      <c r="D12" s="14" t="s">
        <v>3</v>
      </c>
      <c r="E12" s="9"/>
      <c r="F12" s="14" t="s">
        <v>3</v>
      </c>
      <c r="G12" s="1"/>
    </row>
    <row r="13" spans="1:7" x14ac:dyDescent="0.25">
      <c r="A13" s="1"/>
      <c r="B13" s="33" t="s">
        <v>178</v>
      </c>
      <c r="C13" s="12">
        <f>SUM(C10:C12)</f>
        <v>504908</v>
      </c>
      <c r="D13" s="13" t="s">
        <v>3</v>
      </c>
      <c r="E13" s="12">
        <f>SUM(E10:E12)</f>
        <v>0</v>
      </c>
      <c r="F13" s="13" t="s">
        <v>3</v>
      </c>
      <c r="G13" s="1"/>
    </row>
    <row r="14" spans="1:7" x14ac:dyDescent="0.25">
      <c r="A14" s="1"/>
      <c r="B14" s="33" t="s">
        <v>179</v>
      </c>
      <c r="C14" s="12">
        <f>C13*(1+'Fane 15. Nøgletal'!C10)^2</f>
        <v>574078.21984651999</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ayxWChE6xKBN2lsMho/Pmhxn3Hqyrl/MWlRnQQv7j+5DFs2iqebK5RSSVd3QBS8i75cF2kPh83KaOXJQJ3gPw==" saltValue="FJ8Mj+gysdFuLsEPAJFiG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117</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180</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8"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180</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8" t="s">
        <v>86</v>
      </c>
      <c r="C18" s="12">
        <f>SUM(C15:C17)*(1+'Fane 15. Nøgletal'!C10)^3</f>
        <v>0</v>
      </c>
      <c r="D18" s="13" t="s">
        <v>3</v>
      </c>
      <c r="E18" s="1"/>
    </row>
    <row r="19" spans="1:5" x14ac:dyDescent="0.25">
      <c r="A19" s="1"/>
      <c r="B19" s="1"/>
      <c r="C19" s="1"/>
      <c r="D19" s="1"/>
      <c r="E19" s="1"/>
    </row>
    <row r="20" spans="1:5" ht="15" customHeight="1" x14ac:dyDescent="0.25">
      <c r="A20" s="1"/>
      <c r="B20" s="113" t="s">
        <v>141</v>
      </c>
      <c r="C20" s="114"/>
      <c r="D20" s="115"/>
      <c r="E20" s="1"/>
    </row>
    <row r="21" spans="1:5" x14ac:dyDescent="0.25">
      <c r="A21" s="1"/>
      <c r="B21" s="69" t="s">
        <v>180</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8" t="s">
        <v>142</v>
      </c>
      <c r="C24" s="12">
        <f>SUM(C21:C23)*(1+'Fane 15. Nøgletal'!C10)^4</f>
        <v>0</v>
      </c>
      <c r="D24" s="13" t="s">
        <v>3</v>
      </c>
      <c r="E24" s="1"/>
    </row>
    <row r="25" spans="1:5" x14ac:dyDescent="0.25">
      <c r="A25" s="1"/>
      <c r="B25" s="1"/>
      <c r="C25" s="1"/>
      <c r="D25" s="1"/>
      <c r="E25" s="1"/>
    </row>
    <row r="26" spans="1:5" ht="15" customHeight="1" x14ac:dyDescent="0.25">
      <c r="A26" s="1"/>
      <c r="B26" s="113" t="s">
        <v>181</v>
      </c>
      <c r="C26" s="114"/>
      <c r="D26" s="115"/>
      <c r="E26" s="1"/>
    </row>
    <row r="27" spans="1:5" ht="14.25" customHeight="1" x14ac:dyDescent="0.25">
      <c r="A27" s="1"/>
      <c r="B27" s="69" t="s">
        <v>180</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8"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UEpJ+fPSaSgvaXMAF48L1apa+fLV4FBR/RL9n2I/1UeMNShufhq/wBjNEg4RZ/Qx2VvLrspJOXYwsfsAWd+q3Q==" saltValue="bhu5cwiYnFr1fmrm9G0fD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221</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T8VMu3aEOZOvlVhHyhlxihwzsRG7umBKDxFoi2HZyCQpU3ae89jgOONeotwqLz6fhF2uIBd82Mb/bpwyZyZwQ==" saltValue="IkNij33h/QV945Ysqqkge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119</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184</v>
      </c>
      <c r="C8" s="114"/>
      <c r="D8" s="114"/>
      <c r="E8" s="114"/>
      <c r="F8" s="115"/>
      <c r="G8" s="1"/>
    </row>
    <row r="9" spans="1:7" x14ac:dyDescent="0.25">
      <c r="A9" s="1"/>
      <c r="B9" s="31" t="s">
        <v>18</v>
      </c>
      <c r="C9" s="133" t="s">
        <v>11</v>
      </c>
      <c r="D9" s="134"/>
      <c r="E9" s="133" t="s">
        <v>27</v>
      </c>
      <c r="F9" s="134"/>
      <c r="G9" s="1"/>
    </row>
    <row r="10" spans="1:7" x14ac:dyDescent="0.25">
      <c r="A10" s="1"/>
      <c r="B10" s="71" t="s">
        <v>222</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215</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MzXY3aGz/yXyn5yQ1Rx7AAq/AfUD6U/E2TOoUKOiBkjBYm164zmDJLxRS/yd40Ql5KW5ACdYgpvHcLPYZHgMw==" saltValue="pM8AY9Hkux/5Cjx8larkD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168275914.32214132</v>
      </c>
      <c r="D9" s="8" t="s">
        <v>3</v>
      </c>
      <c r="E9" s="1"/>
    </row>
    <row r="10" spans="1:5" ht="17.25" customHeight="1" x14ac:dyDescent="0.25">
      <c r="A10" s="1"/>
      <c r="B10" s="65" t="s">
        <v>35</v>
      </c>
      <c r="C10" s="7">
        <f>'Fane 11.1. Varige tillæg'!C20</f>
        <v>712260.67619999999</v>
      </c>
      <c r="D10" s="8" t="s">
        <v>3</v>
      </c>
      <c r="E10" s="1"/>
    </row>
    <row r="11" spans="1:5" ht="17.25" customHeight="1" x14ac:dyDescent="0.25">
      <c r="A11" s="1"/>
      <c r="B11" s="65" t="s">
        <v>36</v>
      </c>
      <c r="C11" s="9">
        <f>'Fane 11.1. Varige tillæg'!E20</f>
        <v>1269985.6923</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13728116.811460568</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-1346705.3160688332</v>
      </c>
      <c r="D18" s="8" t="s">
        <v>3</v>
      </c>
      <c r="E18" s="1"/>
    </row>
    <row r="19" spans="1:5" ht="17.25" customHeight="1" x14ac:dyDescent="0.25">
      <c r="A19" s="1"/>
      <c r="B19" s="65" t="s">
        <v>23</v>
      </c>
      <c r="C19" s="38">
        <f>-'Fane 4.2. Gen. krav - anlæg'!C17</f>
        <v>0</v>
      </c>
      <c r="D19" s="8" t="s">
        <v>3</v>
      </c>
      <c r="E19" s="43"/>
    </row>
    <row r="20" spans="1:5" ht="17.25" customHeight="1" x14ac:dyDescent="0.25">
      <c r="A20" s="1"/>
      <c r="B20" s="84" t="s">
        <v>21</v>
      </c>
      <c r="C20" s="10">
        <f>SUM(C9:C19)</f>
        <v>182639572.18603304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6744001.2609411366</v>
      </c>
      <c r="D22" s="11" t="s">
        <v>3</v>
      </c>
      <c r="E22" s="1"/>
    </row>
    <row r="23" spans="1:5" ht="15" customHeight="1" x14ac:dyDescent="0.25">
      <c r="A23" s="1"/>
      <c r="B23" s="33" t="s">
        <v>43</v>
      </c>
      <c r="C23" s="28"/>
      <c r="D23" s="19"/>
      <c r="E23" s="1"/>
    </row>
    <row r="24" spans="1:5" ht="15" customHeight="1" x14ac:dyDescent="0.25">
      <c r="A24" s="1"/>
      <c r="B24" s="84"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574078.21984651999</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-11481.5643969304</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562596.6554495896</v>
      </c>
      <c r="D30" s="11" t="s">
        <v>3</v>
      </c>
      <c r="E30" s="1"/>
    </row>
    <row r="31" spans="1:5" x14ac:dyDescent="0.25">
      <c r="A31" s="1"/>
      <c r="B31" s="33" t="s">
        <v>70</v>
      </c>
      <c r="C31" s="28"/>
      <c r="D31" s="19"/>
      <c r="E31" s="1"/>
    </row>
    <row r="32" spans="1:5" x14ac:dyDescent="0.25">
      <c r="A32" s="1"/>
      <c r="B32" s="31" t="s">
        <v>80</v>
      </c>
      <c r="C32" s="62">
        <f>'Fane 7. Kontrol af ØR2023'!C27</f>
        <v>-5420099.4714432657</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184526070.63098049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jSozpRswiKvirc+JqN8YJgQDx2CdV8+naBluArk3jta7vBr6DFMi5oBzrKq7pIPqThX2AcUfzXFqA5e6PduZg==" saltValue="injVXzpRynIoPl2el7v8n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120</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214</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ndBHcrHWSekr0xOI5fWcPuKYTyr+rva6o15Sodf4l5AnfsFWm0MBrmxEwvRnPMBX5JwUuOcbfRKUqyJnykwSsA==" saltValue="C0HD5+0rNwLnlNU6Nv03t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182639572.18603304</v>
      </c>
      <c r="D9" s="8" t="s">
        <v>3</v>
      </c>
      <c r="E9" s="1"/>
    </row>
    <row r="10" spans="1:5" ht="15" customHeight="1" x14ac:dyDescent="0.25">
      <c r="A10" s="1"/>
      <c r="B10" s="26" t="s">
        <v>19</v>
      </c>
      <c r="C10" s="7">
        <f>C9*'Fane 15. Nøgletal'!C10</f>
        <v>12109003.63593399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-1407272.0409537125</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193341303.78101331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7191128.544541534</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200532432.32555485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efsxJkZVX65aZFE0d08kgFWWKTsymf5P7C6vhpMIhAcq42k47dHOr7ef1UJG7ySitCA3cinlGfOhA1+5Xtq/Q==" saltValue="Qgxqmeb+/eBA1b2x5ePSJ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193341303.78101331</v>
      </c>
      <c r="D9" s="8" t="s">
        <v>3</v>
      </c>
      <c r="E9" s="1"/>
    </row>
    <row r="10" spans="1:5" ht="15" customHeight="1" x14ac:dyDescent="0.25">
      <c r="A10" s="1"/>
      <c r="B10" s="26" t="s">
        <v>19</v>
      </c>
      <c r="C10" s="7">
        <f>SUM(C9:C9)*'Fane 15. Nøgletal'!C10</f>
        <v>12818528.440681182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-1470562.6937235647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204689269.52797094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7667900.3670446379</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212357169.89501557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2uMw8nTLe2GqigpitsDn/oJedVjSKWoPF/h6TtWfd/mBJ37ql/MqJgupR5N/WbLUEjWt7qGCFmOHYT0v1QzcQ==" saltValue="T2hdcLR0OshtXnPZWBgSy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159</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204689269.52797094</v>
      </c>
      <c r="D9" s="8" t="s">
        <v>3</v>
      </c>
      <c r="E9" s="1"/>
    </row>
    <row r="10" spans="1:5" ht="15" customHeight="1" x14ac:dyDescent="0.25">
      <c r="A10" s="1"/>
      <c r="B10" s="26" t="s">
        <v>19</v>
      </c>
      <c r="C10" s="7">
        <f>SUM(C9:C9)*'Fane 15. Nøgletal'!C10</f>
        <v>13570898.569704473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-1536699.7803110885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216723468.31736434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8176282.1613796977</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224899750.47874403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rGRvs6fp8A9+3hCx8sVKucvtJstwwiGtApk58nmsgkBAeRDelQk75ZZa4gyjdavOZ+nMHIImerfSaqK94VEBw==" saltValue="0kLUbq0t/MtD03IJadK/w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162</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153451570.87860459</v>
      </c>
      <c r="D9" s="8" t="s">
        <v>3</v>
      </c>
      <c r="E9" s="1"/>
    </row>
    <row r="10" spans="1:5" ht="15" customHeight="1" x14ac:dyDescent="0.25">
      <c r="A10" s="1"/>
      <c r="B10" s="65" t="s">
        <v>35</v>
      </c>
      <c r="C10" s="63">
        <v>937511.85919999995</v>
      </c>
      <c r="D10" s="8" t="s">
        <v>3</v>
      </c>
      <c r="E10" s="1"/>
    </row>
    <row r="11" spans="1:5" ht="15" customHeight="1" x14ac:dyDescent="0.25">
      <c r="A11" s="1"/>
      <c r="B11" s="65" t="s">
        <v>36</v>
      </c>
      <c r="C11" s="63">
        <v>2469752.2919999999</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12674193.870408211</v>
      </c>
      <c r="D16" s="8" t="s">
        <v>3</v>
      </c>
      <c r="E16" s="1"/>
    </row>
    <row r="17" spans="1:5" ht="15" customHeight="1" x14ac:dyDescent="0.25">
      <c r="A17" s="1"/>
      <c r="B17" s="65" t="s">
        <v>10</v>
      </c>
      <c r="C17" s="9">
        <v>0</v>
      </c>
      <c r="D17" s="8" t="s">
        <v>3</v>
      </c>
      <c r="E17" s="1"/>
    </row>
    <row r="18" spans="1:5" ht="15" customHeight="1" x14ac:dyDescent="0.25">
      <c r="A18" s="1"/>
      <c r="B18" s="65" t="s">
        <v>22</v>
      </c>
      <c r="C18" s="9">
        <v>-1257114.5780714611</v>
      </c>
      <c r="D18" s="8" t="s">
        <v>3</v>
      </c>
      <c r="E18" s="43"/>
    </row>
    <row r="19" spans="1:5" ht="15" customHeight="1" x14ac:dyDescent="0.25">
      <c r="A19" s="1"/>
      <c r="B19" s="65" t="s">
        <v>23</v>
      </c>
      <c r="C19" s="9">
        <v>0</v>
      </c>
      <c r="D19" s="8" t="s">
        <v>3</v>
      </c>
      <c r="E19" s="1"/>
    </row>
    <row r="20" spans="1:5" ht="15" customHeight="1" x14ac:dyDescent="0.25">
      <c r="A20" s="1"/>
      <c r="B20" s="84" t="s">
        <v>21</v>
      </c>
      <c r="C20" s="10">
        <v>168275914.32214132</v>
      </c>
      <c r="D20" s="11" t="s">
        <v>3</v>
      </c>
      <c r="E20" s="1"/>
    </row>
    <row r="21" spans="1:5" ht="15" customHeight="1" x14ac:dyDescent="0.25">
      <c r="A21" s="1"/>
      <c r="B21" s="33" t="s">
        <v>12</v>
      </c>
      <c r="C21" s="28"/>
      <c r="D21" s="19"/>
      <c r="E21" s="1"/>
    </row>
    <row r="22" spans="1:5" ht="15" customHeight="1" x14ac:dyDescent="0.25">
      <c r="A22" s="1"/>
      <c r="B22" s="31" t="s">
        <v>12</v>
      </c>
      <c r="C22" s="10">
        <v>5403259.6251961598</v>
      </c>
      <c r="D22" s="11" t="s">
        <v>3</v>
      </c>
      <c r="E22" s="1"/>
    </row>
    <row r="23" spans="1:5" ht="15" customHeight="1" x14ac:dyDescent="0.25">
      <c r="A23" s="1"/>
      <c r="B23" s="33" t="s">
        <v>43</v>
      </c>
      <c r="C23" s="28"/>
      <c r="D23" s="19"/>
      <c r="E23" s="1"/>
    </row>
    <row r="24" spans="1:5" ht="15" customHeight="1" x14ac:dyDescent="0.25">
      <c r="A24" s="1"/>
      <c r="B24" s="84"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224</v>
      </c>
      <c r="C28" s="9">
        <v>0</v>
      </c>
      <c r="D28" s="8" t="s">
        <v>3</v>
      </c>
      <c r="E28" s="1"/>
    </row>
    <row r="29" spans="1:5" ht="15" customHeight="1" x14ac:dyDescent="0.25">
      <c r="A29" s="1"/>
      <c r="B29" s="72" t="s">
        <v>225</v>
      </c>
      <c r="C29" s="9">
        <v>0</v>
      </c>
      <c r="D29" s="8" t="s">
        <v>3</v>
      </c>
      <c r="E29" s="1"/>
    </row>
    <row r="30" spans="1:5" ht="15" customHeight="1" x14ac:dyDescent="0.25">
      <c r="A30" s="1"/>
      <c r="B30" s="84" t="s">
        <v>44</v>
      </c>
      <c r="C30" s="10">
        <v>0</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-7527306.5</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3" t="s">
        <v>66</v>
      </c>
      <c r="C37" s="12">
        <v>166151867.44733748</v>
      </c>
      <c r="D37" s="13" t="s">
        <v>3</v>
      </c>
      <c r="E37" s="1"/>
    </row>
    <row r="38" spans="1:5" ht="30" customHeight="1" x14ac:dyDescent="0.25">
      <c r="A38" s="1"/>
      <c r="B38" s="112" t="s">
        <v>226</v>
      </c>
      <c r="C38" s="112"/>
      <c r="D38" s="112"/>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uvCRId7Ft4iMaJ66n47INSdV7tWw3pJObXB8Fmlu/sfT0IJUC5OUJ0V+AWIiJsXFKxL/bTXl4xltKId+JveCVw==" saltValue="4WdKG3ivvd0SrPXWcaFOJw=="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7"/>
      <c r="C6" s="77"/>
      <c r="D6" s="77"/>
      <c r="E6" s="1"/>
    </row>
    <row r="7" spans="1:5" x14ac:dyDescent="0.25">
      <c r="A7" s="1"/>
      <c r="B7" s="1"/>
      <c r="C7" s="1"/>
      <c r="D7" s="1"/>
      <c r="E7" s="1"/>
    </row>
    <row r="8" spans="1:5" x14ac:dyDescent="0.25">
      <c r="A8" s="1"/>
      <c r="B8" s="113" t="s">
        <v>124</v>
      </c>
      <c r="C8" s="114"/>
      <c r="D8" s="115"/>
      <c r="E8" s="1"/>
    </row>
    <row r="9" spans="1:5" x14ac:dyDescent="0.25">
      <c r="A9" s="1"/>
      <c r="B9" s="66" t="s">
        <v>89</v>
      </c>
      <c r="C9" s="23">
        <v>61842465.974183761</v>
      </c>
      <c r="D9" s="14" t="s">
        <v>3</v>
      </c>
      <c r="E9" s="1"/>
    </row>
    <row r="10" spans="1:5" x14ac:dyDescent="0.25">
      <c r="A10" s="1"/>
      <c r="B10" s="66" t="s">
        <v>126</v>
      </c>
      <c r="C10" s="23">
        <f>('Fane 3. Omkostninger i ØR2024'!C10+'Fane 3. Omkostninger i ØR2024'!C12+'Fane 3. Omkostninger i ØR2024'!C14)*(1+'Fane 15. Nøgletal'!C9)</f>
        <v>1013262.81742336</v>
      </c>
      <c r="D10" s="14" t="s">
        <v>3</v>
      </c>
      <c r="E10" s="1"/>
    </row>
    <row r="11" spans="1:5" x14ac:dyDescent="0.25">
      <c r="A11" s="1"/>
      <c r="B11" s="66" t="s">
        <v>132</v>
      </c>
      <c r="C11" s="23">
        <f>C9*'Fane 15. Nøgletal'!C21+C10*'Fane 15. Nøgletal'!C21</f>
        <v>1257114.5758321425</v>
      </c>
      <c r="D11" s="14" t="s">
        <v>3</v>
      </c>
      <c r="E11" s="1"/>
    </row>
    <row r="12" spans="1:5" x14ac:dyDescent="0.25">
      <c r="A12" s="1"/>
      <c r="B12" s="33"/>
      <c r="C12" s="28"/>
      <c r="D12" s="19"/>
      <c r="E12" s="1"/>
    </row>
    <row r="13" spans="1:5" x14ac:dyDescent="0.25">
      <c r="A13" s="1"/>
      <c r="B13" s="1"/>
      <c r="C13" s="1"/>
      <c r="D13" s="1"/>
      <c r="E13" s="1"/>
    </row>
    <row r="14" spans="1:5" x14ac:dyDescent="0.25">
      <c r="A14" s="1"/>
      <c r="B14" s="113" t="s">
        <v>125</v>
      </c>
      <c r="C14" s="114"/>
      <c r="D14" s="115"/>
      <c r="E14" s="1"/>
    </row>
    <row r="15" spans="1:5" x14ac:dyDescent="0.25">
      <c r="A15" s="1"/>
      <c r="B15" s="66" t="s">
        <v>134</v>
      </c>
      <c r="C15" s="23">
        <f>(C9+C10-C11)*(1+'Fane 15. Nøgletal'!C9)</f>
        <v>66575782.244409591</v>
      </c>
      <c r="D15" s="14" t="s">
        <v>3</v>
      </c>
      <c r="E15" s="1"/>
    </row>
    <row r="16" spans="1:5" x14ac:dyDescent="0.25">
      <c r="A16" s="1"/>
      <c r="B16" s="66" t="s">
        <v>185</v>
      </c>
      <c r="C16" s="23">
        <f>('Fane 2.1. Økonomisk ramme 2025'!C10+'Fane 2.1. Økonomisk ramme 2025'!C12+'Fane 2.1. Økonomisk ramme 2025'!C14)*(1+'Fane 15. Nøgletal'!C10)</f>
        <v>759483.55903205997</v>
      </c>
      <c r="D16" s="14" t="s">
        <v>3</v>
      </c>
      <c r="E16" s="1"/>
    </row>
    <row r="17" spans="1:5" x14ac:dyDescent="0.25">
      <c r="A17" s="1"/>
      <c r="B17" s="66" t="s">
        <v>133</v>
      </c>
      <c r="C17" s="23">
        <f>C15*'Fane 15. Nøgletal'!C21+C16*'Fane 15. Nøgletal'!C21</f>
        <v>1346705.3160688332</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146</v>
      </c>
      <c r="C20" s="114"/>
      <c r="D20" s="115"/>
      <c r="E20" s="1"/>
    </row>
    <row r="21" spans="1:5" x14ac:dyDescent="0.25">
      <c r="A21" s="1"/>
      <c r="B21" s="66" t="s">
        <v>190</v>
      </c>
      <c r="C21" s="23">
        <f>(C15+C16-C17)*(1+'Fane 15. Nøgletal'!C10)</f>
        <v>70363602.047685623</v>
      </c>
      <c r="D21" s="14" t="s">
        <v>3</v>
      </c>
      <c r="E21" s="1"/>
    </row>
    <row r="22" spans="1:5" x14ac:dyDescent="0.25">
      <c r="A22" s="1"/>
      <c r="B22" s="66" t="s">
        <v>197</v>
      </c>
      <c r="C22" s="23">
        <f>C21*'Fane 15. Nøgletal'!C21</f>
        <v>1407272.0409537125</v>
      </c>
      <c r="D22" s="14" t="s">
        <v>3</v>
      </c>
      <c r="E22" s="1"/>
    </row>
    <row r="23" spans="1:5" x14ac:dyDescent="0.25">
      <c r="A23" s="1"/>
      <c r="B23" s="33"/>
      <c r="C23" s="28"/>
      <c r="D23" s="19"/>
      <c r="E23" s="1"/>
    </row>
    <row r="24" spans="1:5" x14ac:dyDescent="0.25">
      <c r="A24" s="1"/>
      <c r="B24" s="1"/>
      <c r="C24" s="1"/>
      <c r="D24" s="1"/>
      <c r="E24" s="1"/>
    </row>
    <row r="25" spans="1:5" x14ac:dyDescent="0.25">
      <c r="A25" s="1"/>
      <c r="B25" s="113" t="s">
        <v>188</v>
      </c>
      <c r="C25" s="114"/>
      <c r="D25" s="115"/>
      <c r="E25" s="1"/>
    </row>
    <row r="26" spans="1:5" x14ac:dyDescent="0.25">
      <c r="A26" s="1"/>
      <c r="B26" s="66" t="s">
        <v>191</v>
      </c>
      <c r="C26" s="23">
        <f>(C21-C22)*(1+'Fane 15. Nøgletal'!C10)</f>
        <v>73528134.686178237</v>
      </c>
      <c r="D26" s="14" t="s">
        <v>3</v>
      </c>
      <c r="E26" s="1"/>
    </row>
    <row r="27" spans="1:5" x14ac:dyDescent="0.25">
      <c r="A27" s="1"/>
      <c r="B27" s="66" t="s">
        <v>195</v>
      </c>
      <c r="C27" s="23">
        <f>C26*'Fane 15. Nøgletal'!C21</f>
        <v>1470562.6937235647</v>
      </c>
      <c r="D27" s="14" t="s">
        <v>3</v>
      </c>
      <c r="E27" s="1"/>
    </row>
    <row r="28" spans="1:5" x14ac:dyDescent="0.25">
      <c r="A28" s="1"/>
      <c r="B28" s="33"/>
      <c r="C28" s="28"/>
      <c r="D28" s="19"/>
      <c r="E28" s="1"/>
    </row>
    <row r="29" spans="1:5" x14ac:dyDescent="0.25">
      <c r="A29" s="1"/>
      <c r="B29" s="1"/>
      <c r="C29" s="1"/>
      <c r="D29" s="1"/>
      <c r="E29" s="1"/>
    </row>
    <row r="30" spans="1:5" x14ac:dyDescent="0.25">
      <c r="A30" s="1"/>
      <c r="B30" s="113" t="s">
        <v>189</v>
      </c>
      <c r="C30" s="114"/>
      <c r="D30" s="115"/>
      <c r="E30" s="1"/>
    </row>
    <row r="31" spans="1:5" x14ac:dyDescent="0.25">
      <c r="A31" s="1"/>
      <c r="B31" s="66" t="s">
        <v>192</v>
      </c>
      <c r="C31" s="23">
        <f>(C26-C27)*(1+'Fane 15. Nøgletal'!C10)</f>
        <v>76834989.015554428</v>
      </c>
      <c r="D31" s="14" t="s">
        <v>3</v>
      </c>
      <c r="E31" s="1"/>
    </row>
    <row r="32" spans="1:5" x14ac:dyDescent="0.25">
      <c r="A32" s="1"/>
      <c r="B32" s="66" t="s">
        <v>196</v>
      </c>
      <c r="C32" s="23">
        <f>C31*'Fane 15. Nøgletal'!C21</f>
        <v>1536699.7803110885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1mzFJ8i4tNxbAtwDGqO+jsbywaLissA5YBZhoC115DzmKlB+HGSnVVGJXPAdbjiy5FIkMReiI+ENYEDV8U2FA==" saltValue="k9X4PQCjKrymk5l4pI3MF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148</v>
      </c>
      <c r="C8" s="114"/>
      <c r="D8" s="115"/>
      <c r="E8" s="1"/>
    </row>
    <row r="9" spans="1:5" x14ac:dyDescent="0.25">
      <c r="A9" s="1"/>
      <c r="B9" s="66" t="s">
        <v>135</v>
      </c>
      <c r="C9" s="23">
        <v>110676487.69171245</v>
      </c>
      <c r="D9" s="14" t="s">
        <v>3</v>
      </c>
      <c r="E9" s="1"/>
    </row>
    <row r="10" spans="1:5" x14ac:dyDescent="0.25">
      <c r="A10" s="1"/>
      <c r="B10" s="66" t="s">
        <v>127</v>
      </c>
      <c r="C10" s="23">
        <f>('Fane 3. Omkostninger i ØR2024'!C11+'Fane 3. Omkostninger i ØR2024'!C13+'Fane 3. Omkostninger i ØR2024'!C15)*(1+'Fane 15. Nøgletal'!C9)</f>
        <v>2669308.2771935998</v>
      </c>
      <c r="D10" s="14" t="s">
        <v>3</v>
      </c>
      <c r="E10" s="1"/>
    </row>
    <row r="11" spans="1:5" x14ac:dyDescent="0.25">
      <c r="A11" s="1"/>
      <c r="B11" s="66" t="s">
        <v>136</v>
      </c>
      <c r="C11" s="75">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147</v>
      </c>
      <c r="C14" s="114"/>
      <c r="D14" s="115"/>
      <c r="E14" s="1"/>
    </row>
    <row r="15" spans="1:5" x14ac:dyDescent="0.25">
      <c r="A15" s="1"/>
      <c r="B15" s="66" t="s">
        <v>137</v>
      </c>
      <c r="C15" s="23">
        <f>(C9+C10-C11)*(1+'Fane 15. Nøgletal'!C9)</f>
        <v>122504136.28319366</v>
      </c>
      <c r="D15" s="14" t="s">
        <v>3</v>
      </c>
      <c r="E15" s="1"/>
    </row>
    <row r="16" spans="1:5" x14ac:dyDescent="0.25">
      <c r="A16" s="1"/>
      <c r="B16" s="66" t="s">
        <v>186</v>
      </c>
      <c r="C16" s="23">
        <f>('Fane 2.1. Økonomisk ramme 2025'!C11+'Fane 2.1. Økonomisk ramme 2025'!C13+'Fane 2.1. Økonomisk ramme 2025'!C15)*(1+'Fane 15. Nøgletal'!C10)</f>
        <v>1354185.7436994901</v>
      </c>
      <c r="D16" s="14" t="s">
        <v>3</v>
      </c>
      <c r="E16" s="1"/>
    </row>
    <row r="17" spans="1:5" x14ac:dyDescent="0.25">
      <c r="A17" s="1"/>
      <c r="B17" s="66" t="s">
        <v>138</v>
      </c>
      <c r="C17" s="75">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193</v>
      </c>
      <c r="C21" s="23">
        <f>(C15+C16-C17)*(1+'Fane 15. Nøgletal'!C10)</f>
        <v>132070128.77727617</v>
      </c>
      <c r="D21" s="14" t="s">
        <v>3</v>
      </c>
      <c r="E21" s="1"/>
    </row>
    <row r="22" spans="1:5" x14ac:dyDescent="0.25">
      <c r="A22" s="1"/>
      <c r="B22" s="66" t="s">
        <v>198</v>
      </c>
      <c r="C22" s="75">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139</v>
      </c>
      <c r="C25" s="114"/>
      <c r="D25" s="115"/>
      <c r="E25" s="1"/>
    </row>
    <row r="26" spans="1:5" x14ac:dyDescent="0.25">
      <c r="A26" s="1"/>
      <c r="B26" s="66" t="s">
        <v>194</v>
      </c>
      <c r="C26" s="23">
        <f>(C21-C22)*(1+'Fane 15. Nøgletal'!C10)</f>
        <v>140826378.3152096</v>
      </c>
      <c r="D26" s="14" t="s">
        <v>3</v>
      </c>
      <c r="E26" s="1"/>
    </row>
    <row r="27" spans="1:5" x14ac:dyDescent="0.25">
      <c r="A27" s="1"/>
      <c r="B27" s="66" t="s">
        <v>199</v>
      </c>
      <c r="C27" s="75">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164</v>
      </c>
      <c r="C30" s="114"/>
      <c r="D30" s="115"/>
      <c r="E30" s="1"/>
    </row>
    <row r="31" spans="1:5" x14ac:dyDescent="0.25">
      <c r="A31" s="1"/>
      <c r="B31" s="66" t="s">
        <v>201</v>
      </c>
      <c r="C31" s="23">
        <f>(C26-C27)*(1+'Fane 15. Nøgletal'!C10)</f>
        <v>150163167.19750801</v>
      </c>
      <c r="D31" s="14" t="s">
        <v>3</v>
      </c>
      <c r="E31" s="1"/>
    </row>
    <row r="32" spans="1:5" x14ac:dyDescent="0.25">
      <c r="A32" s="1"/>
      <c r="B32" s="66" t="s">
        <v>200</v>
      </c>
      <c r="C32" s="75">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WC/r2NYJ3loYzO3f1ESDEXbQxQYyE27CZal4Ul0NPEzIa5/0JJ+YKNjgkVsWCBJNIVYOfB8iz3yLxxwKRqT2Q==" saltValue="gwTS6rUPx/slnUXOf8uty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165</v>
      </c>
      <c r="C9" s="22">
        <v>0</v>
      </c>
      <c r="D9" s="1"/>
    </row>
    <row r="10" spans="1:4" x14ac:dyDescent="0.25">
      <c r="A10" s="1"/>
      <c r="B10" s="33"/>
      <c r="C10" s="19"/>
      <c r="D10" s="1"/>
    </row>
    <row r="11" spans="1:4" x14ac:dyDescent="0.25">
      <c r="A11" s="1"/>
      <c r="B11" s="117" t="s">
        <v>219</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6xc6C6Pk6IMCX1cOoRXxda5vQ+qs2WWn6umcrt7UnSCXLdxn6eDof9vAVb9MGOGUO7z8bDmVz1+ldYXXYdd6Lg==" saltValue="NxY6IkTpF8xr1bc8tlaT2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2024-10-07T10:24:35Z</dcterms:modified>
</cp:coreProperties>
</file>