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Odder Spildevand AS (S073)\ØR2024\"/>
    </mc:Choice>
  </mc:AlternateContent>
  <xr:revisionPtr revIDLastSave="0" documentId="13_ncr:1_{14D2BC9E-A9FD-40AC-A61E-A17AC940E44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7" i="44"/>
  <c r="E18" i="44" l="1"/>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<sst xmlns="http://schemas.openxmlformats.org/spreadsheetml/2006/main" count="652" uniqueCount="288">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</sst>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55" zoomScaleNormal="100" zoomScalePageLayoutView="5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101" t="s">
        <v>252</v>
      </c>
      <c r="E8" s="101"/>
      <c r="F8" s="101"/>
      <c r="G8" s="10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0" t="s">
        <v>197</v>
      </c>
      <c r="E14" s="91"/>
      <c r="F14" s="91"/>
      <c r="G14" s="92"/>
      <c r="H14" s="5"/>
      <c r="I14" s="1"/>
    </row>
    <row r="15" spans="1:9" x14ac:dyDescent="0.25">
      <c r="A15" s="1"/>
      <c r="B15" s="1"/>
      <c r="C15" s="6" t="s">
        <v>31</v>
      </c>
      <c r="D15" s="90" t="s">
        <v>262</v>
      </c>
      <c r="E15" s="91"/>
      <c r="F15" s="91"/>
      <c r="G15" s="92"/>
      <c r="H15" s="5"/>
      <c r="I15" s="1"/>
    </row>
    <row r="16" spans="1:9" x14ac:dyDescent="0.25">
      <c r="A16" s="1"/>
      <c r="B16" s="1"/>
      <c r="C16" s="6" t="s">
        <v>32</v>
      </c>
      <c r="D16" s="90" t="s">
        <v>263</v>
      </c>
      <c r="E16" s="91"/>
      <c r="F16" s="91"/>
      <c r="G16" s="92"/>
      <c r="H16" s="5"/>
      <c r="I16" s="1"/>
    </row>
    <row r="17" spans="1:9" x14ac:dyDescent="0.25">
      <c r="A17" s="1"/>
      <c r="B17" s="1"/>
      <c r="C17" s="6" t="s">
        <v>101</v>
      </c>
      <c r="D17" s="90" t="s">
        <v>198</v>
      </c>
      <c r="E17" s="91"/>
      <c r="F17" s="91"/>
      <c r="G17" s="92"/>
      <c r="H17" s="5"/>
      <c r="I17" s="1"/>
    </row>
    <row r="18" spans="1:9" x14ac:dyDescent="0.25">
      <c r="A18" s="1"/>
      <c r="B18" s="1"/>
      <c r="C18" s="6" t="s">
        <v>88</v>
      </c>
      <c r="D18" s="102" t="s">
        <v>79</v>
      </c>
      <c r="E18" s="103"/>
      <c r="F18" s="103"/>
      <c r="G18" s="104"/>
      <c r="H18" s="5"/>
      <c r="I18" s="1"/>
    </row>
    <row r="19" spans="1:9" x14ac:dyDescent="0.25">
      <c r="A19" s="1"/>
      <c r="B19" s="1"/>
      <c r="C19" s="6" t="s">
        <v>89</v>
      </c>
      <c r="D19" s="102" t="s">
        <v>80</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90</v>
      </c>
      <c r="D21" s="94" t="s">
        <v>12</v>
      </c>
      <c r="E21" s="95"/>
      <c r="F21" s="95"/>
      <c r="G21" s="96"/>
      <c r="H21" s="5"/>
      <c r="I21" s="1"/>
    </row>
    <row r="22" spans="1:9" x14ac:dyDescent="0.25">
      <c r="A22" s="1"/>
      <c r="B22" s="1"/>
      <c r="C22" s="6" t="s">
        <v>71</v>
      </c>
      <c r="D22" s="97" t="s">
        <v>199</v>
      </c>
      <c r="E22" s="98"/>
      <c r="F22" s="98"/>
      <c r="G22" s="99"/>
      <c r="H22" s="5"/>
      <c r="I22" s="1"/>
    </row>
    <row r="23" spans="1:9" x14ac:dyDescent="0.25">
      <c r="A23" s="1"/>
      <c r="B23" s="1"/>
      <c r="C23" s="6" t="s">
        <v>8</v>
      </c>
      <c r="D23" s="97" t="s">
        <v>181</v>
      </c>
      <c r="E23" s="98"/>
      <c r="F23" s="98"/>
      <c r="G23" s="99"/>
      <c r="H23" s="5"/>
      <c r="I23" s="1"/>
    </row>
    <row r="24" spans="1:9" x14ac:dyDescent="0.25">
      <c r="A24" s="1"/>
      <c r="B24" s="1"/>
      <c r="C24" s="6" t="s">
        <v>9</v>
      </c>
      <c r="D24" s="97" t="s">
        <v>200</v>
      </c>
      <c r="E24" s="98"/>
      <c r="F24" s="98"/>
      <c r="G24" s="99"/>
      <c r="H24" s="5"/>
      <c r="I24" s="1"/>
    </row>
    <row r="25" spans="1:9" x14ac:dyDescent="0.25">
      <c r="A25" s="1"/>
      <c r="B25" s="1"/>
      <c r="C25" s="6" t="s">
        <v>166</v>
      </c>
      <c r="D25" s="97" t="s">
        <v>160</v>
      </c>
      <c r="E25" s="98"/>
      <c r="F25" s="98"/>
      <c r="G25" s="99"/>
      <c r="H25" s="1"/>
      <c r="I25" s="1"/>
    </row>
    <row r="26" spans="1:9" x14ac:dyDescent="0.25">
      <c r="A26" s="1"/>
      <c r="B26" s="1"/>
      <c r="C26" s="6" t="s">
        <v>167</v>
      </c>
      <c r="D26" s="97" t="s">
        <v>72</v>
      </c>
      <c r="E26" s="98"/>
      <c r="F26" s="98"/>
      <c r="G26" s="99"/>
      <c r="H26" s="1"/>
      <c r="I26" s="1"/>
    </row>
    <row r="27" spans="1:9" x14ac:dyDescent="0.25">
      <c r="A27" s="1"/>
      <c r="B27" s="1"/>
      <c r="C27" s="6" t="s">
        <v>168</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34</v>
      </c>
      <c r="D29" s="97" t="s">
        <v>114</v>
      </c>
      <c r="E29" s="98"/>
      <c r="F29" s="98"/>
      <c r="G29" s="99"/>
      <c r="H29" s="1"/>
      <c r="I29" s="1"/>
    </row>
    <row r="30" spans="1:9" x14ac:dyDescent="0.25">
      <c r="A30" s="1"/>
      <c r="B30" s="1"/>
      <c r="C30" s="6" t="s">
        <v>35</v>
      </c>
      <c r="D30" s="97" t="s">
        <v>33</v>
      </c>
      <c r="E30" s="98"/>
      <c r="F30" s="98"/>
      <c r="G30" s="99"/>
      <c r="H30" s="1"/>
      <c r="I30" s="1"/>
    </row>
    <row r="31" spans="1:9" x14ac:dyDescent="0.25">
      <c r="A31" s="1"/>
      <c r="B31" s="1"/>
      <c r="C31" s="6" t="s">
        <v>169</v>
      </c>
      <c r="D31" s="108" t="s">
        <v>87</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3QPE5voHJulziSmgufxwWmrXXwy+vyb5dz1dnsRdPC2vLNFozmqeD/pcxI2mYif5eEmiwY6bfJ/Rs2+RonCcKg==" saltValue="vX4ACEBr9WvjGO0BZcJp1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40" zoomScaleNormal="100" zoomScalePageLayoutView="4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50" t="s">
        <v>225</v>
      </c>
      <c r="D9" s="11"/>
      <c r="E9" s="1"/>
      <c r="F9" s="1"/>
    </row>
    <row r="10" spans="1:6" ht="15" customHeight="1" x14ac:dyDescent="0.25">
      <c r="A10" s="1"/>
      <c r="B10" s="81" t="s">
        <v>272</v>
      </c>
      <c r="C10" s="9">
        <v>482764</v>
      </c>
      <c r="D10" s="14" t="s">
        <v>3</v>
      </c>
      <c r="E10" s="1"/>
      <c r="F10" s="1"/>
    </row>
    <row r="11" spans="1:6" ht="15" customHeight="1" x14ac:dyDescent="0.25">
      <c r="A11" s="1"/>
      <c r="B11" s="81" t="s">
        <v>273</v>
      </c>
      <c r="C11" s="9">
        <v>71776</v>
      </c>
      <c r="D11" s="14" t="s">
        <v>3</v>
      </c>
      <c r="E11" s="1"/>
      <c r="F11" s="1"/>
    </row>
    <row r="12" spans="1:6" ht="26.25" x14ac:dyDescent="0.25">
      <c r="A12" s="1"/>
      <c r="B12" s="29" t="s">
        <v>274</v>
      </c>
      <c r="C12" s="9">
        <v>72015.16</v>
      </c>
      <c r="D12" s="14" t="s">
        <v>3</v>
      </c>
      <c r="E12" s="1"/>
      <c r="F12" s="1"/>
    </row>
    <row r="13" spans="1:6" x14ac:dyDescent="0.25">
      <c r="A13" s="1"/>
      <c r="B13" s="81" t="s">
        <v>275</v>
      </c>
      <c r="C13" s="9">
        <v>225219.38</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851774.54</v>
      </c>
      <c r="D20" s="13" t="s">
        <v>3</v>
      </c>
      <c r="E20" s="1"/>
      <c r="F20" s="1"/>
    </row>
    <row r="21" spans="1:6" x14ac:dyDescent="0.25">
      <c r="A21" s="1"/>
      <c r="B21" s="33" t="s">
        <v>227</v>
      </c>
      <c r="C21" s="12">
        <f>C20*(1+'Fane 15. Nøgletal'!C16)^2</f>
        <v>994982.23499682557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B84H5PAdxFyWrVl6dtLl73VqGqiHpRQ2AmXhIxIhHmgNrs4aivwTYzNe3aempwDQTWIKvrCk0d0RSFPSXK65yw==" saltValue="k54cyEbzGk7y3n1isOYTL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0931-820B-41F4-8FC3-D497A02AEB41}">
  <dimension ref="A1:G51"/>
  <sheetViews>
    <sheetView showGridLines="0" view="pageLayout" zoomScale="70" zoomScaleNormal="100" zoomScalePageLayoutView="7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276</v>
      </c>
      <c r="C9" s="122"/>
      <c r="D9" s="123"/>
      <c r="E9" s="9">
        <v>-1699189</v>
      </c>
      <c r="F9" s="14" t="s">
        <v>3</v>
      </c>
      <c r="G9" s="1"/>
    </row>
    <row r="10" spans="1:7" ht="15" customHeight="1" x14ac:dyDescent="0.25">
      <c r="A10" s="1"/>
      <c r="B10" s="121" t="s">
        <v>143</v>
      </c>
      <c r="C10" s="122"/>
      <c r="D10" s="123"/>
      <c r="E10" s="9">
        <v>-3949237</v>
      </c>
      <c r="F10" s="14" t="s">
        <v>3</v>
      </c>
      <c r="G10" s="1"/>
    </row>
    <row r="11" spans="1:7" ht="15" customHeight="1" x14ac:dyDescent="0.25">
      <c r="A11" s="1"/>
      <c r="B11" s="121" t="s">
        <v>277</v>
      </c>
      <c r="C11" s="122"/>
      <c r="D11" s="123"/>
      <c r="E11" s="9">
        <v>-1205827</v>
      </c>
      <c r="F11" s="14" t="s">
        <v>3</v>
      </c>
      <c r="G11" s="1"/>
    </row>
    <row r="12" spans="1:7" x14ac:dyDescent="0.25">
      <c r="A12" s="1"/>
      <c r="B12" s="33"/>
      <c r="C12" s="28"/>
      <c r="D12" s="28"/>
      <c r="E12" s="28"/>
      <c r="F12" s="19"/>
      <c r="G12" s="1"/>
    </row>
    <row r="13" spans="1:7" ht="42" customHeight="1" x14ac:dyDescent="0.25">
      <c r="A13" s="1"/>
      <c r="B13" s="115" t="s">
        <v>278</v>
      </c>
      <c r="C13" s="116"/>
      <c r="D13" s="116"/>
      <c r="E13" s="116"/>
      <c r="F13" s="117"/>
      <c r="G13" s="1"/>
    </row>
    <row r="14" spans="1:7" ht="15" customHeight="1" x14ac:dyDescent="0.25">
      <c r="A14" s="1"/>
      <c r="B14" s="1"/>
      <c r="C14" s="1"/>
      <c r="D14" s="1"/>
      <c r="E14" s="1"/>
      <c r="F14" s="1"/>
      <c r="G14" s="1"/>
    </row>
    <row r="15" spans="1:7" x14ac:dyDescent="0.25">
      <c r="A15" s="1"/>
      <c r="B15" s="75" t="s">
        <v>279</v>
      </c>
      <c r="C15" s="76"/>
      <c r="D15" s="76"/>
      <c r="E15" s="76"/>
      <c r="F15" s="77"/>
      <c r="G15" s="1"/>
    </row>
    <row r="16" spans="1:7" x14ac:dyDescent="0.25">
      <c r="A16" s="1"/>
      <c r="B16" s="78" t="s">
        <v>280</v>
      </c>
      <c r="C16" s="79"/>
      <c r="D16" s="80"/>
      <c r="E16" s="9">
        <f>IF(E11&lt;0,E11,0)</f>
        <v>-1205827</v>
      </c>
      <c r="F16" s="14" t="s">
        <v>3</v>
      </c>
      <c r="G16" s="1"/>
    </row>
    <row r="17" spans="1:7" x14ac:dyDescent="0.25">
      <c r="A17" s="1"/>
      <c r="B17" s="78" t="s">
        <v>281</v>
      </c>
      <c r="C17" s="79"/>
      <c r="D17" s="80"/>
      <c r="E17" s="9">
        <f>IF(SUM(E10)&gt;0,SUM(E10),0)</f>
        <v>0</v>
      </c>
      <c r="F17" s="14" t="s">
        <v>3</v>
      </c>
      <c r="G17" s="1"/>
    </row>
    <row r="18" spans="1:7" x14ac:dyDescent="0.25">
      <c r="A18" s="1"/>
      <c r="B18" s="82" t="s">
        <v>282</v>
      </c>
      <c r="C18" s="83"/>
      <c r="D18" s="84"/>
      <c r="E18" s="62">
        <f>IF(SUM(E16:E17)&gt;0,0,SUM(E16:E17))</f>
        <v>-1205827</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283</v>
      </c>
      <c r="C21" s="76"/>
      <c r="D21" s="76"/>
      <c r="E21" s="76"/>
      <c r="F21" s="77"/>
      <c r="G21" s="1"/>
    </row>
    <row r="22" spans="1:7" x14ac:dyDescent="0.25">
      <c r="A22" s="1"/>
      <c r="B22" s="78" t="s">
        <v>284</v>
      </c>
      <c r="C22" s="79"/>
      <c r="D22" s="80"/>
      <c r="E22" s="9">
        <v>32935459</v>
      </c>
      <c r="F22" s="14" t="s">
        <v>3</v>
      </c>
      <c r="G22" s="1"/>
    </row>
    <row r="23" spans="1:7" x14ac:dyDescent="0.25">
      <c r="A23" s="1"/>
      <c r="B23" s="78" t="s">
        <v>285</v>
      </c>
      <c r="C23" s="79"/>
      <c r="D23" s="80"/>
      <c r="E23" s="9">
        <v>35469954.499999993</v>
      </c>
      <c r="F23" s="14" t="s">
        <v>3</v>
      </c>
      <c r="G23" s="1"/>
    </row>
    <row r="24" spans="1:7" x14ac:dyDescent="0.25">
      <c r="A24" s="1"/>
      <c r="B24" s="78" t="s">
        <v>30</v>
      </c>
      <c r="C24" s="79"/>
      <c r="D24" s="80"/>
      <c r="E24" s="9">
        <v>0</v>
      </c>
      <c r="F24" s="14" t="s">
        <v>3</v>
      </c>
      <c r="G24" s="1"/>
    </row>
    <row r="25" spans="1:7" x14ac:dyDescent="0.25">
      <c r="A25" s="1"/>
      <c r="B25" s="82" t="s">
        <v>286</v>
      </c>
      <c r="C25" s="83"/>
      <c r="D25" s="84"/>
      <c r="E25" s="62">
        <f>E22-E23-E24</f>
        <v>-2534495.4999999925</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8" t="s">
        <v>287</v>
      </c>
      <c r="C28" s="119"/>
      <c r="D28" s="119"/>
      <c r="E28" s="119"/>
      <c r="F28" s="120"/>
      <c r="G28" s="1"/>
    </row>
    <row r="29" spans="1:7" x14ac:dyDescent="0.25">
      <c r="A29" s="1"/>
      <c r="B29" s="133" t="s">
        <v>116</v>
      </c>
      <c r="C29" s="134"/>
      <c r="D29" s="135"/>
      <c r="E29" s="9">
        <f>IF(E18&lt;0,IF(E25&lt;0,SUM(E18,E25),IF(E10&gt;0,SUM(E10:E11),E18)),IF(AND(E25&lt;0,SUM(E25,E11)&lt;0),IF(E11&lt;0,E25,IF(SUM(E10:E11)&gt;0,SUM(E25,E11),IF(AND(E25&lt;0,E18=0,E11&gt;0),IF(SUM(E9:E11)&gt;0,E25+E11,E25)))),0))</f>
        <v>-3740322.4999999925</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-1870161.2499999963</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J+kwjwfdEZmaxUZ/00i34rmbHPOtCJwVAVU5BcHD++ny8Sx7nij+mMpXBZwCeJ3K1J84XDUYe3DWQf+1aDQcpg==" saltValue="+5wfdgD3eoMwZLMsL2MkG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70" zoomScaleNormal="100" zoomScalePageLayoutView="7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0y/5RnNnjoWEDBJEQckdajOQ2KbcGYKk2+rCiXKhJzAii2/UeWfCub3sK9Ro88B34altplsjYKNNlPWtQCi7Gw==" saltValue="YuoaTuGm2TqZmNLaFA94P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55" zoomScaleNormal="100" zoomScalePageLayoutView="55"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15" t="s">
        <v>82</v>
      </c>
      <c r="C10" s="116"/>
      <c r="D10" s="117"/>
      <c r="E10" s="7">
        <v>0</v>
      </c>
      <c r="F10" s="8" t="s">
        <v>3</v>
      </c>
      <c r="G10" s="1"/>
    </row>
    <row r="11" spans="1:7" x14ac:dyDescent="0.25">
      <c r="A11" s="1"/>
      <c r="B11" s="121" t="s">
        <v>229</v>
      </c>
      <c r="C11" s="122"/>
      <c r="D11" s="123"/>
      <c r="E11" s="7">
        <v>0</v>
      </c>
      <c r="F11" s="8" t="s">
        <v>3</v>
      </c>
      <c r="G11" s="1"/>
    </row>
    <row r="12" spans="1:7" x14ac:dyDescent="0.25">
      <c r="A12" s="1"/>
      <c r="B12" s="136" t="s">
        <v>83</v>
      </c>
      <c r="C12" s="137"/>
      <c r="D12" s="138"/>
      <c r="E12" s="10">
        <f>E11-E10</f>
        <v>0</v>
      </c>
      <c r="F12" s="11" t="s">
        <v>3</v>
      </c>
      <c r="G12" s="1"/>
    </row>
    <row r="13" spans="1:7" x14ac:dyDescent="0.25">
      <c r="A13" s="1"/>
      <c r="B13" s="118" t="s">
        <v>78</v>
      </c>
      <c r="C13" s="119"/>
      <c r="D13" s="119"/>
      <c r="E13" s="119"/>
      <c r="F13" s="120"/>
      <c r="G13" s="1"/>
    </row>
    <row r="14" spans="1:7" x14ac:dyDescent="0.25">
      <c r="A14" s="1"/>
      <c r="B14" s="121" t="s">
        <v>230</v>
      </c>
      <c r="C14" s="122"/>
      <c r="D14" s="123"/>
      <c r="E14" s="7">
        <v>0</v>
      </c>
      <c r="F14" s="8" t="s">
        <v>3</v>
      </c>
      <c r="G14" s="1"/>
    </row>
    <row r="15" spans="1:7" x14ac:dyDescent="0.25">
      <c r="A15" s="1"/>
      <c r="B15" s="115" t="s">
        <v>231</v>
      </c>
      <c r="C15" s="116"/>
      <c r="D15" s="117"/>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zZId16R/qpUycVPQ1E2S9gd3Pu6sOyTNNGh6vo3eH8VBnqnIX0+3TmlBk+0VqDo97C1zOTc0jzzLPgHsxRLXA==" saltValue="F8t9KtG0M4hY3GZ3yia1Y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55" zoomScaleNormal="100" zoomScalePageLayoutView="55"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HciIPvCZDJB/Rfn6JhMMe3g/Fx667of/60Iu6li6g3SMll3mXiIQZkVKP+EY7hfQJksYd2LuaOw7+GQ5wEG/Xw==" saltValue="Vu5reA38ao8SJISwGACUP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40" zoomScaleNormal="100" zoomScalePageLayoutView="4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0</v>
      </c>
      <c r="F19" s="13" t="s">
        <v>3</v>
      </c>
      <c r="G19" s="1"/>
    </row>
    <row r="20" spans="1:7" x14ac:dyDescent="0.25">
      <c r="A20" s="1"/>
      <c r="B20" s="33" t="s">
        <v>233</v>
      </c>
      <c r="C20" s="12">
        <f>C19*(1+'Fane 15. Nøgletal'!C16)</f>
        <v>0</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soHbm1ND2w80TGhKiWFngH4XXmBUbks5v8aVKmKnoDKDXIC1Coz1y3OVLzgC7us78fSQKSPWpj7sx+7SD5B6A==" saltValue="kQL7BF1pXNkP1j2TZcACL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86" t="s">
        <v>17</v>
      </c>
      <c r="C9" s="86" t="s">
        <v>11</v>
      </c>
      <c r="D9" s="87"/>
      <c r="E9" s="86"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yW7JnJ+EFDC8mlP8kEEgrWG6IKKr9PxNdpxZFvjZu5Q60xzozioLqddDx5eD7AXYV+HYphNlZqRt3GHJvFzA==" saltValue="0BsuA8bLG6Wm0832UKc0n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40" zoomScaleNormal="100" zoomScalePageLayoutView="4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2" t="s">
        <v>236</v>
      </c>
      <c r="C10" s="143"/>
      <c r="D10" s="144"/>
      <c r="E10" s="9">
        <v>0</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0</v>
      </c>
      <c r="F12" s="14" t="s">
        <v>3</v>
      </c>
      <c r="G12" s="1"/>
    </row>
    <row r="13" spans="1:7" x14ac:dyDescent="0.25">
      <c r="A13" s="1"/>
      <c r="B13" s="118" t="s">
        <v>111</v>
      </c>
      <c r="C13" s="119"/>
      <c r="D13" s="120"/>
      <c r="E13" s="12">
        <f>SUM(E10:E12)*(1+'Fane 15. Nøgletal'!C16)^2</f>
        <v>0</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2" t="s">
        <v>236</v>
      </c>
      <c r="C16" s="143"/>
      <c r="D16" s="144"/>
      <c r="E16" s="9">
        <v>0</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0</v>
      </c>
      <c r="F18" s="14" t="s">
        <v>3</v>
      </c>
      <c r="G18" s="1"/>
    </row>
    <row r="19" spans="1:7" x14ac:dyDescent="0.25">
      <c r="A19" s="1"/>
      <c r="B19" s="118" t="s">
        <v>125</v>
      </c>
      <c r="C19" s="119"/>
      <c r="D19" s="120"/>
      <c r="E19" s="12">
        <f>SUM(E16:E18)*(1+'Fane 15. Nøgletal'!C16)^3</f>
        <v>0</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2" t="s">
        <v>236</v>
      </c>
      <c r="C22" s="143"/>
      <c r="D22" s="144"/>
      <c r="E22" s="9">
        <v>0</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0</v>
      </c>
      <c r="F24" s="14" t="s">
        <v>3</v>
      </c>
      <c r="G24" s="1"/>
    </row>
    <row r="25" spans="1:7" x14ac:dyDescent="0.25">
      <c r="A25" s="1"/>
      <c r="B25" s="118" t="s">
        <v>146</v>
      </c>
      <c r="C25" s="119"/>
      <c r="D25" s="120"/>
      <c r="E25" s="12">
        <f>SUM(E22:E24)*(1+'Fane 15. Nøgletal'!C16)^4</f>
        <v>0</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2" t="s">
        <v>236</v>
      </c>
      <c r="C28" s="143"/>
      <c r="D28" s="144"/>
      <c r="E28" s="9">
        <v>0</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0</v>
      </c>
      <c r="F30" s="14" t="s">
        <v>3</v>
      </c>
      <c r="G30" s="1"/>
    </row>
    <row r="31" spans="1:7" x14ac:dyDescent="0.25">
      <c r="A31" s="1"/>
      <c r="B31" s="118" t="s">
        <v>238</v>
      </c>
      <c r="C31" s="119"/>
      <c r="D31" s="120"/>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1R3Md3gaphwCBUQCQxKnMzIoNvgxsV+D/Z5dGHUdvQDS3i22mJmSXBeREXzeBLpFv02irmbokdOCHMIsi/ohcQ==" saltValue="PmtpmKzooVOJfmqdBHHUX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55" zoomScaleNormal="100" zoomScalePageLayoutView="55"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QSjSu0nG4QoX7VwkuB+xMJCbfIqo0L+ZMsphmZz41UXK7P3Sx6VHXecoFCPJoEtTPbaRnyqbhsCBsJpbxghFJQ==" saltValue="32sNB0hMh/6vvGilu/B+F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WVbKiT45PJQkPlfFLvhYuhARZR77nc+A3PzhSgzVr3/mpG6iwks1Q/hFSfPaEkhtk/VViWtqBznhK7CCIukx2g==" saltValue="ESrVr3JlU+wY8FBLT7baY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55" zoomScaleNormal="100" zoomScalePageLayoutView="5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31920170.56557722</v>
      </c>
      <c r="D9" s="8" t="s">
        <v>3</v>
      </c>
      <c r="E9" s="1"/>
    </row>
    <row r="10" spans="1:5" ht="17.25" customHeight="1" x14ac:dyDescent="0.25">
      <c r="A10" s="1"/>
      <c r="B10" s="88" t="s">
        <v>36</v>
      </c>
      <c r="C10" s="7">
        <f>'Fane 11.1. Varige tillæg'!C20</f>
        <v>0</v>
      </c>
      <c r="D10" s="8" t="s">
        <v>3</v>
      </c>
      <c r="E10" s="1"/>
    </row>
    <row r="11" spans="1:5" ht="17.25" customHeight="1" x14ac:dyDescent="0.25">
      <c r="A11" s="1"/>
      <c r="B11" s="88" t="s">
        <v>37</v>
      </c>
      <c r="C11" s="9">
        <f>'Fane 11.1. Varige tillæg'!E20</f>
        <v>0</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2579149.7816986395</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-240372.80804504879</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34258947.539230809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994982.23499682557</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-1870161.2499999963</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33383768.524227638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sG56UHCwhSIMdggYFYwBILG6MExgO0R4GyXNje5iE4P8ZiZwXfyaRmBjkgdrreqlCKIZIoJij8Se18aG4RYMqA==" saltValue="spFK3EkFX9c0iy2azKBrV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70" zoomScaleNormal="100" zoomScalePageLayoutView="7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dx50t0fDaCoXlWWtxULwGXHS7oEWUBITGAMJGDGClFsN9y9ji6yQQ62ypkQyebzSyIFxfrKks1QV/Q5dIHMy0A==" saltValue="Fys27th4NQ0RlLS72cKCS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34258947.539230809</v>
      </c>
      <c r="D9" s="8" t="s">
        <v>3</v>
      </c>
      <c r="E9" s="1"/>
    </row>
    <row r="10" spans="1:5" ht="15" customHeight="1" x14ac:dyDescent="0.25">
      <c r="A10" s="1"/>
      <c r="B10" s="26" t="s">
        <v>19</v>
      </c>
      <c r="C10" s="7">
        <f>SUM(C9:C9)*'Fane 15. Nøgletal'!C16</f>
        <v>2768122.9611698491</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-254599.03231638696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36772471.468084268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1075376.7995845692</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-1870161.2499999963</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35977687.017668843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TIKVM/1e2LR47pXuS+Jv0DZl6BDsfuT5RTq2JW4rBv33V60RhQL6Fik+PQNGHD8xBPAeah2ivPJEbRl1JhJQ==" saltValue="nALxHP1JacvZyBzuylb5n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36772471.468084268</v>
      </c>
      <c r="D9" s="8" t="s">
        <v>3</v>
      </c>
      <c r="E9" s="1"/>
    </row>
    <row r="10" spans="1:5" ht="15" customHeight="1" x14ac:dyDescent="0.25">
      <c r="A10" s="1"/>
      <c r="B10" s="26" t="s">
        <v>19</v>
      </c>
      <c r="C10" s="7">
        <f>SUM(C9:C9)*'Fane 15. Nøgletal'!C16</f>
        <v>2971215.6946212086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-269667.22144500003</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39474019.941260472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1162267.2449910021</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40636287.186251476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68f4Gns0bj/AaoFym83irr3urPlRTuxK4eUd8SrD5pkmuqrxr5lpl0j0CAE338foIvzWBm0olVvGi8NUO7YuQ==" saltValue="shSGk6zjYNNRZcHyif/Cx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39474019.941260472</v>
      </c>
      <c r="D9" s="8" t="s">
        <v>3</v>
      </c>
      <c r="E9" s="1"/>
      <c r="F9" s="1"/>
    </row>
    <row r="10" spans="1:6" ht="15" customHeight="1" x14ac:dyDescent="0.25">
      <c r="A10" s="1"/>
      <c r="B10" s="26" t="s">
        <v>19</v>
      </c>
      <c r="C10" s="7">
        <f>SUM(C9:C9)*'Fane 15. Nøgletal'!C16</f>
        <v>3189500.8112538462</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-285627.20627900091</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42377893.546235316</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1256178.4383862752</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43634071.984621592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2sGS1NKMp044UMZDP1VYbEwYuWhViw3ToCQzkRW8E1hGAWx41RJHBScpSysOUTXM5dPp9vWwJq4efei891nEbg==" saltValue="HherzQsHPv3JxQ23cTWGM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32357447.160735797</v>
      </c>
      <c r="D9" s="8" t="s">
        <v>3</v>
      </c>
      <c r="E9" s="1"/>
    </row>
    <row r="10" spans="1:5" x14ac:dyDescent="0.25">
      <c r="A10" s="1"/>
      <c r="B10" s="88" t="s">
        <v>36</v>
      </c>
      <c r="C10" s="7">
        <v>0</v>
      </c>
      <c r="D10" s="8" t="s">
        <v>3</v>
      </c>
      <c r="E10" s="1"/>
    </row>
    <row r="11" spans="1:5" x14ac:dyDescent="0.25">
      <c r="A11" s="1"/>
      <c r="B11" s="88" t="s">
        <v>37</v>
      </c>
      <c r="C11" s="9">
        <v>0</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106779.57563042812</v>
      </c>
      <c r="D16" s="8" t="s">
        <v>3</v>
      </c>
      <c r="E16" s="1"/>
    </row>
    <row r="17" spans="1:5" x14ac:dyDescent="0.25">
      <c r="A17" s="1"/>
      <c r="B17" s="88" t="s">
        <v>10</v>
      </c>
      <c r="C17" s="41">
        <v>0</v>
      </c>
      <c r="D17" s="8" t="s">
        <v>3</v>
      </c>
      <c r="E17" s="1"/>
    </row>
    <row r="18" spans="1:5" x14ac:dyDescent="0.25">
      <c r="A18" s="1"/>
      <c r="B18" s="88" t="s">
        <v>23</v>
      </c>
      <c r="C18" s="41">
        <v>-226941.50218002615</v>
      </c>
      <c r="D18" s="8" t="s">
        <v>3</v>
      </c>
      <c r="E18" s="1"/>
    </row>
    <row r="19" spans="1:5" x14ac:dyDescent="0.25">
      <c r="A19" s="1"/>
      <c r="B19" s="88" t="s">
        <v>24</v>
      </c>
      <c r="C19" s="41">
        <v>-317114.66860898002</v>
      </c>
      <c r="D19" s="8" t="s">
        <v>3</v>
      </c>
      <c r="E19" s="47"/>
    </row>
    <row r="20" spans="1:5" x14ac:dyDescent="0.25">
      <c r="A20" s="1"/>
      <c r="B20" s="82" t="s">
        <v>21</v>
      </c>
      <c r="C20" s="10">
        <v>31920170.56557722</v>
      </c>
      <c r="D20" s="11" t="s">
        <v>3</v>
      </c>
      <c r="E20" s="1"/>
    </row>
    <row r="21" spans="1:5" x14ac:dyDescent="0.25">
      <c r="A21" s="1"/>
      <c r="B21" s="33" t="s">
        <v>12</v>
      </c>
      <c r="C21" s="28"/>
      <c r="D21" s="19"/>
      <c r="E21" s="1"/>
    </row>
    <row r="22" spans="1:5" x14ac:dyDescent="0.25">
      <c r="A22" s="1"/>
      <c r="B22" s="31" t="s">
        <v>12</v>
      </c>
      <c r="C22" s="10">
        <v>991385.61018192011</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-782822.74243137985</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32128733.433327761</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qNV80qE2RnKymvhLxyDiOLFdThReId8hrUoLKswCUqLoipMxcIoxyfC/nznlyiFVWpHZwwXz7iN7T8I57C18pQ==" saltValue="F6n1+bV1QLKtYJUF2Fk2X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55" zoomScaleNormal="100" zoomScalePageLayoutView="55"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8" t="s">
        <v>46</v>
      </c>
      <c r="C4" s="119"/>
      <c r="D4" s="119"/>
      <c r="E4" s="119"/>
      <c r="F4" s="119"/>
      <c r="G4" s="119"/>
      <c r="H4" s="120"/>
      <c r="I4" s="1"/>
    </row>
    <row r="5" spans="1:9" x14ac:dyDescent="0.25">
      <c r="A5" s="1"/>
      <c r="B5" s="121" t="s">
        <v>38</v>
      </c>
      <c r="C5" s="122"/>
      <c r="D5" s="122"/>
      <c r="E5" s="122"/>
      <c r="F5" s="123"/>
      <c r="G5" s="63">
        <v>11675632.068813682</v>
      </c>
      <c r="H5" s="14" t="s">
        <v>3</v>
      </c>
      <c r="I5" s="1"/>
    </row>
    <row r="6" spans="1:9" x14ac:dyDescent="0.25">
      <c r="A6" s="1"/>
      <c r="B6" s="115" t="s">
        <v>102</v>
      </c>
      <c r="C6" s="116"/>
      <c r="D6" s="116"/>
      <c r="E6" s="116"/>
      <c r="F6" s="117"/>
      <c r="G6" s="66">
        <v>0</v>
      </c>
      <c r="H6" s="14" t="s">
        <v>3</v>
      </c>
      <c r="I6" s="1"/>
    </row>
    <row r="7" spans="1:9" x14ac:dyDescent="0.25">
      <c r="A7" s="1"/>
      <c r="B7" s="121" t="s">
        <v>39</v>
      </c>
      <c r="C7" s="122"/>
      <c r="D7" s="122"/>
      <c r="E7" s="122"/>
      <c r="F7" s="123"/>
      <c r="G7" s="23">
        <f>SUM(G5:G6)*'Fane 15. Nøgletal'!C33</f>
        <v>233512.64137627365</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11642356.517417563</v>
      </c>
      <c r="H11" s="14" t="s">
        <v>3</v>
      </c>
      <c r="I11" s="1"/>
    </row>
    <row r="12" spans="1:9" ht="15" customHeight="1" x14ac:dyDescent="0.25">
      <c r="A12" s="1"/>
      <c r="B12" s="121" t="s">
        <v>103</v>
      </c>
      <c r="C12" s="122"/>
      <c r="D12" s="122"/>
      <c r="E12" s="122"/>
      <c r="F12" s="123"/>
      <c r="G12" s="66">
        <v>118699.49108874894</v>
      </c>
      <c r="H12" s="14" t="s">
        <v>3</v>
      </c>
      <c r="I12" s="1"/>
    </row>
    <row r="13" spans="1:9" x14ac:dyDescent="0.25">
      <c r="A13" s="1"/>
      <c r="B13" s="115" t="s">
        <v>100</v>
      </c>
      <c r="C13" s="116"/>
      <c r="D13" s="116"/>
      <c r="E13" s="116"/>
      <c r="F13" s="117"/>
      <c r="G13" s="66">
        <v>0</v>
      </c>
      <c r="H13" s="14" t="s">
        <v>3</v>
      </c>
      <c r="I13" s="1"/>
    </row>
    <row r="14" spans="1:9" x14ac:dyDescent="0.25">
      <c r="A14" s="1"/>
      <c r="B14" s="124" t="s">
        <v>244</v>
      </c>
      <c r="C14" s="125"/>
      <c r="D14" s="125"/>
      <c r="E14" s="125"/>
      <c r="F14" s="126"/>
      <c r="G14" s="66">
        <v>0</v>
      </c>
      <c r="H14" s="14" t="s">
        <v>3</v>
      </c>
      <c r="I14" s="1"/>
    </row>
    <row r="15" spans="1:9" x14ac:dyDescent="0.25">
      <c r="A15" s="1"/>
      <c r="B15" s="121" t="s">
        <v>41</v>
      </c>
      <c r="C15" s="122"/>
      <c r="D15" s="122"/>
      <c r="E15" s="122"/>
      <c r="F15" s="123"/>
      <c r="G15" s="23">
        <f>SUM(G11:G14)*'Fane 15. Nøgletal'!C33</f>
        <v>235221.12017012626</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11727536.998882072</v>
      </c>
      <c r="H19" s="14" t="s">
        <v>3</v>
      </c>
      <c r="I19" s="1"/>
    </row>
    <row r="20" spans="1:9" x14ac:dyDescent="0.25">
      <c r="A20" s="1"/>
      <c r="B20" s="124" t="s">
        <v>245</v>
      </c>
      <c r="C20" s="125"/>
      <c r="D20" s="125"/>
      <c r="E20" s="125"/>
      <c r="F20" s="126"/>
      <c r="G20" s="66">
        <v>0</v>
      </c>
      <c r="H20" s="14" t="s">
        <v>3</v>
      </c>
      <c r="I20" s="1"/>
    </row>
    <row r="21" spans="1:9" x14ac:dyDescent="0.25">
      <c r="A21" s="1"/>
      <c r="B21" s="121" t="s">
        <v>43</v>
      </c>
      <c r="C21" s="122"/>
      <c r="D21" s="122"/>
      <c r="E21" s="122"/>
      <c r="F21" s="123"/>
      <c r="G21" s="23">
        <f>SUM(G19:G20)*'Fane 15. Nøgletal'!C33</f>
        <v>234550.73997764144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11719398.08820485</v>
      </c>
      <c r="H25" s="14" t="s">
        <v>3</v>
      </c>
      <c r="I25" s="1"/>
    </row>
    <row r="26" spans="1:9" x14ac:dyDescent="0.25">
      <c r="A26" s="1"/>
      <c r="B26" s="124" t="s">
        <v>246</v>
      </c>
      <c r="C26" s="125"/>
      <c r="D26" s="125"/>
      <c r="E26" s="125"/>
      <c r="F26" s="126"/>
      <c r="G26" s="66">
        <v>11796.395881050003</v>
      </c>
      <c r="H26" s="14" t="s">
        <v>3</v>
      </c>
      <c r="I26" s="1"/>
    </row>
    <row r="27" spans="1:9" x14ac:dyDescent="0.25">
      <c r="A27" s="1"/>
      <c r="B27" s="121" t="s">
        <v>45</v>
      </c>
      <c r="C27" s="122"/>
      <c r="D27" s="122"/>
      <c r="E27" s="122"/>
      <c r="F27" s="123"/>
      <c r="G27" s="23">
        <f>(G25+G26)*'Fane 15. Nøgletal'!C33</f>
        <v>234623.88968171799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11723053.035113944</v>
      </c>
      <c r="H31" s="14" t="s">
        <v>3</v>
      </c>
      <c r="I31" s="1"/>
    </row>
    <row r="32" spans="1:9" x14ac:dyDescent="0.25">
      <c r="A32" s="1"/>
      <c r="B32" s="121" t="s">
        <v>243</v>
      </c>
      <c r="C32" s="122"/>
      <c r="D32" s="122"/>
      <c r="E32" s="122"/>
      <c r="F32" s="123"/>
      <c r="G32" s="63">
        <v>14299.62815988</v>
      </c>
      <c r="H32" s="14" t="s">
        <v>3</v>
      </c>
      <c r="I32" s="1"/>
    </row>
    <row r="33" spans="1:9" x14ac:dyDescent="0.25">
      <c r="A33" s="1"/>
      <c r="B33" s="121" t="s">
        <v>54</v>
      </c>
      <c r="C33" s="122"/>
      <c r="D33" s="122"/>
      <c r="E33" s="122"/>
      <c r="F33" s="123"/>
      <c r="G33" s="23">
        <f>(G31+G32)*'Fane 15. Nøgletal'!C33</f>
        <v>234747.05326547648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11540564.208521375</v>
      </c>
      <c r="H37" s="14" t="s">
        <v>3</v>
      </c>
      <c r="I37" s="1"/>
    </row>
    <row r="38" spans="1:9" x14ac:dyDescent="0.25">
      <c r="A38" s="1"/>
      <c r="B38" s="121" t="s">
        <v>242</v>
      </c>
      <c r="C38" s="122"/>
      <c r="D38" s="122"/>
      <c r="E38" s="122"/>
      <c r="F38" s="123"/>
      <c r="G38" s="63">
        <v>0</v>
      </c>
      <c r="H38" s="14" t="s">
        <v>3</v>
      </c>
      <c r="I38" s="1"/>
    </row>
    <row r="39" spans="1:9" x14ac:dyDescent="0.25">
      <c r="A39" s="1"/>
      <c r="B39" s="121" t="s">
        <v>128</v>
      </c>
      <c r="C39" s="122"/>
      <c r="D39" s="122"/>
      <c r="E39" s="122"/>
      <c r="F39" s="123"/>
      <c r="G39" s="23">
        <f>(G37+G38)*'Fane 15. Nøgletal'!C33</f>
        <v>230811.28417042751</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11347075.109001307</v>
      </c>
      <c r="H43" s="14" t="s">
        <v>3</v>
      </c>
      <c r="I43" s="1"/>
    </row>
    <row r="44" spans="1:9" x14ac:dyDescent="0.25">
      <c r="A44" s="1"/>
      <c r="B44" s="127" t="s">
        <v>157</v>
      </c>
      <c r="C44" s="128"/>
      <c r="D44" s="128"/>
      <c r="E44" s="128"/>
      <c r="F44" s="129"/>
      <c r="G44" s="89">
        <v>0</v>
      </c>
      <c r="H44" s="14" t="s">
        <v>3</v>
      </c>
      <c r="I44" s="1"/>
    </row>
    <row r="45" spans="1:9" x14ac:dyDescent="0.25">
      <c r="A45" s="1"/>
      <c r="B45" s="121" t="s">
        <v>129</v>
      </c>
      <c r="C45" s="122"/>
      <c r="D45" s="122"/>
      <c r="E45" s="122"/>
      <c r="F45" s="123"/>
      <c r="G45" s="23">
        <f>SUM(G43:G44)*'Fane 15. Nøgletal'!C33</f>
        <v>226941.50218002615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12018640.402252439</v>
      </c>
      <c r="H52" s="14" t="s">
        <v>3</v>
      </c>
      <c r="I52" s="1"/>
    </row>
    <row r="53" spans="1:9" x14ac:dyDescent="0.25">
      <c r="A53" s="1"/>
      <c r="B53" s="78" t="s">
        <v>194</v>
      </c>
      <c r="C53" s="79"/>
      <c r="D53" s="79"/>
      <c r="E53" s="79"/>
      <c r="F53" s="80"/>
      <c r="G53" s="89">
        <f>('Fane 2.1. Økonomisk ramme 2024'!C10+'Fane 2.1. Økonomisk ramme 2024'!C12+'Fane 2.1. Økonomisk ramme 2024'!C14)*(1+'Fane 15. Nøgletal'!C16)</f>
        <v>0</v>
      </c>
      <c r="H53" s="14" t="s">
        <v>3</v>
      </c>
      <c r="I53" s="1"/>
    </row>
    <row r="54" spans="1:9" x14ac:dyDescent="0.25">
      <c r="A54" s="1"/>
      <c r="B54" s="121" t="s">
        <v>210</v>
      </c>
      <c r="C54" s="122"/>
      <c r="D54" s="122"/>
      <c r="E54" s="122"/>
      <c r="F54" s="123"/>
      <c r="G54" s="23">
        <f>(G52)*'Fane 15. Nøgletal'!C33+(G53)*'Fane 15. Nøgletal'!C33</f>
        <v>240372.80804504879</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78" t="s">
        <v>212</v>
      </c>
      <c r="C58" s="79"/>
      <c r="D58" s="79"/>
      <c r="E58" s="79"/>
      <c r="F58" s="80"/>
      <c r="G58" s="23">
        <f>(G52+G53-G54)*(1+'Fane 15. Nøgletal'!C16)</f>
        <v>12729951.615819348</v>
      </c>
      <c r="H58" s="14" t="s">
        <v>3</v>
      </c>
      <c r="I58" s="1"/>
    </row>
    <row r="59" spans="1:9" x14ac:dyDescent="0.25">
      <c r="A59" s="1"/>
      <c r="B59" s="78" t="s">
        <v>211</v>
      </c>
      <c r="C59" s="79"/>
      <c r="D59" s="79"/>
      <c r="E59" s="79"/>
      <c r="F59" s="80"/>
      <c r="G59" s="23">
        <f>(G58)*'Fane 15. Nøgletal'!C33</f>
        <v>254599.03231638696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78" t="s">
        <v>213</v>
      </c>
      <c r="C63" s="79"/>
      <c r="D63" s="79"/>
      <c r="E63" s="79"/>
      <c r="F63" s="80"/>
      <c r="G63" s="23">
        <f>(G58-G59)*(1+'Fane 15. Nøgletal'!C16)</f>
        <v>13483361.072250001</v>
      </c>
      <c r="H63" s="14" t="s">
        <v>3</v>
      </c>
      <c r="I63" s="1"/>
    </row>
    <row r="64" spans="1:9" x14ac:dyDescent="0.25">
      <c r="A64" s="1"/>
      <c r="B64" s="78" t="s">
        <v>214</v>
      </c>
      <c r="C64" s="79"/>
      <c r="D64" s="79"/>
      <c r="E64" s="79"/>
      <c r="F64" s="80"/>
      <c r="G64" s="23">
        <f>(G63)*'Fane 15. Nøgletal'!C33</f>
        <v>269667.22144500003</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78" t="s">
        <v>213</v>
      </c>
      <c r="C68" s="79"/>
      <c r="D68" s="79"/>
      <c r="E68" s="79"/>
      <c r="F68" s="80"/>
      <c r="G68" s="23">
        <f>(G63-G64)*(1+'Fane 15. Nøgletal'!C16)</f>
        <v>14281360.313950045</v>
      </c>
      <c r="H68" s="14" t="s">
        <v>3</v>
      </c>
      <c r="I68" s="1"/>
    </row>
    <row r="69" spans="1:9" x14ac:dyDescent="0.25">
      <c r="A69" s="1"/>
      <c r="B69" s="78" t="s">
        <v>214</v>
      </c>
      <c r="C69" s="79"/>
      <c r="D69" s="79"/>
      <c r="E69" s="79"/>
      <c r="F69" s="80"/>
      <c r="G69" s="23">
        <f>(G68)*'Fane 15. Nøgletal'!C33</f>
        <v>285627.20627900091</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4hHE6cmNFJm1wmgpCGNFXPzK+3+zSbYGlecYsy6052cVpfO+xyp70icGxDS05hKBg/FHk2cpBg91Z8eN+5HWFw==" saltValue="3Af3rJRiGIFwbmxTX81jl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55" zoomScaleNormal="100" zoomScalePageLayoutView="55"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8" t="s">
        <v>50</v>
      </c>
      <c r="C4" s="119"/>
      <c r="D4" s="119"/>
      <c r="E4" s="119"/>
      <c r="F4" s="119"/>
      <c r="G4" s="119"/>
      <c r="H4" s="120"/>
      <c r="I4" s="1"/>
    </row>
    <row r="5" spans="1:9" x14ac:dyDescent="0.25">
      <c r="A5" s="1"/>
      <c r="B5" s="121" t="s">
        <v>55</v>
      </c>
      <c r="C5" s="122"/>
      <c r="D5" s="122"/>
      <c r="E5" s="122"/>
      <c r="F5" s="123"/>
      <c r="G5" s="63">
        <v>20979323.253606636</v>
      </c>
      <c r="H5" s="14" t="s">
        <v>3</v>
      </c>
      <c r="I5" s="1"/>
    </row>
    <row r="6" spans="1:9" x14ac:dyDescent="0.25">
      <c r="A6" s="1"/>
      <c r="B6" s="121" t="s">
        <v>51</v>
      </c>
      <c r="C6" s="122"/>
      <c r="D6" s="122"/>
      <c r="E6" s="122"/>
      <c r="F6" s="123"/>
      <c r="G6" s="23">
        <f>G5*'Fane 15. Nøgletal'!C21</f>
        <v>190911.84160782039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21152208.611708798</v>
      </c>
      <c r="H10" s="14" t="s">
        <v>3</v>
      </c>
      <c r="I10" s="1"/>
    </row>
    <row r="11" spans="1:9" x14ac:dyDescent="0.25">
      <c r="A11" s="1"/>
      <c r="B11" s="121" t="s">
        <v>104</v>
      </c>
      <c r="C11" s="122"/>
      <c r="D11" s="122"/>
      <c r="E11" s="122"/>
      <c r="F11" s="123"/>
      <c r="G11" s="63">
        <v>914423.25176190329</v>
      </c>
      <c r="H11" s="14" t="s">
        <v>3</v>
      </c>
      <c r="I11" s="1"/>
    </row>
    <row r="12" spans="1:9" x14ac:dyDescent="0.25">
      <c r="A12" s="1"/>
      <c r="B12" s="124" t="s">
        <v>247</v>
      </c>
      <c r="C12" s="125"/>
      <c r="D12" s="125"/>
      <c r="E12" s="125"/>
      <c r="F12" s="126"/>
      <c r="G12" s="66">
        <v>0</v>
      </c>
      <c r="H12" s="14" t="s">
        <v>3</v>
      </c>
      <c r="I12" s="1"/>
    </row>
    <row r="13" spans="1:9" x14ac:dyDescent="0.25">
      <c r="A13" s="1"/>
      <c r="B13" s="121" t="s">
        <v>58</v>
      </c>
      <c r="C13" s="122"/>
      <c r="D13" s="122"/>
      <c r="E13" s="122"/>
      <c r="F13" s="123"/>
      <c r="G13" s="23">
        <f>SUM(G10:G12)*'Fane 15. Nøgletal'!C22</f>
        <v>390579.38398343138</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22055383.3978783</v>
      </c>
      <c r="H17" s="14" t="s">
        <v>3</v>
      </c>
      <c r="I17" s="1"/>
    </row>
    <row r="18" spans="1:9" x14ac:dyDescent="0.25">
      <c r="A18" s="1"/>
      <c r="B18" s="124" t="s">
        <v>248</v>
      </c>
      <c r="C18" s="125"/>
      <c r="D18" s="125"/>
      <c r="E18" s="125"/>
      <c r="F18" s="126"/>
      <c r="G18" s="63">
        <v>37671.738772299992</v>
      </c>
      <c r="H18" s="14" t="s">
        <v>3</v>
      </c>
      <c r="I18" s="1"/>
    </row>
    <row r="19" spans="1:9" x14ac:dyDescent="0.25">
      <c r="A19" s="1"/>
      <c r="B19" s="121" t="s">
        <v>61</v>
      </c>
      <c r="C19" s="122"/>
      <c r="D19" s="122"/>
      <c r="E19" s="122"/>
      <c r="F19" s="123"/>
      <c r="G19" s="23">
        <f>G17*'Fane 15. Nøgletal'!C22+G18*'Fane 15. Nøgletal'!C23</f>
        <v>390708.03026976495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22129883.344376538</v>
      </c>
      <c r="H23" s="14" t="s">
        <v>3</v>
      </c>
      <c r="I23" s="1"/>
    </row>
    <row r="24" spans="1:9" x14ac:dyDescent="0.25">
      <c r="A24" s="1"/>
      <c r="B24" s="124" t="s">
        <v>249</v>
      </c>
      <c r="C24" s="125"/>
      <c r="D24" s="125"/>
      <c r="E24" s="125"/>
      <c r="F24" s="126"/>
      <c r="G24" s="63">
        <v>205030.74068760496</v>
      </c>
      <c r="H24" s="14" t="s">
        <v>3</v>
      </c>
      <c r="I24" s="1"/>
    </row>
    <row r="25" spans="1:9" x14ac:dyDescent="0.25">
      <c r="A25" s="1"/>
      <c r="B25" s="121" t="s">
        <v>64</v>
      </c>
      <c r="C25" s="122"/>
      <c r="D25" s="122"/>
      <c r="E25" s="122"/>
      <c r="F25" s="123"/>
      <c r="G25" s="23">
        <f>(G23+G24)*'Fane 15. Nøgletal'!C24</f>
        <v>634311.56001582171</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22128104.394791774</v>
      </c>
      <c r="H29" s="14" t="s">
        <v>3</v>
      </c>
      <c r="I29" s="1"/>
    </row>
    <row r="30" spans="1:9" x14ac:dyDescent="0.25">
      <c r="A30" s="1"/>
      <c r="B30" s="121" t="s">
        <v>250</v>
      </c>
      <c r="C30" s="122"/>
      <c r="D30" s="122"/>
      <c r="E30" s="122"/>
      <c r="F30" s="123"/>
      <c r="G30" s="63">
        <v>109044.78213888001</v>
      </c>
      <c r="H30" s="14" t="s">
        <v>3</v>
      </c>
      <c r="I30" s="1"/>
    </row>
    <row r="31" spans="1:9" x14ac:dyDescent="0.25">
      <c r="A31" s="1"/>
      <c r="B31" s="121" t="s">
        <v>67</v>
      </c>
      <c r="C31" s="122"/>
      <c r="D31" s="122"/>
      <c r="E31" s="122"/>
      <c r="F31" s="123"/>
      <c r="G31" s="23">
        <f>G29*'Fane 15. Nøgletal'!C24+G30*'Fane 15. Nøgletal'!C25</f>
        <v>631436.89632090554</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21677011.131135762</v>
      </c>
      <c r="H35" s="14" t="s">
        <v>3</v>
      </c>
      <c r="I35" s="1"/>
    </row>
    <row r="36" spans="1:9" x14ac:dyDescent="0.25">
      <c r="A36" s="1"/>
      <c r="B36" s="121" t="s">
        <v>251</v>
      </c>
      <c r="C36" s="122"/>
      <c r="D36" s="122"/>
      <c r="E36" s="122"/>
      <c r="F36" s="123"/>
      <c r="G36" s="63">
        <v>0</v>
      </c>
      <c r="H36" s="14" t="s">
        <v>3</v>
      </c>
      <c r="I36" s="1"/>
    </row>
    <row r="37" spans="1:9" x14ac:dyDescent="0.25">
      <c r="A37" s="1"/>
      <c r="B37" s="121" t="s">
        <v>131</v>
      </c>
      <c r="C37" s="122"/>
      <c r="D37" s="122"/>
      <c r="E37" s="122"/>
      <c r="F37" s="123"/>
      <c r="G37" s="23">
        <f>(G35+G36)*'Fane 15. Nøgletal'!C26</f>
        <v>320819.76474080927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21426666.797904056</v>
      </c>
      <c r="H41" s="14" t="s">
        <v>3</v>
      </c>
      <c r="I41" s="1"/>
    </row>
    <row r="42" spans="1:9" x14ac:dyDescent="0.25">
      <c r="A42" s="1"/>
      <c r="B42" s="40" t="s">
        <v>156</v>
      </c>
      <c r="C42" s="79"/>
      <c r="D42" s="79"/>
      <c r="E42" s="79"/>
      <c r="F42" s="80"/>
      <c r="G42" s="89">
        <v>0</v>
      </c>
      <c r="H42" s="14" t="s">
        <v>3</v>
      </c>
      <c r="I42" s="1"/>
    </row>
    <row r="43" spans="1:9" x14ac:dyDescent="0.25">
      <c r="A43" s="1"/>
      <c r="B43" s="121" t="s">
        <v>132</v>
      </c>
      <c r="C43" s="122"/>
      <c r="D43" s="122"/>
      <c r="E43" s="122"/>
      <c r="F43" s="123"/>
      <c r="G43" s="23">
        <f>(G41)*'Fane 15. Nøgletal'!C26+G42*'Fane 15. Nøgletal'!C27</f>
        <v>317114.66860898002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22815203.941342119</v>
      </c>
      <c r="H53" s="14" t="s">
        <v>3</v>
      </c>
      <c r="I53" s="1"/>
    </row>
    <row r="54" spans="1:9" x14ac:dyDescent="0.25">
      <c r="A54" s="1"/>
      <c r="B54" s="78" t="s">
        <v>195</v>
      </c>
      <c r="C54" s="79"/>
      <c r="D54" s="79"/>
      <c r="E54" s="79"/>
      <c r="F54" s="80"/>
      <c r="G54" s="89">
        <f>('Fane 2.1. Økonomisk ramme 2024'!C11+'Fane 2.1. Økonomisk ramme 2024'!C13+'Fane 2.1. Økonomisk ramme 2024'!C15)*(1+'Fane 15. Nøgletal'!C16)</f>
        <v>0</v>
      </c>
      <c r="H54" s="14" t="s">
        <v>3</v>
      </c>
      <c r="I54" s="1"/>
    </row>
    <row r="55" spans="1:9" x14ac:dyDescent="0.25">
      <c r="A55" s="1"/>
      <c r="B55" s="121" t="s">
        <v>218</v>
      </c>
      <c r="C55" s="122"/>
      <c r="D55" s="122"/>
      <c r="E55" s="122"/>
      <c r="F55" s="123"/>
      <c r="G55" s="89">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24658672.419802561</v>
      </c>
      <c r="H59" s="14" t="s">
        <v>3</v>
      </c>
      <c r="I59" s="1"/>
    </row>
    <row r="60" spans="1:9" x14ac:dyDescent="0.25">
      <c r="A60" s="1"/>
      <c r="B60" s="121" t="s">
        <v>220</v>
      </c>
      <c r="C60" s="122"/>
      <c r="D60" s="122"/>
      <c r="E60" s="122"/>
      <c r="F60" s="123"/>
      <c r="G60" s="89">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26651093.151322607</v>
      </c>
      <c r="H64" s="14" t="s">
        <v>3</v>
      </c>
      <c r="I64" s="1"/>
    </row>
    <row r="65" spans="1:9" x14ac:dyDescent="0.25">
      <c r="A65" s="1"/>
      <c r="B65" s="121" t="s">
        <v>222</v>
      </c>
      <c r="C65" s="122"/>
      <c r="D65" s="122"/>
      <c r="E65" s="122"/>
      <c r="F65" s="123"/>
      <c r="G65" s="89">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28804501.477949474</v>
      </c>
      <c r="H69" s="14" t="s">
        <v>3</v>
      </c>
      <c r="I69" s="1"/>
    </row>
    <row r="70" spans="1:9" x14ac:dyDescent="0.25">
      <c r="A70" s="1"/>
      <c r="B70" s="121" t="s">
        <v>222</v>
      </c>
      <c r="C70" s="122"/>
      <c r="D70" s="122"/>
      <c r="E70" s="122"/>
      <c r="F70" s="123"/>
      <c r="G70" s="89">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XJLn5lS66M0nCgnx9p+0miQ8Csj/Gojb8AJYnya6zZx12ZyFdxjCn6fRSZeYjOpQnfVvX/4CVoyDu6RONxKz+Q==" saltValue="oA5Dqo+KskaGSk1RbqC1u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70" zoomScaleNormal="100" zoomScalePageLayoutView="7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271</v>
      </c>
      <c r="C9" s="122"/>
      <c r="D9" s="122"/>
      <c r="E9" s="122"/>
      <c r="F9" s="123"/>
      <c r="G9" s="22">
        <v>0</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Aqlkx75UuIJ5HM7/5W+SQC+e+wgBTZixtc0czCHIVivn9M6m8znLC/LXeWMN/pUgvLmyvSTp1gdY8LP/9ufpuw==" saltValue="ewhPIXBo74MCQrUF463Hr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2023-09-05T07:59:44Z</dcterms:modified>
</cp:coreProperties>
</file>