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BRANDE VANDVÆRK A.M.B.A (V030)\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41" r:id="rId7"/>
    <sheet name="Fane 4.2. Gen. krav - anlæg" sheetId="42"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62913" calcMode="manual"/>
</workbook>
</file>

<file path=xl/calcChain.xml><?xml version="1.0" encoding="utf-8"?>
<calcChain xmlns="http://schemas.openxmlformats.org/spreadsheetml/2006/main">
  <c r="G60" i="41" l="1"/>
  <c r="G54" i="41"/>
  <c r="G42" i="42" l="1"/>
  <c r="G48" i="41"/>
  <c r="G42" i="41" l="1"/>
  <c r="G29" i="41"/>
  <c r="G23" i="41" l="1"/>
  <c r="G38" i="42" l="1"/>
  <c r="G35" i="42"/>
  <c r="G31" i="42"/>
  <c r="G29" i="42"/>
  <c r="G25" i="42"/>
  <c r="G23" i="42"/>
  <c r="G16" i="42"/>
  <c r="G12" i="42"/>
  <c r="G10" i="42"/>
  <c r="G6" i="42"/>
  <c r="G25" i="41"/>
  <c r="G19" i="41"/>
  <c r="G16" i="41"/>
  <c r="G12" i="41"/>
  <c r="G10" i="41"/>
  <c r="G6" i="41"/>
  <c r="G31" i="41" l="1"/>
  <c r="G35" i="41" s="1"/>
  <c r="E32" i="27"/>
  <c r="C19" i="23"/>
  <c r="C19" i="22"/>
  <c r="C19" i="15"/>
  <c r="C31" i="2"/>
  <c r="G18" i="40" l="1"/>
  <c r="G38" i="41" l="1"/>
  <c r="G44" i="41" s="1"/>
  <c r="C17" i="2" s="1"/>
  <c r="G44" i="42"/>
  <c r="C18" i="2" l="1"/>
  <c r="G52" i="42"/>
  <c r="E25" i="32"/>
  <c r="E29" i="32" s="1"/>
  <c r="E31" i="32" s="1"/>
  <c r="C29" i="2" s="1"/>
  <c r="G54" i="42" l="1"/>
  <c r="C12" i="15" s="1"/>
  <c r="G50" i="41"/>
  <c r="C11" i="15" s="1"/>
  <c r="C17" i="15"/>
  <c r="F10" i="11"/>
  <c r="G58" i="42" l="1"/>
  <c r="G56" i="41"/>
  <c r="E12" i="39"/>
  <c r="C12" i="39"/>
  <c r="E11" i="29"/>
  <c r="E12" i="29" s="1"/>
  <c r="C14" i="2" s="1"/>
  <c r="C11" i="29"/>
  <c r="J11" i="11"/>
  <c r="H11" i="11"/>
  <c r="C14" i="19"/>
  <c r="G60" i="42" l="1"/>
  <c r="C12" i="22" s="1"/>
  <c r="G61" i="41"/>
  <c r="C11" i="23" s="1"/>
  <c r="C11" i="22"/>
  <c r="C15" i="19"/>
  <c r="G64" i="42" l="1"/>
  <c r="G65" i="42" s="1"/>
  <c r="C12" i="23" s="1"/>
  <c r="F11" i="11"/>
  <c r="E10" i="37" s="1"/>
  <c r="C10" i="37"/>
  <c r="C12" i="37" s="1"/>
  <c r="C13" i="37" s="1"/>
  <c r="C15" i="23" l="1"/>
  <c r="C15" i="22" l="1"/>
  <c r="C15" i="15"/>
  <c r="C12" i="29"/>
  <c r="E13" i="39" l="1"/>
  <c r="C13" i="39"/>
  <c r="C23" i="2" s="1"/>
  <c r="C25" i="2" s="1"/>
  <c r="E12" i="37" l="1"/>
  <c r="E13" i="37" s="1"/>
  <c r="E13" i="21" l="1"/>
  <c r="E14" i="21" s="1"/>
  <c r="C13" i="21"/>
  <c r="C14" i="21" s="1"/>
  <c r="C11" i="2" l="1"/>
  <c r="C12" i="2"/>
  <c r="C24" i="2" l="1"/>
  <c r="C26" i="2" l="1"/>
  <c r="C27" i="2" s="1"/>
  <c r="C9" i="2" l="1"/>
  <c r="C13" i="2"/>
  <c r="C21" i="2" l="1"/>
  <c r="C10" i="2" l="1"/>
  <c r="E20" i="27" l="1"/>
  <c r="C8" i="2" l="1"/>
  <c r="C15" i="2" s="1"/>
  <c r="C16" i="2" s="1"/>
  <c r="E33" i="27"/>
  <c r="C19" i="2" l="1"/>
  <c r="C32" i="2" s="1"/>
  <c r="C8" i="15" l="1"/>
  <c r="C9" i="15" l="1"/>
  <c r="C10" i="15" l="1"/>
  <c r="C13" i="15" s="1"/>
  <c r="C20" i="15" l="1"/>
  <c r="C8" i="22"/>
  <c r="C9" i="22" s="1"/>
  <c r="C10" i="22" s="1"/>
  <c r="C13" i="22" s="1"/>
  <c r="C20" i="22" l="1"/>
  <c r="C8" i="23"/>
  <c r="C9" i="23" s="1"/>
  <c r="C10" i="23" s="1"/>
  <c r="C13" i="23" s="1"/>
  <c r="C20" i="23" s="1"/>
</calcChain>
</file>

<file path=xl/sharedStrings.xml><?xml version="1.0" encoding="utf-8"?>
<sst xmlns="http://schemas.openxmlformats.org/spreadsheetml/2006/main" count="523" uniqueCount="261">
  <si>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</si>
  <si>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</si>
  <si>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</si>
  <si>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</si>
  <si>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</si>
  <si>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</si>
  <si>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</si>
  <si>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</si>
  <si>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</si>
  <si>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</si>
  <si>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</si>
  <si>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</si>
  <si>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</si>
  <si>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</si>
  <si>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</si>
  <si>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</si>
  <si>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</si>
  <si>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</si>
  <si>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</si>
  <si>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</si>
  <si>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</si>
  <si>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</si>
  <si>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</si>
  <si>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</si>
  <si>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</si>
  <si>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</si>
  <si>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</si>
  <si>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</si>
  <si>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</si>
  <si>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</si>
  <si>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</si>
  <si>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</si>
  <si>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</si>
  <si>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</si>
  <si>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</si>
  <si>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</si>
  <si>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</si>
  <si>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</si>
  <si>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</si>
  <si>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</si>
  <si>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</si>
  <si>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</si>
  <si>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</si>
  <si>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</si>
  <si>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</si>
  <si>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</si>
  <si>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</si>
  <si>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</si>
  <si>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</si>
  <si>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</si>
  <si>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</si>
  <si>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</si>
  <si>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</si>
  <si>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</si>
  <si>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</si>
  <si>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</si>
  <si>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</si>
  <si>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</si>
  <si>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</si>
  <si>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</si>
  <si>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</si>
  <si>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</si>
  <si>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</si>
  <si>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</si>
  <si>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</si>
  <si>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</si>
  <si>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</si>
  <si>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</si>
  <si>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</si>
  <si>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</si>
  <si>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</si>
  <si>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</si>
  <si>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</si>
  <si>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</si>
  <si>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</si>
  <si>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</si>
  <si>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</si>
  <si>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</si>
  <si>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</si>
  <si>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</si>
  <si>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</si>
  <si>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</si>
  <si>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</si>
  <si>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</si>
  <si>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</si>
  <si>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</si>
  <si>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</si>
  <si>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</si>
  <si>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</si>
  <si>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</si>
  <si>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</si>
  <si>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</si>
  <si>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</si>
  <si>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</si>
  <si>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</si>
  <si>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</si>
  <si>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</si>
  <si>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</si>
  <si>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</si>
  <si>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</si>
  <si>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</si>
  <si>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</si>
  <si>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</si>
  <si>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</si>
  <si>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</si>
  <si>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</si>
  <si>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</si>
  <si>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</si>
  <si>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</si>
  <si>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</si>
  <si>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</si>
  <si>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</si>
  <si>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</si>
  <si>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</si>
  <si>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</si>
  <si>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</si>
  <si>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</si>
  <si>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</si>
  <si>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</si>
  <si>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</si>
  <si>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</si>
  <si>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</si>
  <si>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</si>
  <si>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</si>
  <si>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</si>
  <si>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</si>
  <si>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</si>
  <si>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</si>
  <si>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</si>
  <si>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</si>
  <si>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</si>
  <si>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</si>
  <si>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</si>
  <si>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</si>
  <si>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</si>
  <si>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</si>
  <si>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</si>
  <si>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</si>
  <si>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</si>
  <si>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</si>
  <si>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</si>
  <si>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</si>
  <si>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</si>
  <si>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</si>
  <si>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</si>
  <si>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</si>
  <si>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</si>
  <si>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</si>
  <si>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</si>
  <si>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</si>
  <si>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</si>
  <si>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</si>
  <si>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</si>
  <si>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</si>
  <si>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</si>
  <si>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</si>
  <si>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</si>
  <si>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</si>
  <si>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</si>
  <si>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</si>
  <si>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</si>
  <si>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</si>
  <si>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</si>
  <si>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</si>
  <si>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</si>
  <si>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</si>
  <si>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</si>
  <si>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</si>
  <si>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</si>
  <si>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</si>
  <si>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</si>
  <si>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</si>
  <si>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</si>
  <si>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</si>
  <si>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</si>
  <si>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</si>
  <si>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</si>
  <si>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</si>
  <si>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</si>
  <si>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</si>
  <si>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</si>
  <si>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</si>
  <si>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</si>
  <si>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</si>
  <si>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</si>
  <si>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</si>
  <si>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</si>
  <si>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</si>
  <si>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</si>
  <si>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</si>
  <si>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</si>
  <si>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</si>
  <si>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</si>
  <si>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</si>
  <si>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</si>
  <si>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</si>
  <si>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</si>
  <si>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</si>
  <si>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</si>
  <si>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</si>
  <si>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</si>
  <si>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</si>
  <si>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</si>
  <si>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 xml:space="preserve"> </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</si>
  <si>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</si>
  <si>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</si>
  <si>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</si>
  <si>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</si>
  <si>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</si>
  <si>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</si>
  <si>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</si>
  <si>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</si>
  <si>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</si>
  <si>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</si>
  <si>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</si>
  <si>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</si>
  <si>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</si>
  <si>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</si>
  <si>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</si>
  <si>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</si>
  <si>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</si>
  <si>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</si>
  <si>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</si>
  <si>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</si>
  <si>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</si>
  <si>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Ejendomsskat</t>
  </si>
  <si>
    <t>Øvrige afgifter</t>
  </si>
  <si>
    <t>Korrigeret over/underdækning i 2019</t>
  </si>
  <si>
    <t>Indregnet fradrag i den økonomiske ramme for 2023</t>
  </si>
  <si>
    <t>Indregnet fradrag i den økonomiske ramme for 2024</t>
  </si>
  <si>
    <t>Den økonomiske ramme for 2021</t>
  </si>
  <si>
    <t>Til indregning i de økonomiske rammer for 2023-2024</t>
  </si>
  <si>
    <t>Nye tillæg</t>
  </si>
  <si>
    <t>Ingen engangstillæg</t>
  </si>
  <si>
    <t>Ingen tilknyttet virksomhed under hovedvirksomheden</t>
  </si>
  <si>
    <t>Ingen bortfald eller nedsættelse</t>
  </si>
  <si>
    <t>- Heraf nye driftsomkostninger til de økonomiske rammer for 2021</t>
  </si>
  <si>
    <t>Bortfald af driftsomkostninger i de økonomiske rammer for 2023</t>
  </si>
  <si>
    <t>Vejledende generelt effektiviseringskrav til driftsomkostningerne i ØR23</t>
  </si>
  <si>
    <t>Bortfald af driftsomkostninger i de økonomiske rammer for 2024</t>
  </si>
  <si>
    <t>Vejledende generelt effektiviseringskrav til driftsomkostningerne i ØR24</t>
  </si>
  <si>
    <t>Bortfald af driftsomkostninger i de økonomiske rammer for 2025</t>
  </si>
  <si>
    <t>- Heraf nye anlægsomkostninger til de økonomiske rammer for 2021</t>
  </si>
  <si>
    <t>Bortfald af anlægsomkostninger i de økonomiske rammer for 2023</t>
  </si>
  <si>
    <t>Bortfald af anlægsomkostninger i de økonomiske rammer for 2024</t>
  </si>
  <si>
    <t>Bortfald af anlægsomkostninger i de økonomiske rammer for 2025</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</si>
  <si>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</si>
  <si>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</si>
  <si>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</si>
  <si>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</si>
  <si>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</si>
  <si>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</si>
  <si>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</si>
  <si>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</si>
  <si>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Generelt effektiviseringskrav - gammel</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</si>
  <si>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</si>
  <si>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</si>
  <si>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</si>
  <si>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</si>
  <si>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</si>
  <si>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Resultat af kontrol med overholdelse af den økonomiske ramme for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</si>
</sst>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4">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3" fontId="15" fillId="3"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0" fontId="15" fillId="3" borderId="2" xfId="0" applyFont="1" applyFill="1" applyBorder="1" applyAlignment="1" applyProtection="1"/>
    <xf numFmtId="3" fontId="7" fillId="3" borderId="6" xfId="0" applyNumberFormat="1" applyFont="1" applyFill="1" applyBorder="1" applyAlignment="1" applyProtection="1"/>
    <xf numFmtId="0" fontId="15" fillId="3" borderId="1" xfId="0" applyFont="1" applyFill="1" applyBorder="1" applyProtection="1"/>
    <xf numFmtId="0" fontId="15" fillId="3" borderId="6" xfId="0"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49" fontId="0" fillId="2" borderId="0" xfId="0" applyNumberFormat="1" applyFill="1" applyProtection="1"/>
    <xf numFmtId="49" fontId="8" fillId="8" borderId="6" xfId="0" applyNumberFormat="1" applyFont="1" applyFill="1" applyBorder="1" applyAlignment="1" applyProtection="1">
      <alignment horizontal="left"/>
    </xf>
    <xf numFmtId="49" fontId="8" fillId="8" borderId="3" xfId="0" applyNumberFormat="1" applyFont="1" applyFill="1" applyBorder="1" applyAlignment="1" applyProtection="1">
      <alignment horizontal="left"/>
    </xf>
    <xf numFmtId="49" fontId="0" fillId="0" borderId="0" xfId="0" applyNumberFormat="1" applyProtection="1"/>
    <xf numFmtId="3" fontId="8" fillId="0" borderId="1" xfId="0" applyNumberFormat="1" applyFont="1" applyFill="1" applyBorder="1" applyProtection="1"/>
    <xf numFmtId="10" fontId="8" fillId="8" borderId="1" xfId="4" applyNumberFormat="1" applyFont="1" applyFill="1" applyBorder="1" applyAlignment="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166" fontId="0" fillId="2" borderId="0" xfId="1" applyNumberFormat="1" applyFont="1" applyFill="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7" fillId="3" borderId="2" xfId="0" applyFont="1" applyFill="1" applyBorder="1" applyAlignment="1" applyProtection="1"/>
    <xf numFmtId="0" fontId="7" fillId="3" borderId="6" xfId="0" applyFont="1" applyFill="1" applyBorder="1" applyAlignment="1" applyProtection="1"/>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0" borderId="4" xfId="0" applyFont="1" applyBorder="1" applyProtection="1"/>
    <xf numFmtId="0" fontId="0" fillId="0" borderId="0" xfId="0" applyFill="1" applyAlignment="1" applyProtection="1">
      <alignment horizontal="right"/>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6" fontId="7" fillId="3" borderId="6" xfId="0" applyNumberFormat="1"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C5">
            <v>1.0168999999999999</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6" t="s">
        <v>4</v>
      </c>
      <c r="E6" s="106"/>
      <c r="F6" s="106"/>
      <c r="G6" s="106"/>
      <c r="H6" s="3"/>
      <c r="I6" s="1"/>
    </row>
    <row r="7" spans="1:9" ht="15" customHeight="1" x14ac:dyDescent="0.25">
      <c r="A7" s="1"/>
      <c r="B7" s="1"/>
      <c r="C7" s="3"/>
      <c r="D7" s="106"/>
      <c r="E7" s="106"/>
      <c r="F7" s="106"/>
      <c r="G7" s="106"/>
      <c r="H7" s="3"/>
      <c r="I7" s="1"/>
    </row>
    <row r="8" spans="1:9" ht="15.75" x14ac:dyDescent="0.25">
      <c r="A8" s="1"/>
      <c r="B8" s="1"/>
      <c r="C8" s="4"/>
      <c r="D8" s="108" t="s">
        <v>194</v>
      </c>
      <c r="E8" s="108"/>
      <c r="F8" s="108"/>
      <c r="G8" s="108"/>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7" t="s">
        <v>5</v>
      </c>
      <c r="E11" s="107"/>
      <c r="F11" s="107"/>
      <c r="G11" s="107"/>
      <c r="H11" s="5"/>
      <c r="I11" s="1"/>
    </row>
    <row r="12" spans="1:9" x14ac:dyDescent="0.25">
      <c r="A12" s="1"/>
      <c r="B12" s="1"/>
      <c r="C12" s="1"/>
      <c r="D12" s="1"/>
      <c r="E12" s="1"/>
      <c r="F12" s="1"/>
      <c r="G12" s="1"/>
      <c r="H12" s="1"/>
      <c r="I12" s="1"/>
    </row>
    <row r="13" spans="1:9" x14ac:dyDescent="0.25">
      <c r="A13" s="1"/>
      <c r="B13" s="1"/>
      <c r="C13" s="6" t="s">
        <v>6</v>
      </c>
      <c r="D13" s="103" t="s">
        <v>161</v>
      </c>
      <c r="E13" s="104"/>
      <c r="F13" s="104"/>
      <c r="G13" s="105"/>
      <c r="H13" s="1"/>
      <c r="I13" s="1"/>
    </row>
    <row r="14" spans="1:9" x14ac:dyDescent="0.25">
      <c r="A14" s="1"/>
      <c r="B14" s="1"/>
      <c r="C14" s="6" t="s">
        <v>14</v>
      </c>
      <c r="D14" s="103" t="s">
        <v>199</v>
      </c>
      <c r="E14" s="104"/>
      <c r="F14" s="104"/>
      <c r="G14" s="105"/>
      <c r="H14" s="1"/>
      <c r="I14" s="1"/>
    </row>
    <row r="15" spans="1:9" x14ac:dyDescent="0.25">
      <c r="A15" s="1"/>
      <c r="B15" s="1"/>
      <c r="C15" s="6" t="s">
        <v>32</v>
      </c>
      <c r="D15" s="103" t="s">
        <v>137</v>
      </c>
      <c r="E15" s="104"/>
      <c r="F15" s="104"/>
      <c r="G15" s="105"/>
      <c r="H15" s="1"/>
      <c r="I15" s="1"/>
    </row>
    <row r="16" spans="1:9" x14ac:dyDescent="0.25">
      <c r="A16" s="1"/>
      <c r="B16" s="1"/>
      <c r="C16" s="6" t="s">
        <v>33</v>
      </c>
      <c r="D16" s="103" t="s">
        <v>162</v>
      </c>
      <c r="E16" s="104"/>
      <c r="F16" s="104"/>
      <c r="G16" s="105"/>
      <c r="H16" s="1"/>
      <c r="I16" s="1"/>
    </row>
    <row r="17" spans="1:9" x14ac:dyDescent="0.25">
      <c r="A17" s="1"/>
      <c r="B17" s="1"/>
      <c r="C17" s="6" t="s">
        <v>110</v>
      </c>
      <c r="D17" s="103" t="s">
        <v>163</v>
      </c>
      <c r="E17" s="104"/>
      <c r="F17" s="104"/>
      <c r="G17" s="105"/>
      <c r="H17" s="1"/>
      <c r="I17" s="1"/>
    </row>
    <row r="18" spans="1:9" x14ac:dyDescent="0.25">
      <c r="A18" s="1"/>
      <c r="B18" s="1"/>
      <c r="C18" s="6" t="s">
        <v>94</v>
      </c>
      <c r="D18" s="109" t="s">
        <v>86</v>
      </c>
      <c r="E18" s="110"/>
      <c r="F18" s="110"/>
      <c r="G18" s="111"/>
      <c r="H18" s="1"/>
      <c r="I18" s="1"/>
    </row>
    <row r="19" spans="1:9" x14ac:dyDescent="0.25">
      <c r="A19" s="1"/>
      <c r="B19" s="1"/>
      <c r="C19" s="6" t="s">
        <v>95</v>
      </c>
      <c r="D19" s="109" t="s">
        <v>87</v>
      </c>
      <c r="E19" s="110"/>
      <c r="F19" s="110"/>
      <c r="G19" s="111"/>
      <c r="H19" s="1"/>
      <c r="I19" s="1"/>
    </row>
    <row r="20" spans="1:9" x14ac:dyDescent="0.25">
      <c r="A20" s="1"/>
      <c r="B20" s="1"/>
      <c r="C20" s="6" t="s">
        <v>7</v>
      </c>
      <c r="D20" s="109" t="s">
        <v>9</v>
      </c>
      <c r="E20" s="110"/>
      <c r="F20" s="110"/>
      <c r="G20" s="111"/>
      <c r="H20" s="1"/>
      <c r="I20" s="1"/>
    </row>
    <row r="21" spans="1:9" x14ac:dyDescent="0.25">
      <c r="A21" s="1"/>
      <c r="B21" s="1"/>
      <c r="C21" s="6" t="s">
        <v>96</v>
      </c>
      <c r="D21" s="100" t="s">
        <v>11</v>
      </c>
      <c r="E21" s="101"/>
      <c r="F21" s="101"/>
      <c r="G21" s="102"/>
      <c r="H21" s="1"/>
      <c r="I21" s="1"/>
    </row>
    <row r="22" spans="1:9" x14ac:dyDescent="0.25">
      <c r="A22" s="1"/>
      <c r="B22" s="1"/>
      <c r="C22" s="6" t="s">
        <v>78</v>
      </c>
      <c r="D22" s="94" t="s">
        <v>164</v>
      </c>
      <c r="E22" s="95"/>
      <c r="F22" s="95"/>
      <c r="G22" s="96"/>
      <c r="H22" s="1"/>
      <c r="I22" s="1"/>
    </row>
    <row r="23" spans="1:9" x14ac:dyDescent="0.25">
      <c r="A23" s="1"/>
      <c r="B23" s="1"/>
      <c r="C23" s="6" t="s">
        <v>8</v>
      </c>
      <c r="D23" s="94" t="s">
        <v>211</v>
      </c>
      <c r="E23" s="95"/>
      <c r="F23" s="95"/>
      <c r="G23" s="96"/>
      <c r="H23" s="1"/>
      <c r="I23" s="1"/>
    </row>
    <row r="24" spans="1:9" x14ac:dyDescent="0.25">
      <c r="A24" s="1"/>
      <c r="B24" s="1"/>
      <c r="C24" s="6" t="s">
        <v>207</v>
      </c>
      <c r="D24" s="94" t="s">
        <v>200</v>
      </c>
      <c r="E24" s="95"/>
      <c r="F24" s="95"/>
      <c r="G24" s="96"/>
      <c r="H24" s="1"/>
      <c r="I24" s="1"/>
    </row>
    <row r="25" spans="1:9" x14ac:dyDescent="0.25">
      <c r="A25" s="1"/>
      <c r="B25" s="1"/>
      <c r="C25" s="6" t="s">
        <v>208</v>
      </c>
      <c r="D25" s="94" t="s">
        <v>79</v>
      </c>
      <c r="E25" s="95"/>
      <c r="F25" s="95"/>
      <c r="G25" s="96"/>
      <c r="H25" s="1"/>
      <c r="I25" s="1"/>
    </row>
    <row r="26" spans="1:9" x14ac:dyDescent="0.25">
      <c r="A26" s="1"/>
      <c r="B26" s="1"/>
      <c r="C26" s="6" t="s">
        <v>209</v>
      </c>
      <c r="D26" s="94" t="s">
        <v>80</v>
      </c>
      <c r="E26" s="95"/>
      <c r="F26" s="95"/>
      <c r="G26" s="96"/>
      <c r="H26" s="1"/>
      <c r="I26" s="1"/>
    </row>
    <row r="27" spans="1:9" x14ac:dyDescent="0.25">
      <c r="A27" s="1"/>
      <c r="B27" s="1"/>
      <c r="C27" s="6" t="s">
        <v>97</v>
      </c>
      <c r="D27" s="94" t="s">
        <v>111</v>
      </c>
      <c r="E27" s="95"/>
      <c r="F27" s="95"/>
      <c r="G27" s="96"/>
      <c r="H27" s="1"/>
      <c r="I27" s="1"/>
    </row>
    <row r="28" spans="1:9" x14ac:dyDescent="0.25">
      <c r="A28" s="1"/>
      <c r="B28" s="1"/>
      <c r="C28" s="6" t="s">
        <v>91</v>
      </c>
      <c r="D28" s="94" t="s">
        <v>34</v>
      </c>
      <c r="E28" s="95"/>
      <c r="F28" s="95"/>
      <c r="G28" s="96"/>
      <c r="H28" s="1"/>
      <c r="I28" s="1"/>
    </row>
    <row r="29" spans="1:9" x14ac:dyDescent="0.25">
      <c r="A29" s="1"/>
      <c r="B29" s="1"/>
      <c r="C29" s="6" t="s">
        <v>210</v>
      </c>
      <c r="D29" s="97" t="s">
        <v>92</v>
      </c>
      <c r="E29" s="98"/>
      <c r="F29" s="98"/>
      <c r="G29" s="99"/>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55"/>
      <c r="B51" s="55"/>
      <c r="C51" s="55"/>
      <c r="D51" s="55"/>
      <c r="E51" s="55"/>
      <c r="F51" s="55"/>
      <c r="G51" s="55"/>
      <c r="H51" s="55"/>
      <c r="I51" s="55"/>
    </row>
  </sheetData>
  <sheetProtection algorithmName="SHA-512" hashValue="j8AoFsLrFQLqXkjnfNwwQQTHYiGNt+vZqqAr9TJtpXDni0fb8h3HKb45neryd328OvcLtoo2wYeOV1JHE/A2bA==" saltValue="LWXgM9EeAHeskn/rkwLq1g==" spinCount="100000" sheet="1" objects="1" scenarios="1"/>
  <mergeCells count="20">
    <mergeCell ref="D14:G14"/>
    <mergeCell ref="D6:G7"/>
    <mergeCell ref="D22:G22"/>
    <mergeCell ref="D11:G11"/>
    <mergeCell ref="D8:G8"/>
    <mergeCell ref="D15:G15"/>
    <mergeCell ref="D16:G16"/>
    <mergeCell ref="D13:G13"/>
    <mergeCell ref="D17:G17"/>
    <mergeCell ref="D18:G18"/>
    <mergeCell ref="D19:G19"/>
    <mergeCell ref="D20:G20"/>
    <mergeCell ref="D28:G28"/>
    <mergeCell ref="D29:G29"/>
    <mergeCell ref="D21:G21"/>
    <mergeCell ref="D24:G24"/>
    <mergeCell ref="D25:G25"/>
    <mergeCell ref="D27:G27"/>
    <mergeCell ref="D26:G26"/>
    <mergeCell ref="D23:G23"/>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19:G19" location="'Fane 4.2. Gen. krav - anlæg'!A1" display="Generelt effektiviseringskrav på anlæg"/>
    <hyperlink ref="D18:G18" location="'Fane 4.1. Gen. krav - drift'!A1" display="Generelt effektiviseringskrav på drift"/>
    <hyperlink ref="D20:G20" location="'Fane 5. Individuelt eff. krav'!A1" display="Individuelt effektiviseringskrav"/>
    <hyperlink ref="D23:G23" location="'Fane 8. Skattesagen'!A1" display="Skattesagen"/>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1"/>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112" t="s">
        <v>100</v>
      </c>
      <c r="C3" s="112"/>
      <c r="D3" s="112"/>
      <c r="E3" s="1"/>
      <c r="F3" s="1"/>
    </row>
    <row r="4" spans="1:6" ht="15" customHeight="1" x14ac:dyDescent="0.25">
      <c r="A4" s="1"/>
      <c r="B4" s="112"/>
      <c r="C4" s="112"/>
      <c r="D4" s="112"/>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5" t="s">
        <v>181</v>
      </c>
      <c r="C8" s="136"/>
      <c r="D8" s="137"/>
      <c r="E8" s="1"/>
      <c r="F8" s="1"/>
    </row>
    <row r="9" spans="1:6" ht="15" customHeight="1" x14ac:dyDescent="0.25">
      <c r="A9" s="1"/>
      <c r="B9" s="34" t="s">
        <v>30</v>
      </c>
      <c r="C9" s="11" t="s">
        <v>204</v>
      </c>
      <c r="D9" s="11"/>
      <c r="E9" s="1"/>
      <c r="F9" s="1"/>
    </row>
    <row r="10" spans="1:6" x14ac:dyDescent="0.25">
      <c r="A10" s="1"/>
      <c r="B10" s="83" t="s">
        <v>223</v>
      </c>
      <c r="C10" s="9">
        <v>5717576</v>
      </c>
      <c r="D10" s="14" t="s">
        <v>3</v>
      </c>
      <c r="E10" s="1"/>
      <c r="F10" s="1"/>
    </row>
    <row r="11" spans="1:6" x14ac:dyDescent="0.25">
      <c r="A11" s="1"/>
      <c r="B11" s="83" t="s">
        <v>224</v>
      </c>
      <c r="C11" s="9">
        <v>73862</v>
      </c>
      <c r="D11" s="14" t="s">
        <v>3</v>
      </c>
      <c r="E11" s="1"/>
      <c r="F11" s="1"/>
    </row>
    <row r="12" spans="1:6" x14ac:dyDescent="0.25">
      <c r="A12" s="1"/>
      <c r="B12" s="83" t="s">
        <v>225</v>
      </c>
      <c r="C12" s="9">
        <v>14843</v>
      </c>
      <c r="D12" s="14" t="s">
        <v>3</v>
      </c>
      <c r="E12" s="1"/>
      <c r="F12" s="1"/>
    </row>
    <row r="13" spans="1:6" x14ac:dyDescent="0.25">
      <c r="A13" s="1"/>
      <c r="B13" s="83" t="s">
        <v>226</v>
      </c>
      <c r="C13" s="9">
        <v>14444</v>
      </c>
      <c r="D13" s="14" t="s">
        <v>3</v>
      </c>
      <c r="E13" s="1"/>
      <c r="F13" s="1"/>
    </row>
    <row r="14" spans="1:6" x14ac:dyDescent="0.25">
      <c r="A14" s="1"/>
      <c r="B14" s="75" t="s">
        <v>182</v>
      </c>
      <c r="C14" s="12">
        <f>SUM(C10:C13)</f>
        <v>5820725</v>
      </c>
      <c r="D14" s="13" t="s">
        <v>3</v>
      </c>
      <c r="E14" s="1"/>
      <c r="F14" s="1"/>
    </row>
    <row r="15" spans="1:6" x14ac:dyDescent="0.25">
      <c r="A15" s="1"/>
      <c r="B15" s="75" t="s">
        <v>183</v>
      </c>
      <c r="C15" s="12">
        <f>C14*(1+'Fane 13. Nøgletal'!C15)^2</f>
        <v>6242537.5740360003</v>
      </c>
      <c r="D15" s="13" t="s">
        <v>3</v>
      </c>
      <c r="E15" s="1"/>
      <c r="F15" s="1"/>
    </row>
    <row r="16" spans="1:6" x14ac:dyDescent="0.25">
      <c r="A16" s="1"/>
      <c r="B16" s="16"/>
      <c r="C16" s="15"/>
      <c r="D16" s="15"/>
      <c r="E16" s="1"/>
      <c r="F16" s="1"/>
    </row>
    <row r="17" spans="1:6" x14ac:dyDescent="0.25">
      <c r="A17" s="1"/>
      <c r="B17" s="16"/>
      <c r="C17" s="15"/>
      <c r="D17" s="15"/>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55"/>
      <c r="B51" s="55"/>
      <c r="C51" s="55"/>
      <c r="D51" s="55"/>
      <c r="E51" s="55"/>
      <c r="F51" s="55"/>
    </row>
  </sheetData>
  <sheetProtection algorithmName="SHA-512" hashValue="63zqc25WqPA5N8/n6C3PPBX6hstXelcca4YoKIcKcMNr7iueqkp6if2184ptLbZ2uTpq77SsZdPVUBIZZo7XVg==" saltValue="QucIYzwrFVr8inhrpsKncQ=="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42"/>
  <sheetViews>
    <sheetView showGridLines="0" view="pageLayout" zoomScaleNormal="100" workbookViewId="0"/>
  </sheetViews>
  <sheetFormatPr defaultColWidth="9" defaultRowHeight="15" x14ac:dyDescent="0.25"/>
  <cols>
    <col min="1" max="1" width="3.5703125" style="2" customWidth="1"/>
    <col min="2" max="3" width="9" style="2"/>
    <col min="4" max="4" width="47.7109375" style="2" customWidth="1"/>
    <col min="5" max="5" width="10.7109375" style="2"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0" t="s">
        <v>184</v>
      </c>
      <c r="C3" s="120"/>
      <c r="D3" s="120"/>
      <c r="E3" s="120"/>
      <c r="F3" s="120"/>
      <c r="G3" s="1"/>
    </row>
    <row r="4" spans="1:7" ht="15" customHeight="1" x14ac:dyDescent="0.25">
      <c r="A4" s="1"/>
      <c r="B4" s="120"/>
      <c r="C4" s="120"/>
      <c r="D4" s="120"/>
      <c r="E4" s="120"/>
      <c r="F4" s="120"/>
      <c r="G4" s="1"/>
    </row>
    <row r="5" spans="1:7" ht="15" customHeight="1" x14ac:dyDescent="0.25">
      <c r="A5" s="1"/>
      <c r="B5" s="71"/>
      <c r="C5" s="71"/>
      <c r="D5" s="71"/>
      <c r="E5" s="71"/>
      <c r="F5" s="71"/>
      <c r="G5" s="1"/>
    </row>
    <row r="6" spans="1:7" ht="15" customHeight="1" x14ac:dyDescent="0.25">
      <c r="A6" s="1"/>
      <c r="B6" s="71"/>
      <c r="C6" s="71"/>
      <c r="D6" s="71"/>
      <c r="E6" s="71"/>
      <c r="F6" s="71"/>
      <c r="G6" s="1"/>
    </row>
    <row r="7" spans="1:7" x14ac:dyDescent="0.25">
      <c r="A7" s="1"/>
      <c r="B7" s="1"/>
      <c r="C7" s="1"/>
      <c r="D7" s="1"/>
      <c r="E7" s="1"/>
      <c r="F7" s="1"/>
      <c r="G7" s="1"/>
    </row>
    <row r="8" spans="1:7" x14ac:dyDescent="0.25">
      <c r="A8" s="1"/>
      <c r="B8" s="135" t="s">
        <v>155</v>
      </c>
      <c r="C8" s="136"/>
      <c r="D8" s="136"/>
      <c r="E8" s="136"/>
      <c r="F8" s="137"/>
      <c r="G8" s="1"/>
    </row>
    <row r="9" spans="1:7" x14ac:dyDescent="0.25">
      <c r="A9" s="1"/>
      <c r="B9" s="138" t="s">
        <v>156</v>
      </c>
      <c r="C9" s="139"/>
      <c r="D9" s="140"/>
      <c r="E9" s="9">
        <v>374236</v>
      </c>
      <c r="F9" s="14" t="s">
        <v>3</v>
      </c>
      <c r="G9" s="1"/>
    </row>
    <row r="10" spans="1:7" x14ac:dyDescent="0.25">
      <c r="A10" s="1"/>
      <c r="B10" s="153" t="s">
        <v>227</v>
      </c>
      <c r="C10" s="154"/>
      <c r="D10" s="155"/>
      <c r="E10" s="9">
        <v>374236</v>
      </c>
      <c r="F10" s="54" t="s">
        <v>3</v>
      </c>
      <c r="G10" s="1"/>
    </row>
    <row r="11" spans="1:7" x14ac:dyDescent="0.25">
      <c r="A11" s="1"/>
      <c r="B11" s="138" t="s">
        <v>185</v>
      </c>
      <c r="C11" s="139"/>
      <c r="D11" s="140"/>
      <c r="E11" s="9">
        <v>1296154.950144494</v>
      </c>
      <c r="F11" s="14" t="s">
        <v>3</v>
      </c>
      <c r="G11" s="1"/>
    </row>
    <row r="12" spans="1:7" x14ac:dyDescent="0.25">
      <c r="A12" s="1"/>
      <c r="B12" s="75"/>
      <c r="C12" s="76"/>
      <c r="D12" s="76"/>
      <c r="E12" s="76"/>
      <c r="F12" s="19"/>
      <c r="G12" s="1"/>
    </row>
    <row r="13" spans="1:7" ht="64.900000000000006" customHeight="1" x14ac:dyDescent="0.25">
      <c r="A13" s="1"/>
      <c r="B13" s="124" t="s">
        <v>259</v>
      </c>
      <c r="C13" s="125"/>
      <c r="D13" s="125"/>
      <c r="E13" s="125"/>
      <c r="F13" s="126"/>
      <c r="G13" s="1"/>
    </row>
    <row r="14" spans="1:7" ht="27" customHeight="1" x14ac:dyDescent="0.25">
      <c r="A14" s="1"/>
      <c r="B14" s="1"/>
      <c r="C14" s="1"/>
      <c r="D14" s="1"/>
      <c r="E14" s="1"/>
      <c r="F14" s="1"/>
      <c r="G14" s="1"/>
    </row>
    <row r="15" spans="1:7" ht="28.5" customHeight="1" x14ac:dyDescent="0.25">
      <c r="A15" s="1"/>
      <c r="B15" s="135" t="s">
        <v>157</v>
      </c>
      <c r="C15" s="136"/>
      <c r="D15" s="136"/>
      <c r="E15" s="136"/>
      <c r="F15" s="137"/>
      <c r="G15" s="1"/>
    </row>
    <row r="16" spans="1:7" x14ac:dyDescent="0.25">
      <c r="A16" s="1"/>
      <c r="B16" s="138" t="s">
        <v>228</v>
      </c>
      <c r="C16" s="139"/>
      <c r="D16" s="140"/>
      <c r="E16" s="9">
        <v>0</v>
      </c>
      <c r="F16" s="14" t="s">
        <v>3</v>
      </c>
      <c r="G16" s="1"/>
    </row>
    <row r="17" spans="1:7" x14ac:dyDescent="0.25">
      <c r="A17" s="1"/>
      <c r="B17" s="138" t="s">
        <v>229</v>
      </c>
      <c r="C17" s="139"/>
      <c r="D17" s="140"/>
      <c r="E17" s="9">
        <v>0</v>
      </c>
      <c r="F17" s="14" t="s">
        <v>3</v>
      </c>
      <c r="G17" s="1"/>
    </row>
    <row r="18" spans="1:7" x14ac:dyDescent="0.25">
      <c r="A18" s="1"/>
      <c r="B18" s="75"/>
      <c r="C18" s="76"/>
      <c r="D18" s="76"/>
      <c r="E18" s="76"/>
      <c r="F18" s="19"/>
      <c r="G18" s="1"/>
    </row>
    <row r="19" spans="1:7" ht="31.5" customHeight="1" x14ac:dyDescent="0.25">
      <c r="A19" s="1"/>
      <c r="B19" s="124" t="s">
        <v>158</v>
      </c>
      <c r="C19" s="125"/>
      <c r="D19" s="125"/>
      <c r="E19" s="125"/>
      <c r="F19" s="126"/>
      <c r="G19" s="1"/>
    </row>
    <row r="20" spans="1:7" ht="28.5" customHeight="1" x14ac:dyDescent="0.25">
      <c r="A20" s="1"/>
      <c r="B20" s="1"/>
      <c r="C20" s="1"/>
      <c r="D20" s="1"/>
      <c r="E20" s="1"/>
      <c r="F20" s="1"/>
      <c r="G20" s="1"/>
    </row>
    <row r="21" spans="1:7" ht="28.5" customHeight="1" x14ac:dyDescent="0.25">
      <c r="A21" s="1"/>
      <c r="B21" s="77" t="s">
        <v>186</v>
      </c>
      <c r="C21" s="78"/>
      <c r="D21" s="78"/>
      <c r="E21" s="78"/>
      <c r="F21" s="79"/>
      <c r="G21" s="1"/>
    </row>
    <row r="22" spans="1:7" x14ac:dyDescent="0.25">
      <c r="A22" s="1"/>
      <c r="B22" s="80" t="s">
        <v>230</v>
      </c>
      <c r="C22" s="81"/>
      <c r="D22" s="82"/>
      <c r="E22" s="9">
        <v>11875943.510881975</v>
      </c>
      <c r="F22" s="14" t="s">
        <v>3</v>
      </c>
      <c r="G22" s="1"/>
    </row>
    <row r="23" spans="1:7" x14ac:dyDescent="0.25">
      <c r="A23" s="1"/>
      <c r="B23" s="80" t="s">
        <v>187</v>
      </c>
      <c r="C23" s="81"/>
      <c r="D23" s="82"/>
      <c r="E23" s="9">
        <v>11082163</v>
      </c>
      <c r="F23" s="14" t="s">
        <v>3</v>
      </c>
      <c r="G23" s="1"/>
    </row>
    <row r="24" spans="1:7" x14ac:dyDescent="0.25">
      <c r="A24" s="1"/>
      <c r="B24" s="80" t="s">
        <v>31</v>
      </c>
      <c r="C24" s="81"/>
      <c r="D24" s="82"/>
      <c r="E24" s="9">
        <v>0</v>
      </c>
      <c r="F24" s="14" t="s">
        <v>3</v>
      </c>
      <c r="G24" s="1"/>
    </row>
    <row r="25" spans="1:7" x14ac:dyDescent="0.25">
      <c r="A25" s="1"/>
      <c r="B25" s="51" t="s">
        <v>260</v>
      </c>
      <c r="C25" s="52"/>
      <c r="D25" s="53"/>
      <c r="E25" s="62">
        <f>E22-(E23-E24)</f>
        <v>793780.51088197529</v>
      </c>
      <c r="F25" s="17" t="s">
        <v>3</v>
      </c>
      <c r="G25" s="1"/>
    </row>
    <row r="26" spans="1:7" x14ac:dyDescent="0.25">
      <c r="A26" s="1"/>
      <c r="B26" s="75"/>
      <c r="C26" s="76"/>
      <c r="D26" s="76"/>
      <c r="E26" s="76"/>
      <c r="F26" s="19"/>
      <c r="G26" s="1"/>
    </row>
    <row r="27" spans="1:7" x14ac:dyDescent="0.25">
      <c r="A27" s="1"/>
      <c r="B27" s="1"/>
      <c r="C27" s="1"/>
      <c r="D27" s="1"/>
      <c r="E27" s="1"/>
      <c r="F27" s="1"/>
      <c r="G27" s="1"/>
    </row>
    <row r="28" spans="1:7" ht="28.5" customHeight="1" x14ac:dyDescent="0.25">
      <c r="A28" s="1"/>
      <c r="B28" s="135" t="s">
        <v>231</v>
      </c>
      <c r="C28" s="136"/>
      <c r="D28" s="136"/>
      <c r="E28" s="136"/>
      <c r="F28" s="137"/>
      <c r="G28" s="1"/>
    </row>
    <row r="29" spans="1:7" x14ac:dyDescent="0.25">
      <c r="A29" s="1"/>
      <c r="B29" s="156" t="s">
        <v>128</v>
      </c>
      <c r="C29" s="157"/>
      <c r="D29" s="158"/>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0</v>
      </c>
      <c r="F29" s="14" t="s">
        <v>3</v>
      </c>
      <c r="G29" s="1"/>
    </row>
    <row r="30" spans="1:7" x14ac:dyDescent="0.25">
      <c r="A30" s="1"/>
      <c r="B30" s="156" t="s">
        <v>93</v>
      </c>
      <c r="C30" s="157"/>
      <c r="D30" s="158"/>
      <c r="E30" s="9">
        <v>2</v>
      </c>
      <c r="F30" s="14" t="s">
        <v>18</v>
      </c>
      <c r="G30" s="1"/>
    </row>
    <row r="31" spans="1:7" x14ac:dyDescent="0.25">
      <c r="A31" s="1"/>
      <c r="B31" s="149" t="s">
        <v>127</v>
      </c>
      <c r="C31" s="149"/>
      <c r="D31" s="149"/>
      <c r="E31" s="10">
        <f>E29/E30</f>
        <v>0</v>
      </c>
      <c r="F31" s="17" t="s">
        <v>3</v>
      </c>
      <c r="G31" s="1"/>
    </row>
    <row r="32" spans="1:7" x14ac:dyDescent="0.25">
      <c r="A32" s="1"/>
      <c r="B32" s="150"/>
      <c r="C32" s="151"/>
      <c r="D32" s="151"/>
      <c r="E32" s="151"/>
      <c r="F32" s="152"/>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B38" s="55"/>
      <c r="C38" s="55"/>
      <c r="D38" s="55"/>
      <c r="E38" s="55"/>
      <c r="F38" s="55"/>
    </row>
    <row r="39" spans="1:7" x14ac:dyDescent="0.25">
      <c r="A39" s="55"/>
      <c r="B39" s="55"/>
      <c r="C39" s="55"/>
      <c r="D39" s="55"/>
      <c r="E39" s="55"/>
      <c r="F39" s="55"/>
      <c r="G39" s="55"/>
    </row>
    <row r="40" spans="1:7" x14ac:dyDescent="0.25">
      <c r="A40" s="55"/>
      <c r="B40" s="55"/>
      <c r="C40" s="55"/>
      <c r="D40" s="55"/>
      <c r="E40" s="55"/>
      <c r="F40" s="55"/>
      <c r="G40" s="55"/>
    </row>
    <row r="41" spans="1:7" x14ac:dyDescent="0.25">
      <c r="A41" s="55"/>
      <c r="B41" s="55"/>
      <c r="C41" s="55"/>
      <c r="D41" s="55"/>
      <c r="E41" s="55"/>
      <c r="F41" s="55"/>
      <c r="G41" s="55"/>
    </row>
    <row r="42" spans="1:7" x14ac:dyDescent="0.25">
      <c r="A42" s="55"/>
      <c r="B42" s="55"/>
      <c r="C42" s="55"/>
      <c r="D42" s="55"/>
      <c r="E42" s="55"/>
      <c r="F42" s="55"/>
      <c r="G42" s="55"/>
    </row>
  </sheetData>
  <sheetProtection algorithmName="SHA-512" hashValue="hmedmnWaaNO6Bk5Cg46sE/rS7eU7hlGW3GelPTAF0YpYea+rl+SlioKj+lb37ehnWoBCUivtqn4YiwUI1iPjbg==" saltValue="g3qRS+43eT83fPAzC0Ecqw==" spinCount="100000" sheet="1" objects="1" scenarios="1"/>
  <mergeCells count="15">
    <mergeCell ref="B3:F4"/>
    <mergeCell ref="B17:D17"/>
    <mergeCell ref="B9:D9"/>
    <mergeCell ref="B13:F13"/>
    <mergeCell ref="B15:F15"/>
    <mergeCell ref="B16:D16"/>
    <mergeCell ref="B31:D31"/>
    <mergeCell ref="B32:F32"/>
    <mergeCell ref="B8:F8"/>
    <mergeCell ref="B10:D10"/>
    <mergeCell ref="B11:D11"/>
    <mergeCell ref="B30:D30"/>
    <mergeCell ref="B19:F19"/>
    <mergeCell ref="B28:F28"/>
    <mergeCell ref="B29:D29"/>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42"/>
  <sheetViews>
    <sheetView view="pageLayout" zoomScaleNormal="100" workbookViewId="0"/>
  </sheetViews>
  <sheetFormatPr defaultColWidth="9" defaultRowHeight="15" x14ac:dyDescent="0.25"/>
  <cols>
    <col min="1" max="1" width="4.7109375" style="41" customWidth="1"/>
    <col min="2" max="2" width="22.5703125" style="41" customWidth="1"/>
    <col min="3" max="3" width="8.28515625" style="41" customWidth="1"/>
    <col min="4" max="6" width="10.7109375" style="41" customWidth="1"/>
    <col min="7" max="7" width="11" style="41" customWidth="1"/>
    <col min="8" max="8" width="3.28515625" style="41" customWidth="1"/>
    <col min="9" max="9" width="4.85546875" style="41" customWidth="1"/>
    <col min="10" max="16384" width="9" style="4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2" t="s">
        <v>218</v>
      </c>
      <c r="C3" s="112"/>
      <c r="D3" s="112"/>
      <c r="E3" s="112"/>
      <c r="F3" s="112"/>
      <c r="G3" s="112"/>
      <c r="H3" s="112"/>
      <c r="I3" s="1"/>
    </row>
    <row r="4" spans="1:9" ht="15" customHeight="1" x14ac:dyDescent="0.25">
      <c r="A4" s="1"/>
      <c r="B4" s="112"/>
      <c r="C4" s="112"/>
      <c r="D4" s="112"/>
      <c r="E4" s="112"/>
      <c r="F4" s="112"/>
      <c r="G4" s="112"/>
      <c r="H4" s="112"/>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5" t="s">
        <v>219</v>
      </c>
      <c r="C8" s="136"/>
      <c r="D8" s="136"/>
      <c r="E8" s="136"/>
      <c r="F8" s="136"/>
      <c r="G8" s="136"/>
      <c r="H8" s="137"/>
      <c r="I8" s="1"/>
    </row>
    <row r="9" spans="1:9" ht="15" customHeight="1" x14ac:dyDescent="0.25">
      <c r="A9" s="1"/>
      <c r="B9" s="130" t="s">
        <v>220</v>
      </c>
      <c r="C9" s="131"/>
      <c r="D9" s="131"/>
      <c r="E9" s="131"/>
      <c r="F9" s="131"/>
      <c r="G9" s="131"/>
      <c r="H9" s="132"/>
      <c r="I9" s="1"/>
    </row>
    <row r="10" spans="1:9" x14ac:dyDescent="0.25">
      <c r="A10" s="1"/>
      <c r="B10" s="159" t="s">
        <v>246</v>
      </c>
      <c r="C10" s="160"/>
      <c r="D10" s="160"/>
      <c r="E10" s="160"/>
      <c r="F10" s="161"/>
      <c r="G10" s="60">
        <v>0</v>
      </c>
      <c r="H10" s="9" t="s">
        <v>3</v>
      </c>
      <c r="I10" s="1"/>
    </row>
    <row r="11" spans="1:9" x14ac:dyDescent="0.25">
      <c r="A11" s="1"/>
      <c r="B11" s="159" t="s">
        <v>247</v>
      </c>
      <c r="C11" s="160"/>
      <c r="D11" s="160"/>
      <c r="E11" s="160"/>
      <c r="F11" s="161"/>
      <c r="G11" s="60">
        <v>0</v>
      </c>
      <c r="H11" s="9" t="s">
        <v>3</v>
      </c>
      <c r="I11" s="1"/>
    </row>
    <row r="12" spans="1:9" x14ac:dyDescent="0.25">
      <c r="A12" s="1"/>
      <c r="B12" s="159" t="s">
        <v>248</v>
      </c>
      <c r="C12" s="160"/>
      <c r="D12" s="160"/>
      <c r="E12" s="160"/>
      <c r="F12" s="161"/>
      <c r="G12" s="9">
        <v>0</v>
      </c>
      <c r="H12" s="9" t="s">
        <v>3</v>
      </c>
      <c r="I12" s="1"/>
    </row>
    <row r="13" spans="1:9" x14ac:dyDescent="0.25">
      <c r="A13" s="1"/>
      <c r="B13" s="159" t="s">
        <v>249</v>
      </c>
      <c r="C13" s="160"/>
      <c r="D13" s="160"/>
      <c r="E13" s="160"/>
      <c r="F13" s="161"/>
      <c r="G13" s="9">
        <v>0</v>
      </c>
      <c r="H13" s="9" t="s">
        <v>3</v>
      </c>
      <c r="I13" s="1"/>
    </row>
    <row r="14" spans="1:9" x14ac:dyDescent="0.25">
      <c r="A14" s="1"/>
      <c r="B14" s="159" t="s">
        <v>250</v>
      </c>
      <c r="C14" s="160"/>
      <c r="D14" s="160"/>
      <c r="E14" s="160"/>
      <c r="F14" s="161"/>
      <c r="G14" s="9">
        <v>0</v>
      </c>
      <c r="H14" s="9" t="s">
        <v>3</v>
      </c>
      <c r="I14" s="1"/>
    </row>
    <row r="15" spans="1:9" x14ac:dyDescent="0.25">
      <c r="A15" s="1"/>
      <c r="B15" s="159" t="s">
        <v>251</v>
      </c>
      <c r="C15" s="160"/>
      <c r="D15" s="160"/>
      <c r="E15" s="160"/>
      <c r="F15" s="161"/>
      <c r="G15" s="9">
        <v>0</v>
      </c>
      <c r="H15" s="9" t="s">
        <v>3</v>
      </c>
      <c r="I15" s="1"/>
    </row>
    <row r="16" spans="1:9" x14ac:dyDescent="0.25">
      <c r="A16" s="1"/>
      <c r="B16" s="159" t="s">
        <v>252</v>
      </c>
      <c r="C16" s="160"/>
      <c r="D16" s="160"/>
      <c r="E16" s="160"/>
      <c r="F16" s="161"/>
      <c r="G16" s="9">
        <v>0</v>
      </c>
      <c r="H16" s="9" t="s">
        <v>3</v>
      </c>
      <c r="I16" s="1"/>
    </row>
    <row r="17" spans="1:9" x14ac:dyDescent="0.25">
      <c r="A17" s="1"/>
      <c r="B17" s="159" t="s">
        <v>253</v>
      </c>
      <c r="C17" s="160"/>
      <c r="D17" s="160"/>
      <c r="E17" s="160"/>
      <c r="F17" s="161"/>
      <c r="G17" s="9">
        <v>0</v>
      </c>
      <c r="H17" s="9" t="s">
        <v>3</v>
      </c>
      <c r="I17" s="1"/>
    </row>
    <row r="18" spans="1:9" x14ac:dyDescent="0.25">
      <c r="A18" s="1"/>
      <c r="B18" s="135" t="s">
        <v>221</v>
      </c>
      <c r="C18" s="136"/>
      <c r="D18" s="136"/>
      <c r="E18" s="136"/>
      <c r="F18" s="137"/>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sheetData>
  <sheetProtection algorithmName="SHA-512" hashValue="1kvCrR+swSxnmNwQ73rw2POdnpd7RwLxPa+MyHoxFMApVHhhnVllHFIo9SmimhbsnVsK4ujTzE3pvYvlszRVoQ==" saltValue="1F74dMolkZdxG6LDOU0dcg==" spinCount="100000" sheet="1" objects="1" scenarios="1"/>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53"/>
  <sheetViews>
    <sheetView showGridLines="0" view="pageLayout" zoomScaleNormal="100" workbookViewId="0"/>
  </sheetViews>
  <sheetFormatPr defaultColWidth="9" defaultRowHeight="15" x14ac:dyDescent="0.25"/>
  <cols>
    <col min="1" max="1" width="1.7109375" style="2" customWidth="1"/>
    <col min="2" max="2" width="23.7109375" style="2" customWidth="1"/>
    <col min="3" max="3" width="7.28515625" style="2" customWidth="1"/>
    <col min="4" max="4" width="9.285156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1.71093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2" t="s">
        <v>212</v>
      </c>
      <c r="C3" s="112"/>
      <c r="D3" s="112"/>
      <c r="E3" s="112"/>
      <c r="F3" s="112"/>
      <c r="G3" s="112"/>
      <c r="H3" s="112"/>
      <c r="I3" s="112"/>
      <c r="J3" s="112"/>
      <c r="K3" s="112"/>
      <c r="L3" s="1"/>
    </row>
    <row r="4" spans="1:12" ht="15" customHeight="1" x14ac:dyDescent="0.25">
      <c r="A4" s="1"/>
      <c r="B4" s="112"/>
      <c r="C4" s="112"/>
      <c r="D4" s="112"/>
      <c r="E4" s="112"/>
      <c r="F4" s="112"/>
      <c r="G4" s="112"/>
      <c r="H4" s="112"/>
      <c r="I4" s="112"/>
      <c r="J4" s="112"/>
      <c r="K4" s="112"/>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5" t="s">
        <v>192</v>
      </c>
      <c r="C8" s="136"/>
      <c r="D8" s="136"/>
      <c r="E8" s="136"/>
      <c r="F8" s="136"/>
      <c r="G8" s="136"/>
      <c r="H8" s="136"/>
      <c r="I8" s="136"/>
      <c r="J8" s="136"/>
      <c r="K8" s="137"/>
      <c r="L8" s="1"/>
    </row>
    <row r="9" spans="1:12" ht="39.75" customHeight="1" x14ac:dyDescent="0.25">
      <c r="A9" s="1"/>
      <c r="B9" s="18" t="s">
        <v>0</v>
      </c>
      <c r="C9" s="18" t="s">
        <v>1</v>
      </c>
      <c r="D9" s="162" t="s">
        <v>205</v>
      </c>
      <c r="E9" s="163"/>
      <c r="F9" s="162" t="s">
        <v>2</v>
      </c>
      <c r="G9" s="163"/>
      <c r="H9" s="162" t="s">
        <v>206</v>
      </c>
      <c r="I9" s="163"/>
      <c r="J9" s="162" t="s">
        <v>28</v>
      </c>
      <c r="K9" s="163"/>
      <c r="L9" s="1"/>
    </row>
    <row r="10" spans="1:12" x14ac:dyDescent="0.25">
      <c r="A10" s="1"/>
      <c r="B10" s="92" t="s">
        <v>222</v>
      </c>
      <c r="C10" s="30">
        <v>0</v>
      </c>
      <c r="D10" s="9">
        <v>0</v>
      </c>
      <c r="E10" s="14" t="s">
        <v>3</v>
      </c>
      <c r="F10" s="40">
        <f>IFERROR(D10/C10,0)</f>
        <v>0</v>
      </c>
      <c r="G10" s="14" t="s">
        <v>3</v>
      </c>
      <c r="H10" s="9">
        <v>0</v>
      </c>
      <c r="I10" s="14" t="s">
        <v>3</v>
      </c>
      <c r="J10" s="9">
        <v>0</v>
      </c>
      <c r="K10" s="14" t="s">
        <v>3</v>
      </c>
      <c r="L10" s="1"/>
    </row>
    <row r="11" spans="1:12" x14ac:dyDescent="0.25">
      <c r="A11" s="1"/>
      <c r="B11" s="85" t="s">
        <v>193</v>
      </c>
      <c r="C11" s="86"/>
      <c r="D11" s="19"/>
      <c r="E11" s="87"/>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55"/>
      <c r="B47" s="55"/>
      <c r="C47" s="55"/>
      <c r="D47" s="55"/>
      <c r="E47" s="55"/>
      <c r="F47" s="55"/>
      <c r="G47" s="55"/>
      <c r="H47" s="55"/>
      <c r="I47" s="55"/>
      <c r="J47" s="55"/>
      <c r="K47" s="55"/>
      <c r="L47" s="55"/>
    </row>
    <row r="48" spans="1:12" x14ac:dyDescent="0.25">
      <c r="A48" s="55"/>
      <c r="B48" s="55"/>
      <c r="C48" s="55"/>
      <c r="D48" s="55"/>
      <c r="E48" s="55"/>
      <c r="F48" s="55"/>
      <c r="G48" s="55"/>
      <c r="H48" s="55"/>
      <c r="I48" s="55"/>
      <c r="J48" s="55"/>
      <c r="K48" s="55"/>
      <c r="L48" s="55"/>
    </row>
    <row r="49" spans="1:12" x14ac:dyDescent="0.25">
      <c r="A49" s="55"/>
      <c r="B49" s="55"/>
      <c r="C49" s="55"/>
      <c r="D49" s="55"/>
      <c r="E49" s="55"/>
      <c r="F49" s="55"/>
      <c r="G49" s="55"/>
      <c r="H49" s="55"/>
      <c r="I49" s="55"/>
      <c r="J49" s="55"/>
      <c r="K49" s="55"/>
      <c r="L49" s="55"/>
    </row>
    <row r="50" spans="1:12" x14ac:dyDescent="0.25">
      <c r="A50" s="55"/>
      <c r="B50" s="55"/>
      <c r="C50" s="55"/>
      <c r="D50" s="55"/>
      <c r="E50" s="55"/>
      <c r="F50" s="55"/>
      <c r="G50" s="55"/>
      <c r="H50" s="55"/>
      <c r="I50" s="55"/>
      <c r="J50" s="55"/>
      <c r="K50" s="55"/>
      <c r="L50" s="55"/>
    </row>
    <row r="51" spans="1:12" x14ac:dyDescent="0.25">
      <c r="A51" s="55"/>
      <c r="B51" s="55"/>
      <c r="C51" s="55"/>
      <c r="D51" s="55"/>
      <c r="E51" s="55"/>
      <c r="F51" s="55"/>
      <c r="G51" s="55"/>
      <c r="H51" s="55"/>
      <c r="I51" s="55"/>
      <c r="J51" s="55"/>
      <c r="K51" s="55"/>
      <c r="L51" s="55"/>
    </row>
    <row r="52" spans="1:12" x14ac:dyDescent="0.25">
      <c r="A52" s="55"/>
      <c r="B52" s="55"/>
      <c r="C52" s="55"/>
      <c r="D52" s="55"/>
      <c r="E52" s="55"/>
      <c r="F52" s="55"/>
      <c r="G52" s="55"/>
      <c r="H52" s="55"/>
      <c r="I52" s="55"/>
      <c r="J52" s="55"/>
      <c r="K52" s="55"/>
      <c r="L52" s="55"/>
    </row>
    <row r="53" spans="1:12" x14ac:dyDescent="0.25">
      <c r="A53" s="55"/>
      <c r="B53" s="55"/>
      <c r="C53" s="55"/>
      <c r="D53" s="55"/>
      <c r="E53" s="55"/>
      <c r="F53" s="55"/>
      <c r="G53" s="55"/>
      <c r="H53" s="55"/>
      <c r="I53" s="55"/>
      <c r="J53" s="55"/>
      <c r="K53" s="55"/>
      <c r="L53" s="55"/>
    </row>
  </sheetData>
  <sheetProtection algorithmName="SHA-512" hashValue="ojMYpBkl+D7ToW+uPov6CZCRTWSfQfuzGTmZ1G9EMsEltHSn9wESwrB/y2VJ5YrIlMQ//EoioFuCQvWCUN68dQ==" saltValue="UGvyTU81iUnjmAPiLB/plQ=="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213</v>
      </c>
      <c r="C3" s="112"/>
      <c r="D3" s="112"/>
      <c r="E3" s="112"/>
      <c r="F3" s="112"/>
      <c r="G3" s="1"/>
    </row>
    <row r="4" spans="1:7" ht="1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5" t="s">
        <v>75</v>
      </c>
      <c r="C8" s="76"/>
      <c r="D8" s="76"/>
      <c r="E8" s="76"/>
      <c r="F8" s="19"/>
      <c r="G8" s="1"/>
    </row>
    <row r="9" spans="1:7" ht="17.25" customHeight="1" x14ac:dyDescent="0.25">
      <c r="A9" s="1"/>
      <c r="B9" s="73" t="s">
        <v>15</v>
      </c>
      <c r="C9" s="73" t="s">
        <v>10</v>
      </c>
      <c r="D9" s="74"/>
      <c r="E9" s="73" t="s">
        <v>29</v>
      </c>
      <c r="F9" s="70"/>
      <c r="G9" s="1"/>
    </row>
    <row r="10" spans="1:7" x14ac:dyDescent="0.25">
      <c r="A10" s="1"/>
      <c r="B10" s="23" t="s">
        <v>198</v>
      </c>
      <c r="C10" s="21">
        <f>'Fane 9. Anlægsprojekter (§ 19) '!H11</f>
        <v>0</v>
      </c>
      <c r="D10" s="14" t="s">
        <v>3</v>
      </c>
      <c r="E10" s="9">
        <f>'Fane 9. Anlægsprojekter (§ 19) '!F11+'Fane 9. Anlægsprojekter (§ 19) '!J11</f>
        <v>0</v>
      </c>
      <c r="F10" s="14" t="s">
        <v>3</v>
      </c>
      <c r="G10" s="1"/>
    </row>
    <row r="11" spans="1:7" x14ac:dyDescent="0.25">
      <c r="A11" s="1"/>
      <c r="B11" s="27" t="s">
        <v>232</v>
      </c>
      <c r="C11" s="21">
        <v>0</v>
      </c>
      <c r="D11" s="14" t="s">
        <v>3</v>
      </c>
      <c r="E11" s="9">
        <v>0</v>
      </c>
      <c r="F11" s="14" t="s">
        <v>3</v>
      </c>
      <c r="G11" s="1"/>
    </row>
    <row r="12" spans="1:7" x14ac:dyDescent="0.25">
      <c r="A12" s="1"/>
      <c r="B12" s="75" t="s">
        <v>148</v>
      </c>
      <c r="C12" s="12">
        <f>SUM(C10:C11)</f>
        <v>0</v>
      </c>
      <c r="D12" s="13" t="s">
        <v>3</v>
      </c>
      <c r="E12" s="12">
        <f>SUM(E10:E11)</f>
        <v>0</v>
      </c>
      <c r="F12" s="13" t="s">
        <v>3</v>
      </c>
      <c r="G12" s="1"/>
    </row>
    <row r="13" spans="1:7" x14ac:dyDescent="0.25">
      <c r="A13" s="1"/>
      <c r="B13" s="75" t="s">
        <v>188</v>
      </c>
      <c r="C13" s="12">
        <f>C12*(1+'Fane 13. Nøgletal'!C15)</f>
        <v>0</v>
      </c>
      <c r="D13" s="13" t="s">
        <v>3</v>
      </c>
      <c r="E13" s="12">
        <f>E12*(1+'Fane 13. Nøgletal'!C15)</f>
        <v>0</v>
      </c>
      <c r="F13" s="13" t="s">
        <v>3</v>
      </c>
      <c r="G13" s="1"/>
    </row>
    <row r="14" spans="1:7" x14ac:dyDescent="0.25">
      <c r="A14" s="1"/>
      <c r="B14" s="1"/>
      <c r="C14" s="1" t="s">
        <v>203</v>
      </c>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tNdlGe4oZXLr9L4hSKhh2gcT0k8qMcePK4cTNnr2HMIaKXRB3vR4o+GXGxp5p1rhIJwC6a8A9scIKxRaaqAHsQ==" saltValue="m3pr2LV72VjZ7dYm12HsJw=="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7"/>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214</v>
      </c>
      <c r="C3" s="112"/>
      <c r="D3" s="112"/>
      <c r="E3" s="112"/>
      <c r="F3" s="112"/>
      <c r="G3" s="1"/>
    </row>
    <row r="4" spans="1:7" ht="1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35" t="s">
        <v>88</v>
      </c>
      <c r="C9" s="136"/>
      <c r="D9" s="136"/>
      <c r="E9" s="136"/>
      <c r="F9" s="137"/>
      <c r="G9" s="1"/>
    </row>
    <row r="10" spans="1:7" ht="26.25" x14ac:dyDescent="0.25">
      <c r="A10" s="1"/>
      <c r="B10" s="73" t="s">
        <v>15</v>
      </c>
      <c r="C10" s="73" t="s">
        <v>10</v>
      </c>
      <c r="D10" s="74"/>
      <c r="E10" s="73" t="s">
        <v>29</v>
      </c>
      <c r="F10" s="70"/>
      <c r="G10" s="1"/>
    </row>
    <row r="11" spans="1:7" x14ac:dyDescent="0.25">
      <c r="A11" s="1"/>
      <c r="B11" s="23" t="s">
        <v>233</v>
      </c>
      <c r="C11" s="21">
        <v>0</v>
      </c>
      <c r="D11" s="14" t="s">
        <v>3</v>
      </c>
      <c r="E11" s="9">
        <v>0</v>
      </c>
      <c r="F11" s="14" t="s">
        <v>3</v>
      </c>
      <c r="G11" s="1"/>
    </row>
    <row r="12" spans="1:7" x14ac:dyDescent="0.25">
      <c r="A12" s="1"/>
      <c r="B12" s="75" t="s">
        <v>195</v>
      </c>
      <c r="C12" s="12">
        <f>SUM(C11:C11)</f>
        <v>0</v>
      </c>
      <c r="D12" s="13" t="s">
        <v>3</v>
      </c>
      <c r="E12" s="12">
        <f>SUM(E11:E11)</f>
        <v>0</v>
      </c>
      <c r="F12" s="13" t="s">
        <v>3</v>
      </c>
      <c r="G12" s="1"/>
    </row>
    <row r="13" spans="1:7" x14ac:dyDescent="0.25">
      <c r="A13" s="1"/>
      <c r="B13" s="75" t="s">
        <v>119</v>
      </c>
      <c r="C13" s="12">
        <f>C12*(1+'Fane 13. Nøgletal'!$C$15)^2</f>
        <v>0</v>
      </c>
      <c r="D13" s="13" t="s">
        <v>3</v>
      </c>
      <c r="E13" s="12">
        <f>E12*(1+'Fane 13.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ht="18" customHeight="1"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Tpy187N6oMuMGZDAkpDMc0jwqf1HNp9GSTdrIpWj1WL9ue4cbZKUItStMxJ/iToKWY+/OM92HHRTClGYz7/dWg==" saltValue="Lae/BsuAPSSsrJrlCBWP2Q=="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0" t="s">
        <v>215</v>
      </c>
      <c r="C3" s="120"/>
      <c r="D3" s="120"/>
      <c r="E3" s="120"/>
      <c r="F3" s="120"/>
      <c r="G3" s="1"/>
    </row>
    <row r="4" spans="1:7" ht="25.5" customHeight="1" x14ac:dyDescent="0.25">
      <c r="A4" s="1"/>
      <c r="B4" s="120"/>
      <c r="C4" s="120"/>
      <c r="D4" s="120"/>
      <c r="E4" s="120"/>
      <c r="F4" s="12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5" t="s">
        <v>112</v>
      </c>
      <c r="C8" s="136"/>
      <c r="D8" s="136"/>
      <c r="E8" s="136"/>
      <c r="F8" s="137"/>
      <c r="G8" s="1"/>
    </row>
    <row r="9" spans="1:7" ht="15" customHeight="1" x14ac:dyDescent="0.25">
      <c r="A9" s="1"/>
      <c r="B9" s="69" t="s">
        <v>113</v>
      </c>
      <c r="C9" s="130" t="s">
        <v>10</v>
      </c>
      <c r="D9" s="132"/>
      <c r="E9" s="130" t="s">
        <v>29</v>
      </c>
      <c r="F9" s="132"/>
      <c r="G9" s="1"/>
    </row>
    <row r="10" spans="1:7" x14ac:dyDescent="0.25">
      <c r="A10" s="1"/>
      <c r="B10" s="23" t="s">
        <v>234</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0Qdylc+31IkkfrPW0NMij/TadniaZSWh3Hcd5TktVGyTGRw2wwePv6IWhMvUdStUxNCd5anGv92FCeyJVxYCRA==" saltValue="pLc/KBhcN9P6d6+gLpoi/g=="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 defaultRowHeight="15" x14ac:dyDescent="0.25"/>
  <cols>
    <col min="1" max="1" width="2.28515625" style="2" customWidth="1"/>
    <col min="2" max="2" width="36.28515625" style="2" customWidth="1"/>
    <col min="3" max="3" width="17" style="2" customWidth="1"/>
    <col min="4" max="4" width="3.28515625" style="2" customWidth="1"/>
    <col min="5" max="5" width="18.28515625" style="2" customWidth="1"/>
    <col min="6" max="6" width="3.28515625" style="2" customWidth="1"/>
    <col min="7" max="7" width="2.71093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0" t="s">
        <v>216</v>
      </c>
      <c r="C3" s="120"/>
      <c r="D3" s="120"/>
      <c r="E3" s="120"/>
      <c r="F3" s="120"/>
      <c r="G3" s="1"/>
    </row>
    <row r="4" spans="1:7" ht="25.5" customHeight="1" x14ac:dyDescent="0.25">
      <c r="A4" s="1"/>
      <c r="B4" s="120"/>
      <c r="C4" s="120"/>
      <c r="D4" s="120"/>
      <c r="E4" s="120"/>
      <c r="F4" s="12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35" t="s">
        <v>85</v>
      </c>
      <c r="C10" s="136"/>
      <c r="D10" s="136"/>
      <c r="E10" s="136"/>
      <c r="F10" s="137"/>
      <c r="G10" s="1"/>
    </row>
    <row r="11" spans="1:7" x14ac:dyDescent="0.25">
      <c r="A11" s="1"/>
      <c r="B11" s="69" t="s">
        <v>16</v>
      </c>
      <c r="C11" s="69" t="s">
        <v>10</v>
      </c>
      <c r="D11" s="70"/>
      <c r="E11" s="69" t="s">
        <v>29</v>
      </c>
      <c r="F11" s="70"/>
      <c r="G11" s="1"/>
    </row>
    <row r="12" spans="1:7" x14ac:dyDescent="0.25">
      <c r="A12" s="1"/>
      <c r="B12" s="23" t="s">
        <v>235</v>
      </c>
      <c r="C12" s="9">
        <v>0</v>
      </c>
      <c r="D12" s="14" t="s">
        <v>3</v>
      </c>
      <c r="E12" s="9">
        <v>0</v>
      </c>
      <c r="F12" s="14" t="s">
        <v>3</v>
      </c>
      <c r="G12" s="1"/>
    </row>
    <row r="13" spans="1:7" x14ac:dyDescent="0.25">
      <c r="A13" s="1"/>
      <c r="B13" s="75" t="s">
        <v>196</v>
      </c>
      <c r="C13" s="12">
        <f>SUM(C12:C12)</f>
        <v>0</v>
      </c>
      <c r="D13" s="13" t="s">
        <v>3</v>
      </c>
      <c r="E13" s="12">
        <f>SUM(E12:E12)</f>
        <v>0</v>
      </c>
      <c r="F13" s="13" t="s">
        <v>3</v>
      </c>
      <c r="G13" s="1"/>
    </row>
    <row r="14" spans="1:7" x14ac:dyDescent="0.25">
      <c r="A14" s="1"/>
      <c r="B14" s="75"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RQtfzufUodnBWpI723EhSnCirfXKyekhsk+ECeQvUcObeDcOKBdrBOeOElROcREDyGDMAuLBqeY7TTlOSy+bwQ==" saltValue="OFof4rl4gDXvlFyEL0FCpQ=="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 defaultRowHeight="15" x14ac:dyDescent="0.25"/>
  <cols>
    <col min="1" max="1" width="9" style="2" customWidth="1"/>
    <col min="2" max="2" width="56.28515625" style="2" customWidth="1"/>
    <col min="3" max="3" width="6.7109375" style="49" customWidth="1"/>
    <col min="4" max="4" width="9" style="2" customWidth="1"/>
    <col min="5" max="16384" width="9" style="2"/>
  </cols>
  <sheetData>
    <row r="1" spans="1:4" x14ac:dyDescent="0.25">
      <c r="A1" s="1"/>
      <c r="B1" s="1"/>
      <c r="C1" s="44"/>
      <c r="D1" s="1"/>
    </row>
    <row r="2" spans="1:4" x14ac:dyDescent="0.25">
      <c r="A2" s="1"/>
      <c r="B2" s="1"/>
      <c r="C2" s="44"/>
      <c r="D2" s="1"/>
    </row>
    <row r="3" spans="1:4" ht="15" customHeight="1" x14ac:dyDescent="0.25">
      <c r="A3" s="1"/>
      <c r="B3" s="120" t="s">
        <v>217</v>
      </c>
      <c r="C3" s="120"/>
      <c r="D3" s="1"/>
    </row>
    <row r="4" spans="1:4" ht="25.5" customHeight="1" x14ac:dyDescent="0.25">
      <c r="A4" s="1"/>
      <c r="B4" s="120"/>
      <c r="C4" s="120"/>
      <c r="D4" s="1"/>
    </row>
    <row r="5" spans="1:4" x14ac:dyDescent="0.25">
      <c r="A5" s="1"/>
      <c r="B5" s="1"/>
      <c r="C5" s="44"/>
      <c r="D5" s="1"/>
    </row>
    <row r="6" spans="1:4" x14ac:dyDescent="0.25">
      <c r="A6" s="1"/>
      <c r="B6" s="1"/>
      <c r="C6" s="44"/>
      <c r="D6" s="1"/>
    </row>
    <row r="7" spans="1:4" x14ac:dyDescent="0.25">
      <c r="A7" s="1"/>
      <c r="B7" s="1"/>
      <c r="C7" s="44"/>
      <c r="D7" s="1"/>
    </row>
    <row r="8" spans="1:4" x14ac:dyDescent="0.25">
      <c r="A8" s="1"/>
      <c r="B8" s="75" t="s">
        <v>13</v>
      </c>
      <c r="C8" s="45"/>
      <c r="D8" s="1"/>
    </row>
    <row r="9" spans="1:4" x14ac:dyDescent="0.25">
      <c r="A9" s="1"/>
      <c r="B9" s="83" t="s">
        <v>101</v>
      </c>
      <c r="C9" s="46">
        <v>1.2699999999999999E-2</v>
      </c>
      <c r="D9" s="1"/>
    </row>
    <row r="10" spans="1:4" x14ac:dyDescent="0.25">
      <c r="A10" s="1"/>
      <c r="B10" s="83" t="s">
        <v>21</v>
      </c>
      <c r="C10" s="46">
        <v>1.7500000000000002E-2</v>
      </c>
      <c r="D10" s="1"/>
    </row>
    <row r="11" spans="1:4" x14ac:dyDescent="0.25">
      <c r="A11" s="1"/>
      <c r="B11" s="83" t="s">
        <v>102</v>
      </c>
      <c r="C11" s="46">
        <v>1.6899999999999998E-2</v>
      </c>
      <c r="D11" s="1"/>
    </row>
    <row r="12" spans="1:4" x14ac:dyDescent="0.25">
      <c r="A12" s="1"/>
      <c r="B12" s="25" t="s">
        <v>37</v>
      </c>
      <c r="C12" s="47">
        <v>1.9699999999999999E-2</v>
      </c>
      <c r="D12" s="1"/>
    </row>
    <row r="13" spans="1:4" x14ac:dyDescent="0.25">
      <c r="A13" s="1"/>
      <c r="B13" s="25" t="s">
        <v>118</v>
      </c>
      <c r="C13" s="47">
        <v>1.2200000000000001E-2</v>
      </c>
      <c r="D13" s="1"/>
    </row>
    <row r="14" spans="1:4" x14ac:dyDescent="0.25">
      <c r="A14" s="1"/>
      <c r="B14" s="25" t="s">
        <v>150</v>
      </c>
      <c r="C14" s="48">
        <v>3.3E-3</v>
      </c>
      <c r="D14" s="1"/>
    </row>
    <row r="15" spans="1:4" x14ac:dyDescent="0.25">
      <c r="A15" s="1"/>
      <c r="B15" s="25" t="s">
        <v>190</v>
      </c>
      <c r="C15" s="48">
        <v>3.56E-2</v>
      </c>
      <c r="D15" s="1"/>
    </row>
    <row r="16" spans="1:4" x14ac:dyDescent="0.25">
      <c r="A16" s="1"/>
      <c r="B16" s="135"/>
      <c r="C16" s="137"/>
      <c r="D16" s="1"/>
    </row>
    <row r="17" spans="1:4" x14ac:dyDescent="0.25">
      <c r="A17" s="1"/>
      <c r="B17" s="1"/>
      <c r="C17" s="44"/>
      <c r="D17" s="1"/>
    </row>
    <row r="18" spans="1:4" x14ac:dyDescent="0.25">
      <c r="A18" s="1"/>
      <c r="B18" s="1"/>
      <c r="C18" s="44"/>
      <c r="D18" s="1"/>
    </row>
    <row r="19" spans="1:4" x14ac:dyDescent="0.25">
      <c r="A19" s="1"/>
      <c r="B19" s="75" t="s">
        <v>89</v>
      </c>
      <c r="C19" s="45"/>
      <c r="D19" s="1"/>
    </row>
    <row r="20" spans="1:4" x14ac:dyDescent="0.25">
      <c r="A20" s="1"/>
      <c r="B20" s="83" t="s">
        <v>103</v>
      </c>
      <c r="C20" s="48">
        <v>9.1000000000000004E-3</v>
      </c>
      <c r="D20" s="1"/>
    </row>
    <row r="21" spans="1:4" x14ac:dyDescent="0.25">
      <c r="A21" s="1"/>
      <c r="B21" s="83" t="s">
        <v>104</v>
      </c>
      <c r="C21" s="48">
        <v>1.77E-2</v>
      </c>
      <c r="D21" s="1"/>
    </row>
    <row r="22" spans="1:4" x14ac:dyDescent="0.25">
      <c r="A22" s="1"/>
      <c r="B22" s="83" t="s">
        <v>105</v>
      </c>
      <c r="C22" s="48">
        <v>8.6999999999999994E-3</v>
      </c>
      <c r="D22" s="1"/>
    </row>
    <row r="23" spans="1:4" x14ac:dyDescent="0.25">
      <c r="A23" s="1"/>
      <c r="B23" s="83" t="s">
        <v>106</v>
      </c>
      <c r="C23" s="48">
        <v>2.8399999999999998E-2</v>
      </c>
      <c r="D23" s="1"/>
    </row>
    <row r="24" spans="1:4" x14ac:dyDescent="0.25">
      <c r="A24" s="1"/>
      <c r="B24" s="83" t="s">
        <v>120</v>
      </c>
      <c r="C24" s="48">
        <v>2.75E-2</v>
      </c>
      <c r="D24" s="1"/>
    </row>
    <row r="25" spans="1:4" x14ac:dyDescent="0.25">
      <c r="A25" s="1"/>
      <c r="B25" s="83" t="s">
        <v>151</v>
      </c>
      <c r="C25" s="48">
        <v>1.4800000000000001E-2</v>
      </c>
      <c r="D25" s="1"/>
    </row>
    <row r="26" spans="1:4" x14ac:dyDescent="0.25">
      <c r="A26" s="1"/>
      <c r="B26" s="25" t="s">
        <v>191</v>
      </c>
      <c r="C26" s="48">
        <v>0</v>
      </c>
      <c r="D26" s="1"/>
    </row>
    <row r="27" spans="1:4" x14ac:dyDescent="0.25">
      <c r="A27" s="1"/>
      <c r="B27" s="75"/>
      <c r="C27" s="45"/>
      <c r="D27" s="1"/>
    </row>
    <row r="28" spans="1:4" x14ac:dyDescent="0.25">
      <c r="A28" s="1"/>
      <c r="B28" s="1"/>
      <c r="C28" s="44"/>
      <c r="D28" s="1"/>
    </row>
    <row r="29" spans="1:4" x14ac:dyDescent="0.25">
      <c r="A29" s="1"/>
      <c r="B29" s="1"/>
      <c r="C29" s="44"/>
      <c r="D29" s="1"/>
    </row>
    <row r="30" spans="1:4" x14ac:dyDescent="0.25">
      <c r="A30" s="1"/>
      <c r="B30" s="75" t="s">
        <v>90</v>
      </c>
      <c r="C30" s="45"/>
      <c r="D30" s="1"/>
    </row>
    <row r="31" spans="1:4" x14ac:dyDescent="0.25">
      <c r="A31" s="1"/>
      <c r="B31" s="83" t="s">
        <v>107</v>
      </c>
      <c r="C31" s="46">
        <v>0.02</v>
      </c>
      <c r="D31" s="1"/>
    </row>
    <row r="32" spans="1:4" x14ac:dyDescent="0.25">
      <c r="A32" s="1"/>
      <c r="B32" s="75"/>
      <c r="C32" s="45"/>
      <c r="D32" s="1"/>
    </row>
    <row r="33" spans="1:4" x14ac:dyDescent="0.25">
      <c r="A33" s="1"/>
      <c r="B33" s="1"/>
      <c r="C33" s="44"/>
      <c r="D33" s="1"/>
    </row>
    <row r="34" spans="1:4" x14ac:dyDescent="0.25">
      <c r="A34" s="1"/>
      <c r="B34" s="75" t="s">
        <v>90</v>
      </c>
      <c r="C34" s="19"/>
      <c r="D34" s="1"/>
    </row>
    <row r="35" spans="1:4" x14ac:dyDescent="0.25">
      <c r="A35" s="1"/>
      <c r="B35" s="83" t="s">
        <v>254</v>
      </c>
      <c r="C35" s="61">
        <v>1.7000000000000001E-2</v>
      </c>
      <c r="D35" s="1"/>
    </row>
    <row r="36" spans="1:4" x14ac:dyDescent="0.25">
      <c r="A36" s="1"/>
      <c r="B36" s="75"/>
      <c r="C36" s="19"/>
      <c r="D36" s="1"/>
    </row>
    <row r="37" spans="1:4" x14ac:dyDescent="0.25">
      <c r="A37" s="1"/>
      <c r="B37" s="1"/>
      <c r="C37" s="44"/>
      <c r="D37" s="1"/>
    </row>
    <row r="38" spans="1:4" x14ac:dyDescent="0.25">
      <c r="A38" s="1"/>
      <c r="B38" s="1"/>
      <c r="C38" s="44"/>
      <c r="D38" s="1"/>
    </row>
    <row r="39" spans="1:4" x14ac:dyDescent="0.25">
      <c r="A39" s="1"/>
      <c r="B39" s="1"/>
      <c r="C39" s="44"/>
      <c r="D39" s="1"/>
    </row>
    <row r="40" spans="1:4" x14ac:dyDescent="0.25">
      <c r="A40" s="1"/>
      <c r="B40" s="1"/>
      <c r="C40" s="44"/>
      <c r="D40" s="1"/>
    </row>
    <row r="41" spans="1:4" x14ac:dyDescent="0.25">
      <c r="A41" s="1"/>
      <c r="B41" s="1"/>
      <c r="C41" s="44"/>
      <c r="D41" s="1"/>
    </row>
    <row r="42" spans="1:4" x14ac:dyDescent="0.25">
      <c r="A42" s="1"/>
      <c r="B42" s="1"/>
      <c r="C42" s="44"/>
      <c r="D42" s="1"/>
    </row>
    <row r="43" spans="1:4" x14ac:dyDescent="0.25">
      <c r="A43" s="1"/>
      <c r="B43" s="1"/>
      <c r="C43" s="44"/>
      <c r="D43" s="1"/>
    </row>
    <row r="44" spans="1:4" x14ac:dyDescent="0.25">
      <c r="A44" s="1"/>
      <c r="B44" s="1"/>
      <c r="C44" s="44"/>
      <c r="D44" s="1"/>
    </row>
    <row r="45" spans="1:4" x14ac:dyDescent="0.25">
      <c r="A45" s="1"/>
      <c r="B45" s="1"/>
      <c r="C45" s="44"/>
      <c r="D45" s="1"/>
    </row>
    <row r="46" spans="1:4" x14ac:dyDescent="0.25">
      <c r="A46" s="1"/>
      <c r="B46" s="1"/>
      <c r="C46" s="44"/>
      <c r="D46" s="1"/>
    </row>
    <row r="47" spans="1:4" x14ac:dyDescent="0.25">
      <c r="A47" s="1"/>
      <c r="B47" s="1"/>
      <c r="C47" s="44"/>
      <c r="D47" s="1"/>
    </row>
    <row r="48" spans="1:4" x14ac:dyDescent="0.25">
      <c r="A48" s="1"/>
      <c r="B48" s="1"/>
      <c r="C48" s="44"/>
      <c r="D48" s="1"/>
    </row>
    <row r="49" spans="1:4" x14ac:dyDescent="0.25">
      <c r="A49" s="1"/>
      <c r="B49" s="1"/>
      <c r="C49" s="44"/>
      <c r="D49" s="1"/>
    </row>
    <row r="50" spans="1:4" x14ac:dyDescent="0.25">
      <c r="A50" s="55"/>
      <c r="B50" s="55"/>
      <c r="C50" s="93"/>
      <c r="D50" s="55"/>
    </row>
    <row r="51" spans="1:4" x14ac:dyDescent="0.25">
      <c r="A51" s="55"/>
      <c r="B51" s="55"/>
      <c r="C51" s="93"/>
      <c r="D51" s="55"/>
    </row>
    <row r="52" spans="1:4" x14ac:dyDescent="0.25">
      <c r="A52" s="55"/>
      <c r="B52" s="55"/>
      <c r="C52" s="93"/>
      <c r="D52" s="55"/>
    </row>
    <row r="53" spans="1:4" x14ac:dyDescent="0.25">
      <c r="A53" s="55"/>
      <c r="B53" s="55"/>
      <c r="C53" s="93"/>
      <c r="D53" s="55"/>
    </row>
  </sheetData>
  <sheetProtection algorithmName="SHA-512" hashValue="YKgAcwn4P0n3cVwNIwXO87f959o5ic6MTApp7irxYZ+zbFoWgvVhvZbzUK+WVWToIpnZ01ZxcOVjC4JhiBJb5Q==" saltValue="yWRh3/kVzegTMZH07Gii5g=="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5"/>
  <sheetViews>
    <sheetView showGridLines="0" view="pageLayout" zoomScale="110" zoomScaleNormal="100" zoomScalePageLayoutView="110" workbookViewId="0"/>
  </sheetViews>
  <sheetFormatPr defaultColWidth="9"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2" t="s">
        <v>165</v>
      </c>
      <c r="C3" s="112"/>
      <c r="D3" s="112"/>
      <c r="E3" s="1"/>
    </row>
    <row r="4" spans="1:5" ht="15" customHeight="1" x14ac:dyDescent="0.25">
      <c r="A4" s="1"/>
      <c r="B4" s="112"/>
      <c r="C4" s="112"/>
      <c r="D4" s="112"/>
      <c r="E4" s="1"/>
    </row>
    <row r="5" spans="1:5" x14ac:dyDescent="0.25">
      <c r="A5" s="1"/>
      <c r="B5" s="1"/>
      <c r="C5" s="1"/>
      <c r="D5" s="1"/>
      <c r="E5" s="1"/>
    </row>
    <row r="6" spans="1:5" x14ac:dyDescent="0.25">
      <c r="A6" s="1"/>
      <c r="B6" s="1"/>
      <c r="C6" s="1"/>
      <c r="D6" s="1"/>
      <c r="E6" s="1"/>
    </row>
    <row r="7" spans="1:5" x14ac:dyDescent="0.25">
      <c r="A7" s="1"/>
      <c r="B7" s="75" t="s">
        <v>12</v>
      </c>
      <c r="C7" s="76"/>
      <c r="D7" s="19"/>
      <c r="E7" s="1"/>
    </row>
    <row r="8" spans="1:5" x14ac:dyDescent="0.25">
      <c r="A8" s="1"/>
      <c r="B8" s="72" t="s">
        <v>116</v>
      </c>
      <c r="C8" s="7">
        <f>'Fane 3. Omkostninger i ØR2022'!E20</f>
        <v>5824159.2132416377</v>
      </c>
      <c r="D8" s="8" t="s">
        <v>3</v>
      </c>
      <c r="E8" s="1"/>
    </row>
    <row r="9" spans="1:5" ht="17.25" customHeight="1" x14ac:dyDescent="0.25">
      <c r="A9" s="1"/>
      <c r="B9" s="24" t="s">
        <v>35</v>
      </c>
      <c r="C9" s="7">
        <f>'Fane 10.1. Varige tillæg'!C13</f>
        <v>0</v>
      </c>
      <c r="D9" s="8" t="s">
        <v>3</v>
      </c>
      <c r="E9" s="1"/>
    </row>
    <row r="10" spans="1:5" ht="17.25" customHeight="1" x14ac:dyDescent="0.25">
      <c r="A10" s="1"/>
      <c r="B10" s="24" t="s">
        <v>36</v>
      </c>
      <c r="C10" s="9">
        <f>'Fane 10.1. Varige tillæg'!E13</f>
        <v>0</v>
      </c>
      <c r="D10" s="8" t="s">
        <v>3</v>
      </c>
      <c r="E10" s="1"/>
    </row>
    <row r="11" spans="1:5" ht="17.25" customHeight="1" x14ac:dyDescent="0.25">
      <c r="A11" s="1"/>
      <c r="B11" s="24" t="s">
        <v>26</v>
      </c>
      <c r="C11" s="9">
        <f>-'Fane 12. Bortfald'!C14</f>
        <v>0</v>
      </c>
      <c r="D11" s="8" t="s">
        <v>3</v>
      </c>
      <c r="E11" s="1"/>
    </row>
    <row r="12" spans="1:5" ht="17.25" customHeight="1" x14ac:dyDescent="0.25">
      <c r="A12" s="1"/>
      <c r="B12" s="24" t="s">
        <v>25</v>
      </c>
      <c r="C12" s="9">
        <f>-'Fane 12. Bortfald'!E14</f>
        <v>0</v>
      </c>
      <c r="D12" s="8" t="s">
        <v>3</v>
      </c>
      <c r="E12" s="1"/>
    </row>
    <row r="13" spans="1:5" ht="17.25" customHeight="1" x14ac:dyDescent="0.25">
      <c r="A13" s="1"/>
      <c r="B13" s="24" t="s">
        <v>114</v>
      </c>
      <c r="C13" s="9">
        <f>'Fane 11. Tilknyttet virksomhed'!C12</f>
        <v>0</v>
      </c>
      <c r="D13" s="8" t="s">
        <v>3</v>
      </c>
      <c r="E13" s="1"/>
    </row>
    <row r="14" spans="1:5" ht="17.25" customHeight="1" x14ac:dyDescent="0.25">
      <c r="A14" s="1"/>
      <c r="B14" s="24" t="s">
        <v>115</v>
      </c>
      <c r="C14" s="9">
        <f>'Fane 11. Tilknyttet virksomhed'!E12</f>
        <v>0</v>
      </c>
      <c r="D14" s="8" t="s">
        <v>3</v>
      </c>
      <c r="E14" s="1"/>
    </row>
    <row r="15" spans="1:5" ht="17.25" customHeight="1" x14ac:dyDescent="0.25">
      <c r="A15" s="1"/>
      <c r="B15" s="24" t="s">
        <v>17</v>
      </c>
      <c r="C15" s="9">
        <f>SUM(C8:C14)*'Fane 13. Nøgletal'!C15</f>
        <v>207340.06799140229</v>
      </c>
      <c r="D15" s="8" t="s">
        <v>3</v>
      </c>
      <c r="E15" s="1"/>
    </row>
    <row r="16" spans="1:5" ht="17.25" customHeight="1" x14ac:dyDescent="0.25">
      <c r="A16" s="1"/>
      <c r="B16" s="24" t="s">
        <v>9</v>
      </c>
      <c r="C16" s="9">
        <f>-SUM(C8,C9:C15)*'Fane 5. Individuelt eff. krav'!G9</f>
        <v>0</v>
      </c>
      <c r="D16" s="8" t="s">
        <v>3</v>
      </c>
      <c r="E16" s="1"/>
    </row>
    <row r="17" spans="1:5" ht="17.25" customHeight="1" x14ac:dyDescent="0.25">
      <c r="A17" s="1"/>
      <c r="B17" s="24" t="s">
        <v>23</v>
      </c>
      <c r="C17" s="9">
        <f>-'Fane 4.1. Gen. krav - drift'!G44</f>
        <v>-59908.346133595784</v>
      </c>
      <c r="D17" s="8" t="s">
        <v>3</v>
      </c>
      <c r="E17" s="1"/>
    </row>
    <row r="18" spans="1:5" ht="17.25" customHeight="1" x14ac:dyDescent="0.25">
      <c r="A18" s="1"/>
      <c r="B18" s="24" t="s">
        <v>24</v>
      </c>
      <c r="C18" s="9">
        <f>-'Fane 4.2. Gen. krav - anlæg'!G44</f>
        <v>0</v>
      </c>
      <c r="D18" s="8" t="s">
        <v>3</v>
      </c>
      <c r="E18" s="1"/>
    </row>
    <row r="19" spans="1:5" ht="17.25" customHeight="1" x14ac:dyDescent="0.25">
      <c r="A19" s="1"/>
      <c r="B19" s="51" t="s">
        <v>19</v>
      </c>
      <c r="C19" s="10">
        <f>SUM(C8,C9:C18)</f>
        <v>5971590.9350994444</v>
      </c>
      <c r="D19" s="11" t="s">
        <v>3</v>
      </c>
      <c r="E19" s="1"/>
    </row>
    <row r="20" spans="1:5" ht="15" customHeight="1" x14ac:dyDescent="0.25">
      <c r="A20" s="1"/>
      <c r="B20" s="75" t="s">
        <v>11</v>
      </c>
      <c r="C20" s="76"/>
      <c r="D20" s="19"/>
      <c r="E20" s="1"/>
    </row>
    <row r="21" spans="1:5" ht="15" customHeight="1" x14ac:dyDescent="0.25">
      <c r="A21" s="1"/>
      <c r="B21" s="69" t="s">
        <v>11</v>
      </c>
      <c r="C21" s="10">
        <f>'Fane 6. Ikke-påvirkelige omk.'!C15</f>
        <v>6242537.5740360003</v>
      </c>
      <c r="D21" s="11" t="s">
        <v>3</v>
      </c>
      <c r="E21" s="1"/>
    </row>
    <row r="22" spans="1:5" ht="15" customHeight="1" x14ac:dyDescent="0.25">
      <c r="A22" s="1"/>
      <c r="B22" s="75" t="s">
        <v>80</v>
      </c>
      <c r="C22" s="76"/>
      <c r="D22" s="19"/>
      <c r="E22" s="1"/>
    </row>
    <row r="23" spans="1:5" ht="15" customHeight="1" x14ac:dyDescent="0.25">
      <c r="A23" s="1"/>
      <c r="B23" s="24" t="s">
        <v>76</v>
      </c>
      <c r="C23" s="9">
        <f>'Fane 10.2. Engangstillæg'!C13</f>
        <v>0</v>
      </c>
      <c r="D23" s="8" t="s">
        <v>3</v>
      </c>
      <c r="E23" s="1"/>
    </row>
    <row r="24" spans="1:5" ht="15" customHeight="1" x14ac:dyDescent="0.25">
      <c r="A24" s="1"/>
      <c r="B24" s="24" t="s">
        <v>77</v>
      </c>
      <c r="C24" s="9">
        <f>'Fane 10.2. Engangstillæg'!E13</f>
        <v>0</v>
      </c>
      <c r="D24" s="8" t="s">
        <v>3</v>
      </c>
      <c r="E24" s="1"/>
    </row>
    <row r="25" spans="1:5" ht="15" customHeight="1" x14ac:dyDescent="0.25">
      <c r="A25" s="1"/>
      <c r="B25" s="24" t="s">
        <v>201</v>
      </c>
      <c r="C25" s="9">
        <f>-C23*('Fane 13. Nøgletal'!C31+'Fane 5. Individuelt eff. krav'!G9)</f>
        <v>0</v>
      </c>
      <c r="D25" s="8" t="s">
        <v>3</v>
      </c>
      <c r="E25" s="1"/>
    </row>
    <row r="26" spans="1:5" ht="15" customHeight="1" x14ac:dyDescent="0.25">
      <c r="A26" s="1"/>
      <c r="B26" s="24" t="s">
        <v>202</v>
      </c>
      <c r="C26" s="9">
        <f>-C24*('Fane 13. Nøgletal'!C26+'Fane 5. Individuelt eff. krav'!G9)</f>
        <v>0</v>
      </c>
      <c r="D26" s="8" t="s">
        <v>3</v>
      </c>
      <c r="E26" s="1"/>
    </row>
    <row r="27" spans="1:5" x14ac:dyDescent="0.25">
      <c r="A27" s="1"/>
      <c r="B27" s="51" t="s">
        <v>81</v>
      </c>
      <c r="C27" s="50">
        <f>SUM(C23:C26)</f>
        <v>0</v>
      </c>
      <c r="D27" s="11" t="s">
        <v>3</v>
      </c>
      <c r="E27" s="1"/>
    </row>
    <row r="28" spans="1:5" ht="15" customHeight="1" x14ac:dyDescent="0.25">
      <c r="A28" s="1"/>
      <c r="B28" s="26" t="s">
        <v>128</v>
      </c>
      <c r="C28" s="76"/>
      <c r="D28" s="19"/>
      <c r="E28" s="1"/>
    </row>
    <row r="29" spans="1:5" x14ac:dyDescent="0.25">
      <c r="A29" s="1"/>
      <c r="B29" s="84" t="s">
        <v>129</v>
      </c>
      <c r="C29" s="10">
        <f>'Fane 7. Kontrol af ØR2021'!E31</f>
        <v>0</v>
      </c>
      <c r="D29" s="11" t="s">
        <v>3</v>
      </c>
      <c r="E29" s="1"/>
    </row>
    <row r="30" spans="1:5" x14ac:dyDescent="0.25">
      <c r="A30" s="1"/>
      <c r="B30" s="26" t="s">
        <v>153</v>
      </c>
      <c r="C30" s="76"/>
      <c r="D30" s="19"/>
      <c r="E30" s="1"/>
    </row>
    <row r="31" spans="1:5" x14ac:dyDescent="0.25">
      <c r="A31" s="1"/>
      <c r="B31" s="84" t="s">
        <v>154</v>
      </c>
      <c r="C31" s="10">
        <f>'Fane 8. Skattesagen'!G12</f>
        <v>0</v>
      </c>
      <c r="D31" s="11" t="s">
        <v>3</v>
      </c>
      <c r="E31" s="1"/>
    </row>
    <row r="32" spans="1:5" x14ac:dyDescent="0.25">
      <c r="A32" s="1"/>
      <c r="B32" s="75" t="s">
        <v>84</v>
      </c>
      <c r="C32" s="37">
        <f>SUM(C19,C21,C27,C29,C31)</f>
        <v>12214128.509135444</v>
      </c>
      <c r="D32" s="19" t="s">
        <v>3</v>
      </c>
      <c r="E32" s="1"/>
    </row>
    <row r="33" spans="1:5" x14ac:dyDescent="0.25">
      <c r="A33" s="1"/>
      <c r="B33" s="1" t="s">
        <v>203</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3+q3FH8sbkXDUHa5DRjgSnJgA+0MF4JlNk8Eh8nd0M+GoHotYyRqD+vfPC/ixhttOy3uq9Sqn35PR9t7NGnxXw==" saltValue="U0Ub1LpDSGnW2ywEtDnKxA=="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0"/>
  <sheetViews>
    <sheetView showGridLines="0" view="pageLayout" zoomScaleNormal="100" workbookViewId="0"/>
  </sheetViews>
  <sheetFormatPr defaultColWidth="9" defaultRowHeight="15" x14ac:dyDescent="0.25"/>
  <cols>
    <col min="1" max="1" width="5" style="2" customWidth="1"/>
    <col min="2" max="2" width="62.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2" t="s">
        <v>166</v>
      </c>
      <c r="C3" s="112"/>
      <c r="D3" s="112"/>
      <c r="E3" s="1"/>
    </row>
    <row r="4" spans="1:5" ht="15" customHeight="1" x14ac:dyDescent="0.25">
      <c r="A4" s="1"/>
      <c r="B4" s="112"/>
      <c r="C4" s="112"/>
      <c r="D4" s="112"/>
      <c r="E4" s="1"/>
    </row>
    <row r="5" spans="1:5" x14ac:dyDescent="0.25">
      <c r="A5" s="1"/>
      <c r="B5" s="113"/>
      <c r="C5" s="113"/>
      <c r="D5" s="113"/>
      <c r="E5" s="1"/>
    </row>
    <row r="6" spans="1:5" x14ac:dyDescent="0.25">
      <c r="A6" s="1"/>
      <c r="B6" s="1"/>
      <c r="C6" s="1"/>
      <c r="D6" s="1"/>
      <c r="E6" s="1"/>
    </row>
    <row r="7" spans="1:5" x14ac:dyDescent="0.25">
      <c r="A7" s="1"/>
      <c r="B7" s="75" t="s">
        <v>12</v>
      </c>
      <c r="C7" s="76"/>
      <c r="D7" s="19"/>
      <c r="E7" s="1"/>
    </row>
    <row r="8" spans="1:5" ht="15" customHeight="1" x14ac:dyDescent="0.25">
      <c r="A8" s="1"/>
      <c r="B8" s="72" t="s">
        <v>117</v>
      </c>
      <c r="C8" s="7">
        <f>'Fane 2.1. Økonomisk ramme 2023'!C19</f>
        <v>5971590.9350994444</v>
      </c>
      <c r="D8" s="8" t="s">
        <v>3</v>
      </c>
      <c r="E8" s="1"/>
    </row>
    <row r="9" spans="1:5" ht="15" customHeight="1" x14ac:dyDescent="0.25">
      <c r="A9" s="1"/>
      <c r="B9" s="68" t="s">
        <v>17</v>
      </c>
      <c r="C9" s="9">
        <f>SUM(C8:C8)*'Fane 13. Nøgletal'!C15</f>
        <v>212588.63728954023</v>
      </c>
      <c r="D9" s="8" t="s">
        <v>3</v>
      </c>
      <c r="E9" s="1"/>
    </row>
    <row r="10" spans="1:5" ht="15" customHeight="1" x14ac:dyDescent="0.25">
      <c r="A10" s="1"/>
      <c r="B10" s="68" t="s">
        <v>9</v>
      </c>
      <c r="C10" s="9">
        <f>-SUM(C8:C9)*'Fane 5. Individuelt eff. krav'!G9</f>
        <v>0</v>
      </c>
      <c r="D10" s="8" t="s">
        <v>3</v>
      </c>
      <c r="E10" s="1"/>
    </row>
    <row r="11" spans="1:5" ht="15" customHeight="1" x14ac:dyDescent="0.25">
      <c r="A11" s="1"/>
      <c r="B11" s="68" t="s">
        <v>23</v>
      </c>
      <c r="C11" s="9">
        <f>-'Fane 4.1. Gen. krav - drift'!G50</f>
        <v>-60800.261590832764</v>
      </c>
      <c r="D11" s="8" t="s">
        <v>3</v>
      </c>
      <c r="E11" s="1"/>
    </row>
    <row r="12" spans="1:5" ht="15" customHeight="1" x14ac:dyDescent="0.25">
      <c r="A12" s="1"/>
      <c r="B12" s="68" t="s">
        <v>24</v>
      </c>
      <c r="C12" s="9">
        <f>-'Fane 4.2. Gen. krav - anlæg'!G54</f>
        <v>0</v>
      </c>
      <c r="D12" s="8" t="s">
        <v>3</v>
      </c>
      <c r="E12" s="1"/>
    </row>
    <row r="13" spans="1:5" ht="15" customHeight="1" x14ac:dyDescent="0.25">
      <c r="A13" s="1"/>
      <c r="B13" s="34" t="s">
        <v>19</v>
      </c>
      <c r="C13" s="10">
        <f>SUM(C8:C12)</f>
        <v>6123379.3107981514</v>
      </c>
      <c r="D13" s="11" t="s">
        <v>3</v>
      </c>
      <c r="E13" s="1"/>
    </row>
    <row r="14" spans="1:5" x14ac:dyDescent="0.25">
      <c r="A14" s="1"/>
      <c r="B14" s="75" t="s">
        <v>11</v>
      </c>
      <c r="C14" s="76"/>
      <c r="D14" s="19"/>
      <c r="E14" s="1"/>
    </row>
    <row r="15" spans="1:5" ht="15" customHeight="1" x14ac:dyDescent="0.25">
      <c r="A15" s="1"/>
      <c r="B15" s="69" t="s">
        <v>11</v>
      </c>
      <c r="C15" s="10">
        <f>'Fane 6. Ikke-påvirkelige omk.'!C15*(1+'Fane 13. Nøgletal'!C15)</f>
        <v>6464771.9116716823</v>
      </c>
      <c r="D15" s="11" t="s">
        <v>3</v>
      </c>
      <c r="E15" s="1"/>
    </row>
    <row r="16" spans="1:5" x14ac:dyDescent="0.25">
      <c r="A16" s="1"/>
      <c r="B16" s="26" t="s">
        <v>128</v>
      </c>
      <c r="C16" s="76"/>
      <c r="D16" s="19"/>
      <c r="E16" s="1"/>
    </row>
    <row r="17" spans="1:5" ht="15" customHeight="1" x14ac:dyDescent="0.25">
      <c r="A17" s="1"/>
      <c r="B17" s="84" t="s">
        <v>129</v>
      </c>
      <c r="C17" s="10">
        <f>'Fane 7. Kontrol af ØR2021'!E31</f>
        <v>0</v>
      </c>
      <c r="D17" s="11" t="s">
        <v>3</v>
      </c>
      <c r="E17" s="1"/>
    </row>
    <row r="18" spans="1:5" x14ac:dyDescent="0.25">
      <c r="A18" s="1"/>
      <c r="B18" s="26" t="s">
        <v>153</v>
      </c>
      <c r="C18" s="76"/>
      <c r="D18" s="19"/>
      <c r="E18" s="1"/>
    </row>
    <row r="19" spans="1:5" x14ac:dyDescent="0.25">
      <c r="A19" s="1"/>
      <c r="B19" s="84" t="s">
        <v>154</v>
      </c>
      <c r="C19" s="10">
        <f>'Fane 8. Skattesagen'!G13</f>
        <v>0</v>
      </c>
      <c r="D19" s="11" t="s">
        <v>3</v>
      </c>
      <c r="E19" s="1"/>
    </row>
    <row r="20" spans="1:5" x14ac:dyDescent="0.25">
      <c r="A20" s="1"/>
      <c r="B20" s="75" t="s">
        <v>138</v>
      </c>
      <c r="C20" s="12">
        <f>SUM(C13,C15,C17,C19)</f>
        <v>12588151.222469833</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sheetData>
  <sheetProtection algorithmName="SHA-512" hashValue="rgjYd7Pi8jcUT19jq7VgHcMURUxMbO50hi0aq4tKldv3p031phCf5FshJHq7cjI5sshWiBHRKE4axYfZhhqQYw==" saltValue="ay7WhEKjwZ3jHe9TZQpy4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1"/>
  <sheetViews>
    <sheetView showGridLines="0" view="pageLayout" zoomScaleNormal="100" workbookViewId="0"/>
  </sheetViews>
  <sheetFormatPr defaultColWidth="9" defaultRowHeight="15" x14ac:dyDescent="0.25"/>
  <cols>
    <col min="1" max="1" width="5" style="2" customWidth="1"/>
    <col min="2" max="2" width="63.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2" t="s">
        <v>167</v>
      </c>
      <c r="C3" s="112"/>
      <c r="D3" s="112"/>
      <c r="E3" s="1"/>
    </row>
    <row r="4" spans="1:5" ht="15" customHeight="1" x14ac:dyDescent="0.25">
      <c r="A4" s="1"/>
      <c r="B4" s="112"/>
      <c r="C4" s="112"/>
      <c r="D4" s="112"/>
      <c r="E4" s="1"/>
    </row>
    <row r="5" spans="1:5" x14ac:dyDescent="0.25">
      <c r="A5" s="1"/>
      <c r="B5" s="113" t="s">
        <v>20</v>
      </c>
      <c r="C5" s="113"/>
      <c r="D5" s="113"/>
      <c r="E5" s="1"/>
    </row>
    <row r="6" spans="1:5" x14ac:dyDescent="0.25">
      <c r="A6" s="1"/>
      <c r="B6" s="1"/>
      <c r="C6" s="1"/>
      <c r="D6" s="1"/>
      <c r="E6" s="1"/>
    </row>
    <row r="7" spans="1:5" x14ac:dyDescent="0.25">
      <c r="A7" s="1"/>
      <c r="B7" s="75" t="s">
        <v>12</v>
      </c>
      <c r="C7" s="76"/>
      <c r="D7" s="19"/>
      <c r="E7" s="1"/>
    </row>
    <row r="8" spans="1:5" ht="15" customHeight="1" x14ac:dyDescent="0.25">
      <c r="A8" s="1"/>
      <c r="B8" s="72" t="s">
        <v>139</v>
      </c>
      <c r="C8" s="7">
        <f>'Fane 2.2. Økonomisk ramme 2024'!C13</f>
        <v>6123379.3107981514</v>
      </c>
      <c r="D8" s="8" t="s">
        <v>3</v>
      </c>
      <c r="E8" s="1"/>
    </row>
    <row r="9" spans="1:5" ht="15" customHeight="1" x14ac:dyDescent="0.25">
      <c r="A9" s="1"/>
      <c r="B9" s="68" t="s">
        <v>17</v>
      </c>
      <c r="C9" s="9">
        <f>SUM(C8:C8)*'Fane 13. Nøgletal'!C15</f>
        <v>217992.3034644142</v>
      </c>
      <c r="D9" s="8" t="s">
        <v>3</v>
      </c>
      <c r="E9" s="1"/>
    </row>
    <row r="10" spans="1:5" ht="15" customHeight="1" x14ac:dyDescent="0.25">
      <c r="A10" s="1"/>
      <c r="B10" s="68" t="s">
        <v>9</v>
      </c>
      <c r="C10" s="9">
        <f>-SUM(C8:C9)*'Fane 5. Individuelt eff. krav'!G9</f>
        <v>0</v>
      </c>
      <c r="D10" s="8" t="s">
        <v>3</v>
      </c>
      <c r="E10" s="1"/>
    </row>
    <row r="11" spans="1:5" ht="15" customHeight="1" x14ac:dyDescent="0.25">
      <c r="A11" s="1"/>
      <c r="B11" s="68" t="s">
        <v>23</v>
      </c>
      <c r="C11" s="9">
        <f>-'Fane 4.1. Gen. krav - drift'!G56</f>
        <v>-61705.455885397088</v>
      </c>
      <c r="D11" s="8" t="s">
        <v>3</v>
      </c>
      <c r="E11" s="1"/>
    </row>
    <row r="12" spans="1:5" ht="15" customHeight="1" x14ac:dyDescent="0.25">
      <c r="A12" s="1"/>
      <c r="B12" s="68" t="s">
        <v>24</v>
      </c>
      <c r="C12" s="28">
        <f>-'Fane 4.2. Gen. krav - anlæg'!G60</f>
        <v>0</v>
      </c>
      <c r="D12" s="8" t="s">
        <v>3</v>
      </c>
      <c r="E12" s="1"/>
    </row>
    <row r="13" spans="1:5" x14ac:dyDescent="0.25">
      <c r="A13" s="1"/>
      <c r="B13" s="34" t="s">
        <v>19</v>
      </c>
      <c r="C13" s="10">
        <f>SUM(C8:C12)</f>
        <v>6279666.1583771687</v>
      </c>
      <c r="D13" s="11" t="s">
        <v>3</v>
      </c>
      <c r="E13" s="1"/>
    </row>
    <row r="14" spans="1:5" x14ac:dyDescent="0.25">
      <c r="A14" s="1"/>
      <c r="B14" s="75" t="s">
        <v>11</v>
      </c>
      <c r="C14" s="76"/>
      <c r="D14" s="19"/>
      <c r="E14" s="1"/>
    </row>
    <row r="15" spans="1:5" ht="15" customHeight="1" x14ac:dyDescent="0.25">
      <c r="A15" s="1"/>
      <c r="B15" s="69" t="s">
        <v>11</v>
      </c>
      <c r="C15" s="10">
        <f>'Fane 6. Ikke-påvirkelige omk.'!C15*(1+'Fane 13. Nøgletal'!C15)^2</f>
        <v>6694917.7917271946</v>
      </c>
      <c r="D15" s="11" t="s">
        <v>3</v>
      </c>
      <c r="E15" s="1"/>
    </row>
    <row r="16" spans="1:5" x14ac:dyDescent="0.25">
      <c r="A16" s="1"/>
      <c r="B16" s="75" t="s">
        <v>128</v>
      </c>
      <c r="C16" s="76"/>
      <c r="D16" s="19"/>
      <c r="E16" s="1"/>
    </row>
    <row r="17" spans="1:5" x14ac:dyDescent="0.25">
      <c r="A17" s="1"/>
      <c r="B17" s="69" t="s">
        <v>129</v>
      </c>
      <c r="C17" s="10">
        <v>0</v>
      </c>
      <c r="D17" s="11" t="s">
        <v>3</v>
      </c>
      <c r="E17" s="1"/>
    </row>
    <row r="18" spans="1:5" ht="15" customHeight="1" x14ac:dyDescent="0.25">
      <c r="A18" s="1"/>
      <c r="B18" s="26" t="s">
        <v>153</v>
      </c>
      <c r="C18" s="76"/>
      <c r="D18" s="19"/>
      <c r="E18" s="1"/>
    </row>
    <row r="19" spans="1:5" ht="15" customHeight="1" x14ac:dyDescent="0.25">
      <c r="A19" s="1"/>
      <c r="B19" s="84" t="s">
        <v>154</v>
      </c>
      <c r="C19" s="10">
        <f>'Fane 8. Skattesagen'!G14</f>
        <v>0</v>
      </c>
      <c r="D19" s="11" t="s">
        <v>3</v>
      </c>
      <c r="E19" s="1"/>
    </row>
    <row r="20" spans="1:5" x14ac:dyDescent="0.25">
      <c r="A20" s="1"/>
      <c r="B20" s="75" t="s">
        <v>140</v>
      </c>
      <c r="C20" s="12">
        <f>SUM(C13,C15,C17,C19)</f>
        <v>12974583.950104363</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jmcd91FE+eWi7XAqQpL8+RMElIX3fMRuXMJKLOc3ckKdLmSINeUID4CoxooLsAfs5fwZTYGZEkVLni2PtfV1jw==" saltValue="vIQONA+kyk0OMxrCP3HHm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1"/>
  <sheetViews>
    <sheetView showGridLines="0" view="pageLayout" zoomScaleNormal="100" workbookViewId="0"/>
  </sheetViews>
  <sheetFormatPr defaultColWidth="9" defaultRowHeight="15" x14ac:dyDescent="0.25"/>
  <cols>
    <col min="1" max="1" width="5" style="2" customWidth="1"/>
    <col min="2" max="2" width="63"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2" t="s">
        <v>168</v>
      </c>
      <c r="C3" s="112"/>
      <c r="D3" s="112"/>
      <c r="E3" s="1"/>
    </row>
    <row r="4" spans="1:5" ht="15" customHeight="1" x14ac:dyDescent="0.25">
      <c r="A4" s="1"/>
      <c r="B4" s="112"/>
      <c r="C4" s="112"/>
      <c r="D4" s="112"/>
      <c r="E4" s="1"/>
    </row>
    <row r="5" spans="1:5" x14ac:dyDescent="0.25">
      <c r="A5" s="1"/>
      <c r="B5" s="113" t="s">
        <v>20</v>
      </c>
      <c r="C5" s="113"/>
      <c r="D5" s="113"/>
      <c r="E5" s="1"/>
    </row>
    <row r="6" spans="1:5" x14ac:dyDescent="0.25">
      <c r="A6" s="1"/>
      <c r="B6" s="1"/>
      <c r="C6" s="1"/>
      <c r="D6" s="1"/>
      <c r="E6" s="1"/>
    </row>
    <row r="7" spans="1:5" x14ac:dyDescent="0.25">
      <c r="A7" s="1"/>
      <c r="B7" s="75" t="s">
        <v>12</v>
      </c>
      <c r="C7" s="76"/>
      <c r="D7" s="19"/>
      <c r="E7" s="1"/>
    </row>
    <row r="8" spans="1:5" ht="15" customHeight="1" x14ac:dyDescent="0.25">
      <c r="A8" s="1"/>
      <c r="B8" s="72" t="s">
        <v>169</v>
      </c>
      <c r="C8" s="7">
        <f>'Fane 2.3. Økonomisk ramme 2025'!C13</f>
        <v>6279666.1583771687</v>
      </c>
      <c r="D8" s="8" t="s">
        <v>3</v>
      </c>
      <c r="E8" s="1"/>
    </row>
    <row r="9" spans="1:5" ht="15" customHeight="1" x14ac:dyDescent="0.25">
      <c r="A9" s="1"/>
      <c r="B9" s="68" t="s">
        <v>17</v>
      </c>
      <c r="C9" s="9">
        <f>SUM(C8:C8)*'Fane 13. Nøgletal'!C15</f>
        <v>223556.11523822721</v>
      </c>
      <c r="D9" s="8" t="s">
        <v>3</v>
      </c>
      <c r="E9" s="1"/>
    </row>
    <row r="10" spans="1:5" ht="15" customHeight="1" x14ac:dyDescent="0.25">
      <c r="A10" s="1"/>
      <c r="B10" s="68" t="s">
        <v>9</v>
      </c>
      <c r="C10" s="9">
        <f>-SUM(C8:C9)*'Fane 5. Individuelt eff. krav'!G9</f>
        <v>0</v>
      </c>
      <c r="D10" s="8" t="s">
        <v>3</v>
      </c>
      <c r="E10" s="1"/>
    </row>
    <row r="11" spans="1:5" ht="15" customHeight="1" x14ac:dyDescent="0.25">
      <c r="A11" s="1"/>
      <c r="B11" s="68" t="s">
        <v>23</v>
      </c>
      <c r="C11" s="9">
        <f>-'Fane 4.1. Gen. krav - drift'!G61</f>
        <v>-62624.126712618883</v>
      </c>
      <c r="D11" s="8" t="s">
        <v>3</v>
      </c>
      <c r="E11" s="1"/>
    </row>
    <row r="12" spans="1:5" ht="15" customHeight="1" x14ac:dyDescent="0.25">
      <c r="A12" s="1"/>
      <c r="B12" s="68" t="s">
        <v>24</v>
      </c>
      <c r="C12" s="9">
        <f>-'Fane 4.2. Gen. krav - anlæg'!G65</f>
        <v>0</v>
      </c>
      <c r="D12" s="8" t="s">
        <v>3</v>
      </c>
      <c r="E12" s="1"/>
    </row>
    <row r="13" spans="1:5" x14ac:dyDescent="0.25">
      <c r="A13" s="1"/>
      <c r="B13" s="34" t="s">
        <v>19</v>
      </c>
      <c r="C13" s="10">
        <f>SUM(C8:C12)</f>
        <v>6440598.1469027763</v>
      </c>
      <c r="D13" s="11" t="s">
        <v>3</v>
      </c>
      <c r="E13" s="1"/>
    </row>
    <row r="14" spans="1:5" x14ac:dyDescent="0.25">
      <c r="A14" s="1"/>
      <c r="B14" s="75" t="s">
        <v>11</v>
      </c>
      <c r="C14" s="76"/>
      <c r="D14" s="19"/>
      <c r="E14" s="1"/>
    </row>
    <row r="15" spans="1:5" ht="15" customHeight="1" x14ac:dyDescent="0.25">
      <c r="A15" s="1"/>
      <c r="B15" s="69" t="s">
        <v>11</v>
      </c>
      <c r="C15" s="10">
        <f>'Fane 6. Ikke-påvirkelige omk.'!C15*(1+'Fane 13. Nøgletal'!C15)^3</f>
        <v>6933256.8651126828</v>
      </c>
      <c r="D15" s="11" t="s">
        <v>3</v>
      </c>
      <c r="E15" s="1"/>
    </row>
    <row r="16" spans="1:5" x14ac:dyDescent="0.25">
      <c r="A16" s="1"/>
      <c r="B16" s="75" t="s">
        <v>128</v>
      </c>
      <c r="C16" s="76"/>
      <c r="D16" s="19"/>
      <c r="E16" s="1"/>
    </row>
    <row r="17" spans="1:5" x14ac:dyDescent="0.25">
      <c r="A17" s="1"/>
      <c r="B17" s="69" t="s">
        <v>129</v>
      </c>
      <c r="C17" s="10">
        <v>0</v>
      </c>
      <c r="D17" s="11" t="s">
        <v>3</v>
      </c>
      <c r="E17" s="1"/>
    </row>
    <row r="18" spans="1:5" x14ac:dyDescent="0.25">
      <c r="A18" s="1"/>
      <c r="B18" s="26" t="s">
        <v>153</v>
      </c>
      <c r="C18" s="76"/>
      <c r="D18" s="19"/>
      <c r="E18" s="1"/>
    </row>
    <row r="19" spans="1:5" x14ac:dyDescent="0.25">
      <c r="A19" s="1"/>
      <c r="B19" s="84" t="s">
        <v>154</v>
      </c>
      <c r="C19" s="10">
        <f>'Fane 8. Skattesagen'!G15</f>
        <v>0</v>
      </c>
      <c r="D19" s="11" t="s">
        <v>3</v>
      </c>
      <c r="E19" s="1"/>
    </row>
    <row r="20" spans="1:5" x14ac:dyDescent="0.25">
      <c r="A20" s="1"/>
      <c r="B20" s="75" t="s">
        <v>170</v>
      </c>
      <c r="C20" s="12">
        <f>SUM(C13,C15,C17,C19)</f>
        <v>13373855.012015458</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WZPLaprtZizaZbKdNQRx5JgNG98pWLm33E2HZQBgk3Houbq8NK4gyExuUpACdTE0Uhngu9XRDm19cimOi28QWQ==" saltValue="Tr8cECMaL96CmKI+PhCIr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 defaultRowHeight="15" x14ac:dyDescent="0.25"/>
  <cols>
    <col min="1" max="1" width="7.85546875" style="2" customWidth="1"/>
    <col min="2" max="2" width="51.7109375" style="2" customWidth="1"/>
    <col min="3" max="3" width="9" style="2" hidden="1" customWidth="1"/>
    <col min="4" max="4" width="39.28515625" style="2" hidden="1" customWidth="1"/>
    <col min="5" max="5" width="11" style="2" customWidth="1"/>
    <col min="6" max="6" width="4.5703125" style="2" customWidth="1"/>
    <col min="7" max="7" width="8.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0" t="s">
        <v>171</v>
      </c>
      <c r="C3" s="120"/>
      <c r="D3" s="120"/>
      <c r="E3" s="120"/>
      <c r="F3" s="120"/>
      <c r="G3" s="1"/>
    </row>
    <row r="4" spans="1:7" ht="29.25" customHeight="1" x14ac:dyDescent="0.25">
      <c r="A4" s="1"/>
      <c r="B4" s="120"/>
      <c r="C4" s="120"/>
      <c r="D4" s="120"/>
      <c r="E4" s="120"/>
      <c r="F4" s="12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85" t="s">
        <v>172</v>
      </c>
      <c r="C8" s="86"/>
      <c r="D8" s="86"/>
      <c r="E8" s="86"/>
      <c r="F8" s="19"/>
      <c r="G8" s="1"/>
    </row>
    <row r="9" spans="1:7" x14ac:dyDescent="0.25">
      <c r="A9" s="1"/>
      <c r="B9" s="121" t="s">
        <v>22</v>
      </c>
      <c r="C9" s="122"/>
      <c r="D9" s="123"/>
      <c r="E9" s="7">
        <v>5894181.6058945134</v>
      </c>
      <c r="F9" s="8" t="s">
        <v>3</v>
      </c>
      <c r="G9" s="1"/>
    </row>
    <row r="10" spans="1:7" ht="15" customHeight="1" x14ac:dyDescent="0.25">
      <c r="A10" s="1"/>
      <c r="B10" s="114" t="s">
        <v>35</v>
      </c>
      <c r="C10" s="115"/>
      <c r="D10" s="116"/>
      <c r="E10" s="9">
        <v>0</v>
      </c>
      <c r="F10" s="8" t="s">
        <v>3</v>
      </c>
      <c r="G10" s="1"/>
    </row>
    <row r="11" spans="1:7" ht="15" customHeight="1" x14ac:dyDescent="0.25">
      <c r="A11" s="1"/>
      <c r="B11" s="114" t="s">
        <v>36</v>
      </c>
      <c r="C11" s="115"/>
      <c r="D11" s="116"/>
      <c r="E11" s="9">
        <v>0</v>
      </c>
      <c r="F11" s="8" t="s">
        <v>3</v>
      </c>
      <c r="G11" s="1"/>
    </row>
    <row r="12" spans="1:7" x14ac:dyDescent="0.25">
      <c r="A12" s="1"/>
      <c r="B12" s="114" t="s">
        <v>26</v>
      </c>
      <c r="C12" s="115"/>
      <c r="D12" s="116"/>
      <c r="E12" s="9">
        <v>0</v>
      </c>
      <c r="F12" s="8" t="s">
        <v>3</v>
      </c>
      <c r="G12" s="1"/>
    </row>
    <row r="13" spans="1:7" x14ac:dyDescent="0.25">
      <c r="A13" s="1"/>
      <c r="B13" s="114" t="s">
        <v>25</v>
      </c>
      <c r="C13" s="115"/>
      <c r="D13" s="116"/>
      <c r="E13" s="9">
        <v>0</v>
      </c>
      <c r="F13" s="8" t="s">
        <v>3</v>
      </c>
      <c r="G13" s="1"/>
    </row>
    <row r="14" spans="1:7" x14ac:dyDescent="0.25">
      <c r="A14" s="1"/>
      <c r="B14" s="114" t="s">
        <v>114</v>
      </c>
      <c r="C14" s="115"/>
      <c r="D14" s="116"/>
      <c r="E14" s="9">
        <v>0</v>
      </c>
      <c r="F14" s="8" t="s">
        <v>3</v>
      </c>
      <c r="G14" s="1"/>
    </row>
    <row r="15" spans="1:7" x14ac:dyDescent="0.25">
      <c r="A15" s="1"/>
      <c r="B15" s="114" t="s">
        <v>115</v>
      </c>
      <c r="C15" s="115"/>
      <c r="D15" s="116"/>
      <c r="E15" s="9">
        <v>0</v>
      </c>
      <c r="F15" s="8" t="s">
        <v>3</v>
      </c>
      <c r="G15" s="1"/>
    </row>
    <row r="16" spans="1:7" x14ac:dyDescent="0.25">
      <c r="A16" s="1"/>
      <c r="B16" s="114" t="s">
        <v>17</v>
      </c>
      <c r="C16" s="115"/>
      <c r="D16" s="116"/>
      <c r="E16" s="9">
        <v>71909.015591913063</v>
      </c>
      <c r="F16" s="8" t="s">
        <v>3</v>
      </c>
      <c r="G16" s="31"/>
    </row>
    <row r="17" spans="1:7" x14ac:dyDescent="0.25">
      <c r="A17" s="1"/>
      <c r="B17" s="114" t="s">
        <v>9</v>
      </c>
      <c r="C17" s="115"/>
      <c r="D17" s="116"/>
      <c r="E17" s="9">
        <v>0</v>
      </c>
      <c r="F17" s="8" t="s">
        <v>3</v>
      </c>
      <c r="G17" s="1"/>
    </row>
    <row r="18" spans="1:7" x14ac:dyDescent="0.25">
      <c r="A18" s="1"/>
      <c r="B18" s="114" t="s">
        <v>23</v>
      </c>
      <c r="C18" s="115"/>
      <c r="D18" s="116"/>
      <c r="E18" s="9">
        <v>-59029.514650461599</v>
      </c>
      <c r="F18" s="8" t="s">
        <v>3</v>
      </c>
      <c r="G18" s="1"/>
    </row>
    <row r="19" spans="1:7" x14ac:dyDescent="0.25">
      <c r="A19" s="1"/>
      <c r="B19" s="114" t="s">
        <v>24</v>
      </c>
      <c r="C19" s="115"/>
      <c r="D19" s="116"/>
      <c r="E19" s="9">
        <v>-82901.893594327499</v>
      </c>
      <c r="F19" s="8" t="s">
        <v>3</v>
      </c>
      <c r="G19" s="1"/>
    </row>
    <row r="20" spans="1:7" x14ac:dyDescent="0.25">
      <c r="A20" s="1"/>
      <c r="B20" s="127" t="s">
        <v>19</v>
      </c>
      <c r="C20" s="128"/>
      <c r="D20" s="129"/>
      <c r="E20" s="32">
        <f>SUM(E9:E19)</f>
        <v>5824159.2132416377</v>
      </c>
      <c r="F20" s="35" t="s">
        <v>3</v>
      </c>
      <c r="G20" s="1"/>
    </row>
    <row r="21" spans="1:7" x14ac:dyDescent="0.25">
      <c r="A21" s="1"/>
      <c r="B21" s="85" t="s">
        <v>11</v>
      </c>
      <c r="C21" s="86"/>
      <c r="D21" s="86"/>
      <c r="E21" s="86"/>
      <c r="F21" s="19"/>
      <c r="G21" s="1"/>
    </row>
    <row r="22" spans="1:7" x14ac:dyDescent="0.25">
      <c r="A22" s="1"/>
      <c r="B22" s="117" t="s">
        <v>11</v>
      </c>
      <c r="C22" s="118"/>
      <c r="D22" s="119"/>
      <c r="E22" s="10">
        <v>5766925.1259653913</v>
      </c>
      <c r="F22" s="11" t="s">
        <v>3</v>
      </c>
      <c r="G22" s="1"/>
    </row>
    <row r="23" spans="1:7" ht="15" customHeight="1" x14ac:dyDescent="0.25">
      <c r="A23" s="1"/>
      <c r="B23" s="133" t="s">
        <v>80</v>
      </c>
      <c r="C23" s="134"/>
      <c r="D23" s="134"/>
      <c r="E23" s="86"/>
      <c r="F23" s="19"/>
      <c r="G23" s="1"/>
    </row>
    <row r="24" spans="1:7" ht="14.25" customHeight="1" x14ac:dyDescent="0.25">
      <c r="A24" s="1"/>
      <c r="B24" s="124" t="s">
        <v>76</v>
      </c>
      <c r="C24" s="125"/>
      <c r="D24" s="126"/>
      <c r="E24" s="9">
        <v>0</v>
      </c>
      <c r="F24" s="8" t="s">
        <v>3</v>
      </c>
      <c r="G24" s="1"/>
    </row>
    <row r="25" spans="1:7" ht="14.25" customHeight="1" x14ac:dyDescent="0.25">
      <c r="A25" s="1"/>
      <c r="B25" s="124" t="s">
        <v>77</v>
      </c>
      <c r="C25" s="125"/>
      <c r="D25" s="126"/>
      <c r="E25" s="9">
        <v>0</v>
      </c>
      <c r="F25" s="8" t="s">
        <v>3</v>
      </c>
      <c r="G25" s="1"/>
    </row>
    <row r="26" spans="1:7" x14ac:dyDescent="0.25">
      <c r="A26" s="1"/>
      <c r="B26" s="130" t="s">
        <v>81</v>
      </c>
      <c r="C26" s="131"/>
      <c r="D26" s="131"/>
      <c r="E26" s="10">
        <v>0</v>
      </c>
      <c r="F26" s="11" t="s">
        <v>3</v>
      </c>
      <c r="G26" s="1"/>
    </row>
    <row r="27" spans="1:7" x14ac:dyDescent="0.25">
      <c r="A27" s="1"/>
      <c r="B27" s="85" t="s">
        <v>128</v>
      </c>
      <c r="C27" s="86"/>
      <c r="D27" s="86"/>
      <c r="E27" s="86"/>
      <c r="F27" s="19"/>
      <c r="G27" s="1"/>
    </row>
    <row r="28" spans="1:7" ht="15" customHeight="1" x14ac:dyDescent="0.25">
      <c r="A28" s="1"/>
      <c r="B28" s="130" t="s">
        <v>129</v>
      </c>
      <c r="C28" s="131"/>
      <c r="D28" s="132"/>
      <c r="E28" s="10">
        <v>0</v>
      </c>
      <c r="F28" s="11" t="s">
        <v>3</v>
      </c>
      <c r="G28" s="1"/>
    </row>
    <row r="29" spans="1:7" x14ac:dyDescent="0.25">
      <c r="A29" s="1"/>
      <c r="B29" s="85" t="s">
        <v>159</v>
      </c>
      <c r="C29" s="86"/>
      <c r="D29" s="86"/>
      <c r="E29" s="86"/>
      <c r="F29" s="19"/>
      <c r="G29" s="1"/>
    </row>
    <row r="30" spans="1:7" ht="15.75" customHeight="1" x14ac:dyDescent="0.25">
      <c r="A30" s="1"/>
      <c r="B30" s="117" t="s">
        <v>160</v>
      </c>
      <c r="C30" s="118"/>
      <c r="D30" s="119"/>
      <c r="E30" s="10">
        <v>0</v>
      </c>
      <c r="F30" s="11" t="s">
        <v>3</v>
      </c>
      <c r="G30" s="1"/>
    </row>
    <row r="31" spans="1:7" ht="15.75" customHeight="1" x14ac:dyDescent="0.25">
      <c r="A31" s="1"/>
      <c r="B31" s="135" t="s">
        <v>153</v>
      </c>
      <c r="C31" s="136"/>
      <c r="D31" s="136"/>
      <c r="E31" s="136"/>
      <c r="F31" s="137"/>
      <c r="G31" s="1"/>
    </row>
    <row r="32" spans="1:7" ht="15.75" customHeight="1" x14ac:dyDescent="0.25">
      <c r="A32" s="1"/>
      <c r="B32" s="91" t="s">
        <v>154</v>
      </c>
      <c r="C32" s="10"/>
      <c r="D32" s="11"/>
      <c r="E32" s="10">
        <f>'Fane 8. Skattesagen'!G11</f>
        <v>0</v>
      </c>
      <c r="F32" s="11" t="s">
        <v>3</v>
      </c>
      <c r="G32" s="1"/>
    </row>
    <row r="33" spans="1:7" x14ac:dyDescent="0.25">
      <c r="A33" s="1"/>
      <c r="B33" s="36" t="s">
        <v>27</v>
      </c>
      <c r="C33" s="39"/>
      <c r="D33" s="39"/>
      <c r="E33" s="33">
        <f>E20+E22+E26+E28+E30+E32</f>
        <v>11591084.339207029</v>
      </c>
      <c r="F33" s="38" t="s">
        <v>3</v>
      </c>
      <c r="G33" s="1"/>
    </row>
    <row r="34" spans="1:7" ht="27.75" customHeight="1" x14ac:dyDescent="0.25">
      <c r="A34" s="1"/>
      <c r="B34" s="124" t="s">
        <v>173</v>
      </c>
      <c r="C34" s="125"/>
      <c r="D34" s="125"/>
      <c r="E34" s="125"/>
      <c r="F34" s="126"/>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r7ILiLT6a+QCYle5LMPPbifdkKFUbdoz8ADDGquonWmx9cuRPznDJTgFHe4unAmGzZW0udcSgh1v3uadOc33jA==" saltValue="I2pDhxuTGM9N4hTs71w++w==" spinCount="100000" sheet="1" objects="1" scenarios="1"/>
  <mergeCells count="22">
    <mergeCell ref="B34:F34"/>
    <mergeCell ref="B16:D16"/>
    <mergeCell ref="B17:D17"/>
    <mergeCell ref="B18:D18"/>
    <mergeCell ref="B19:D19"/>
    <mergeCell ref="B20:D20"/>
    <mergeCell ref="B28:D28"/>
    <mergeCell ref="B23:D23"/>
    <mergeCell ref="B24:D24"/>
    <mergeCell ref="B25:D25"/>
    <mergeCell ref="B26:D26"/>
    <mergeCell ref="B30:D30"/>
    <mergeCell ref="B31:F31"/>
    <mergeCell ref="B13:D13"/>
    <mergeCell ref="B14:D14"/>
    <mergeCell ref="B15:D15"/>
    <mergeCell ref="B22:D22"/>
    <mergeCell ref="B3:F4"/>
    <mergeCell ref="B9:D9"/>
    <mergeCell ref="B10:D10"/>
    <mergeCell ref="B11:D11"/>
    <mergeCell ref="B12:D12"/>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I68"/>
  <sheetViews>
    <sheetView showGridLines="0" view="pageLayout" zoomScaleNormal="100" workbookViewId="0"/>
  </sheetViews>
  <sheetFormatPr defaultColWidth="9" defaultRowHeight="15" x14ac:dyDescent="0.25"/>
  <cols>
    <col min="1" max="1" width="2.5703125" style="2" customWidth="1"/>
    <col min="2" max="5" width="9" style="2"/>
    <col min="6" max="6" width="26" style="2" customWidth="1"/>
    <col min="7" max="7" width="10.28515625" style="2" customWidth="1"/>
    <col min="8" max="8" width="2.85546875" style="2" customWidth="1"/>
    <col min="9" max="9" width="3.28515625" style="2" customWidth="1"/>
    <col min="10" max="16384" width="9" style="2"/>
  </cols>
  <sheetData>
    <row r="1" spans="1:9" ht="15" customHeight="1" x14ac:dyDescent="0.25">
      <c r="A1" s="1"/>
      <c r="B1" s="120" t="s">
        <v>98</v>
      </c>
      <c r="C1" s="120"/>
      <c r="D1" s="120"/>
      <c r="E1" s="120"/>
      <c r="F1" s="120"/>
      <c r="G1" s="120"/>
      <c r="H1" s="120"/>
      <c r="I1" s="1"/>
    </row>
    <row r="2" spans="1:9" ht="15" customHeight="1" x14ac:dyDescent="0.25">
      <c r="A2" s="1"/>
      <c r="B2" s="120"/>
      <c r="C2" s="120"/>
      <c r="D2" s="120"/>
      <c r="E2" s="120"/>
      <c r="F2" s="120"/>
      <c r="G2" s="120"/>
      <c r="H2" s="120"/>
      <c r="I2" s="1"/>
    </row>
    <row r="3" spans="1:9" ht="5.25" customHeight="1" x14ac:dyDescent="0.25">
      <c r="A3" s="1"/>
      <c r="B3" s="120"/>
      <c r="C3" s="120"/>
      <c r="D3" s="120"/>
      <c r="E3" s="120"/>
      <c r="F3" s="120"/>
      <c r="G3" s="120"/>
      <c r="H3" s="120"/>
      <c r="I3" s="1"/>
    </row>
    <row r="4" spans="1:9" x14ac:dyDescent="0.25">
      <c r="A4" s="1"/>
      <c r="B4" s="135" t="s">
        <v>49</v>
      </c>
      <c r="C4" s="136"/>
      <c r="D4" s="136"/>
      <c r="E4" s="136"/>
      <c r="F4" s="136"/>
      <c r="G4" s="136"/>
      <c r="H4" s="137"/>
      <c r="I4" s="1"/>
    </row>
    <row r="5" spans="1:9" x14ac:dyDescent="0.25">
      <c r="A5" s="1"/>
      <c r="B5" s="138" t="s">
        <v>38</v>
      </c>
      <c r="C5" s="139"/>
      <c r="D5" s="139"/>
      <c r="E5" s="139"/>
      <c r="F5" s="140"/>
      <c r="G5" s="63">
        <v>3031249</v>
      </c>
      <c r="H5" s="14" t="s">
        <v>3</v>
      </c>
      <c r="I5" s="1"/>
    </row>
    <row r="6" spans="1:9" x14ac:dyDescent="0.25">
      <c r="A6" s="1"/>
      <c r="B6" s="138" t="s">
        <v>39</v>
      </c>
      <c r="C6" s="139"/>
      <c r="D6" s="139"/>
      <c r="E6" s="139"/>
      <c r="F6" s="140"/>
      <c r="G6" s="63">
        <f>G5*'Fane 13. Nøgletal'!C35</f>
        <v>51531.233</v>
      </c>
      <c r="H6" s="14" t="s">
        <v>3</v>
      </c>
      <c r="I6" s="1"/>
    </row>
    <row r="7" spans="1:9" x14ac:dyDescent="0.25">
      <c r="A7" s="1"/>
      <c r="B7" s="75"/>
      <c r="C7" s="76"/>
      <c r="D7" s="76"/>
      <c r="E7" s="76"/>
      <c r="F7" s="76"/>
      <c r="G7" s="64"/>
      <c r="H7" s="19"/>
      <c r="I7" s="1"/>
    </row>
    <row r="8" spans="1:9" x14ac:dyDescent="0.25">
      <c r="A8" s="1"/>
      <c r="B8" s="1"/>
      <c r="C8" s="1"/>
      <c r="D8" s="1"/>
      <c r="E8" s="1"/>
      <c r="F8" s="1"/>
      <c r="G8" s="65"/>
      <c r="H8" s="1"/>
      <c r="I8" s="1"/>
    </row>
    <row r="9" spans="1:9" x14ac:dyDescent="0.25">
      <c r="A9" s="1"/>
      <c r="B9" s="135" t="s">
        <v>50</v>
      </c>
      <c r="C9" s="136"/>
      <c r="D9" s="136"/>
      <c r="E9" s="136"/>
      <c r="F9" s="136"/>
      <c r="G9" s="141"/>
      <c r="H9" s="137"/>
      <c r="I9" s="1"/>
    </row>
    <row r="10" spans="1:9" x14ac:dyDescent="0.25">
      <c r="A10" s="1"/>
      <c r="B10" s="138" t="s">
        <v>40</v>
      </c>
      <c r="C10" s="139"/>
      <c r="D10" s="139"/>
      <c r="E10" s="139"/>
      <c r="F10" s="140"/>
      <c r="G10" s="63">
        <f>(G5-G6)*(1+'Fane 13. Nøgletal'!C9)</f>
        <v>3017560.1826408999</v>
      </c>
      <c r="H10" s="14" t="s">
        <v>3</v>
      </c>
      <c r="I10" s="1"/>
    </row>
    <row r="11" spans="1:9" x14ac:dyDescent="0.25">
      <c r="A11" s="1"/>
      <c r="B11" s="142" t="s">
        <v>41</v>
      </c>
      <c r="C11" s="143"/>
      <c r="D11" s="143"/>
      <c r="E11" s="143"/>
      <c r="F11" s="144"/>
      <c r="G11" s="66">
        <v>0</v>
      </c>
      <c r="H11" s="14" t="s">
        <v>3</v>
      </c>
      <c r="I11" s="1"/>
    </row>
    <row r="12" spans="1:9" x14ac:dyDescent="0.25">
      <c r="A12" s="1"/>
      <c r="B12" s="138" t="s">
        <v>42</v>
      </c>
      <c r="C12" s="139"/>
      <c r="D12" s="139"/>
      <c r="E12" s="139"/>
      <c r="F12" s="140"/>
      <c r="G12" s="63">
        <f>(G10+G11)*'Fane 13. Nøgletal'!C35</f>
        <v>51298.523104895299</v>
      </c>
      <c r="H12" s="14" t="s">
        <v>3</v>
      </c>
      <c r="I12" s="1"/>
    </row>
    <row r="13" spans="1:9" x14ac:dyDescent="0.25">
      <c r="A13" s="1"/>
      <c r="B13" s="75"/>
      <c r="C13" s="76"/>
      <c r="D13" s="76"/>
      <c r="E13" s="76"/>
      <c r="F13" s="76"/>
      <c r="G13" s="64"/>
      <c r="H13" s="19"/>
      <c r="I13" s="1"/>
    </row>
    <row r="14" spans="1:9" x14ac:dyDescent="0.25">
      <c r="A14" s="1"/>
      <c r="B14" s="1"/>
      <c r="C14" s="1"/>
      <c r="D14" s="1"/>
      <c r="E14" s="1"/>
      <c r="F14" s="1"/>
      <c r="G14" s="65"/>
      <c r="H14" s="1"/>
      <c r="I14" s="1"/>
    </row>
    <row r="15" spans="1:9" x14ac:dyDescent="0.25">
      <c r="A15" s="1"/>
      <c r="B15" s="135" t="s">
        <v>51</v>
      </c>
      <c r="C15" s="136"/>
      <c r="D15" s="136"/>
      <c r="E15" s="136"/>
      <c r="F15" s="136"/>
      <c r="G15" s="141"/>
      <c r="H15" s="137"/>
      <c r="I15" s="1"/>
    </row>
    <row r="16" spans="1:9" x14ac:dyDescent="0.25">
      <c r="A16" s="1"/>
      <c r="B16" s="138" t="s">
        <v>43</v>
      </c>
      <c r="C16" s="139"/>
      <c r="D16" s="139"/>
      <c r="E16" s="139"/>
      <c r="F16" s="140"/>
      <c r="G16" s="63">
        <f>(G10+G11-G12)*(1+'Fane 13. Nøgletal'!C9)</f>
        <v>3003933.1826121118</v>
      </c>
      <c r="H16" s="14" t="s">
        <v>3</v>
      </c>
      <c r="I16" s="1"/>
    </row>
    <row r="17" spans="1:9" x14ac:dyDescent="0.25">
      <c r="A17" s="1"/>
      <c r="B17" s="138" t="s">
        <v>108</v>
      </c>
      <c r="C17" s="139"/>
      <c r="D17" s="139"/>
      <c r="E17" s="139"/>
      <c r="F17" s="140"/>
      <c r="G17" s="66">
        <v>0</v>
      </c>
      <c r="H17" s="14" t="s">
        <v>3</v>
      </c>
      <c r="I17" s="1"/>
    </row>
    <row r="18" spans="1:9" x14ac:dyDescent="0.25">
      <c r="A18" s="1"/>
      <c r="B18" s="142" t="s">
        <v>44</v>
      </c>
      <c r="C18" s="143"/>
      <c r="D18" s="143"/>
      <c r="E18" s="143"/>
      <c r="F18" s="144"/>
      <c r="G18" s="66">
        <v>0</v>
      </c>
      <c r="H18" s="14" t="s">
        <v>3</v>
      </c>
      <c r="I18" s="1"/>
    </row>
    <row r="19" spans="1:9" x14ac:dyDescent="0.25">
      <c r="A19" s="1"/>
      <c r="B19" s="138" t="s">
        <v>45</v>
      </c>
      <c r="C19" s="139"/>
      <c r="D19" s="139"/>
      <c r="E19" s="139"/>
      <c r="F19" s="140"/>
      <c r="G19" s="63">
        <f>SUM(G16:G18)*'Fane 13. Nøgletal'!C35</f>
        <v>51066.864104405904</v>
      </c>
      <c r="H19" s="14" t="s">
        <v>3</v>
      </c>
      <c r="I19" s="1"/>
    </row>
    <row r="20" spans="1:9" x14ac:dyDescent="0.25">
      <c r="A20" s="1"/>
      <c r="B20" s="75"/>
      <c r="C20" s="76"/>
      <c r="D20" s="76"/>
      <c r="E20" s="76"/>
      <c r="F20" s="76"/>
      <c r="G20" s="64"/>
      <c r="H20" s="19"/>
      <c r="I20" s="1"/>
    </row>
    <row r="21" spans="1:9" x14ac:dyDescent="0.25">
      <c r="A21" s="1"/>
      <c r="B21" s="1"/>
      <c r="C21" s="1"/>
      <c r="D21" s="1"/>
      <c r="E21" s="1"/>
      <c r="F21" s="1"/>
      <c r="G21" s="65"/>
      <c r="H21" s="1"/>
      <c r="I21" s="1"/>
    </row>
    <row r="22" spans="1:9" x14ac:dyDescent="0.25">
      <c r="A22" s="1"/>
      <c r="B22" s="135" t="s">
        <v>52</v>
      </c>
      <c r="C22" s="136"/>
      <c r="D22" s="136"/>
      <c r="E22" s="136"/>
      <c r="F22" s="136"/>
      <c r="G22" s="141"/>
      <c r="H22" s="137"/>
      <c r="I22" s="1"/>
    </row>
    <row r="23" spans="1:9" x14ac:dyDescent="0.25">
      <c r="A23" s="1"/>
      <c r="B23" s="138" t="s">
        <v>46</v>
      </c>
      <c r="C23" s="139"/>
      <c r="D23" s="139"/>
      <c r="E23" s="139"/>
      <c r="F23" s="140"/>
      <c r="G23" s="63">
        <f>(SUM(G16:G18)-G19)*(1+'Fane 13. Nøgletal'!C9)</f>
        <v>2990367.7207527533</v>
      </c>
      <c r="H23" s="14" t="s">
        <v>3</v>
      </c>
      <c r="I23" s="1"/>
    </row>
    <row r="24" spans="1:9" x14ac:dyDescent="0.25">
      <c r="A24" s="1"/>
      <c r="B24" s="142" t="s">
        <v>47</v>
      </c>
      <c r="C24" s="143"/>
      <c r="D24" s="143"/>
      <c r="E24" s="143"/>
      <c r="F24" s="144"/>
      <c r="G24" s="66">
        <v>0</v>
      </c>
      <c r="H24" s="14" t="s">
        <v>3</v>
      </c>
      <c r="I24" s="1"/>
    </row>
    <row r="25" spans="1:9" x14ac:dyDescent="0.25">
      <c r="A25" s="1"/>
      <c r="B25" s="138" t="s">
        <v>48</v>
      </c>
      <c r="C25" s="139"/>
      <c r="D25" s="139"/>
      <c r="E25" s="139"/>
      <c r="F25" s="140"/>
      <c r="G25" s="63">
        <f>(G23+G24)*'Fane 13. Nøgletal'!C35</f>
        <v>50836.251252796807</v>
      </c>
      <c r="H25" s="14" t="s">
        <v>3</v>
      </c>
      <c r="I25" s="1"/>
    </row>
    <row r="26" spans="1:9" x14ac:dyDescent="0.25">
      <c r="A26" s="1"/>
      <c r="B26" s="75"/>
      <c r="C26" s="76"/>
      <c r="D26" s="76"/>
      <c r="E26" s="76"/>
      <c r="F26" s="76"/>
      <c r="G26" s="64"/>
      <c r="H26" s="19"/>
      <c r="I26" s="1"/>
    </row>
    <row r="27" spans="1:9" x14ac:dyDescent="0.25">
      <c r="A27" s="1"/>
      <c r="B27" s="1"/>
      <c r="C27" s="1"/>
      <c r="D27" s="1"/>
      <c r="E27" s="1"/>
      <c r="F27" s="1"/>
      <c r="G27" s="65"/>
      <c r="H27" s="1"/>
      <c r="I27" s="1"/>
    </row>
    <row r="28" spans="1:9" x14ac:dyDescent="0.25">
      <c r="A28" s="1"/>
      <c r="B28" s="135" t="s">
        <v>132</v>
      </c>
      <c r="C28" s="136"/>
      <c r="D28" s="136"/>
      <c r="E28" s="136"/>
      <c r="F28" s="136"/>
      <c r="G28" s="141"/>
      <c r="H28" s="137"/>
      <c r="I28" s="1"/>
    </row>
    <row r="29" spans="1:9" x14ac:dyDescent="0.25">
      <c r="A29" s="1"/>
      <c r="B29" s="138" t="s">
        <v>55</v>
      </c>
      <c r="C29" s="139"/>
      <c r="D29" s="139"/>
      <c r="E29" s="139"/>
      <c r="F29" s="140"/>
      <c r="G29" s="63">
        <f>(G23+G24-G25)*(1+'Fane 13. Nøgletal'!C13)+32.36/2</f>
        <v>2975409.9334278558</v>
      </c>
      <c r="H29" s="14" t="s">
        <v>3</v>
      </c>
      <c r="I29" s="1"/>
    </row>
    <row r="30" spans="1:9" x14ac:dyDescent="0.25">
      <c r="A30" s="1"/>
      <c r="B30" s="138" t="s">
        <v>121</v>
      </c>
      <c r="C30" s="139"/>
      <c r="D30" s="139"/>
      <c r="E30" s="139"/>
      <c r="F30" s="140"/>
      <c r="G30" s="66">
        <v>0</v>
      </c>
      <c r="H30" s="14" t="s">
        <v>3</v>
      </c>
      <c r="I30" s="1"/>
    </row>
    <row r="31" spans="1:9" x14ac:dyDescent="0.25">
      <c r="A31" s="1"/>
      <c r="B31" s="138" t="s">
        <v>126</v>
      </c>
      <c r="C31" s="139"/>
      <c r="D31" s="139"/>
      <c r="E31" s="139"/>
      <c r="F31" s="140"/>
      <c r="G31" s="63">
        <f>(G29+G30)*'Fane 13. Nøgletal'!C31</f>
        <v>59508.198668557117</v>
      </c>
      <c r="H31" s="14" t="s">
        <v>3</v>
      </c>
      <c r="I31" s="1"/>
    </row>
    <row r="32" spans="1:9" x14ac:dyDescent="0.25">
      <c r="A32" s="1"/>
      <c r="B32" s="75"/>
      <c r="C32" s="76"/>
      <c r="D32" s="76"/>
      <c r="E32" s="76"/>
      <c r="F32" s="76"/>
      <c r="G32" s="64"/>
      <c r="H32" s="19"/>
      <c r="I32" s="1"/>
    </row>
    <row r="33" spans="1:9" x14ac:dyDescent="0.25">
      <c r="A33" s="1"/>
      <c r="B33" s="1"/>
      <c r="C33" s="1"/>
      <c r="D33" s="1"/>
      <c r="E33" s="1"/>
      <c r="F33" s="1"/>
      <c r="G33" s="65"/>
      <c r="H33" s="1"/>
      <c r="I33" s="1"/>
    </row>
    <row r="34" spans="1:9" x14ac:dyDescent="0.25">
      <c r="A34" s="1"/>
      <c r="B34" s="135" t="s">
        <v>133</v>
      </c>
      <c r="C34" s="136"/>
      <c r="D34" s="136"/>
      <c r="E34" s="136"/>
      <c r="F34" s="136"/>
      <c r="G34" s="141"/>
      <c r="H34" s="137"/>
      <c r="I34" s="1"/>
    </row>
    <row r="35" spans="1:9" x14ac:dyDescent="0.25">
      <c r="A35" s="1"/>
      <c r="B35" s="138" t="s">
        <v>74</v>
      </c>
      <c r="C35" s="139"/>
      <c r="D35" s="139"/>
      <c r="E35" s="139"/>
      <c r="F35" s="140"/>
      <c r="G35" s="63">
        <f>(G29+G30-G31)*(1+'Fane 13. Nøgletal'!C13)</f>
        <v>2951475.735923362</v>
      </c>
      <c r="H35" s="14" t="s">
        <v>3</v>
      </c>
      <c r="I35" s="1"/>
    </row>
    <row r="36" spans="1:9" x14ac:dyDescent="0.25">
      <c r="A36" s="1"/>
      <c r="B36" s="27" t="s">
        <v>236</v>
      </c>
      <c r="C36" s="81"/>
      <c r="D36" s="81"/>
      <c r="E36" s="81"/>
      <c r="F36" s="82"/>
      <c r="G36" s="66">
        <v>0</v>
      </c>
      <c r="H36" s="14" t="s">
        <v>3</v>
      </c>
      <c r="I36" s="1"/>
    </row>
    <row r="37" spans="1:9" x14ac:dyDescent="0.25">
      <c r="A37" s="1"/>
      <c r="B37" s="138" t="s">
        <v>152</v>
      </c>
      <c r="C37" s="139"/>
      <c r="D37" s="139"/>
      <c r="E37" s="139"/>
      <c r="F37" s="140"/>
      <c r="G37" s="66">
        <v>0</v>
      </c>
      <c r="H37" s="14" t="s">
        <v>3</v>
      </c>
      <c r="I37" s="1"/>
    </row>
    <row r="38" spans="1:9" x14ac:dyDescent="0.25">
      <c r="A38" s="1"/>
      <c r="B38" s="138" t="s">
        <v>134</v>
      </c>
      <c r="C38" s="139"/>
      <c r="D38" s="139"/>
      <c r="E38" s="139"/>
      <c r="F38" s="140"/>
      <c r="G38" s="63">
        <f>(G35+G37)*'Fane 13. Nøgletal'!C31</f>
        <v>59029.514718467239</v>
      </c>
      <c r="H38" s="14" t="s">
        <v>3</v>
      </c>
      <c r="I38" s="1"/>
    </row>
    <row r="39" spans="1:9" x14ac:dyDescent="0.25">
      <c r="A39" s="1"/>
      <c r="B39" s="75"/>
      <c r="C39" s="76"/>
      <c r="D39" s="76"/>
      <c r="E39" s="76"/>
      <c r="F39" s="76"/>
      <c r="G39" s="64"/>
      <c r="H39" s="19"/>
      <c r="I39" s="1"/>
    </row>
    <row r="40" spans="1:9" x14ac:dyDescent="0.25">
      <c r="A40" s="1"/>
      <c r="B40" s="1"/>
      <c r="C40" s="1"/>
      <c r="D40" s="1"/>
      <c r="E40" s="1"/>
      <c r="F40" s="1"/>
      <c r="G40" s="65"/>
      <c r="H40" s="1"/>
      <c r="I40" s="1"/>
    </row>
    <row r="41" spans="1:9" x14ac:dyDescent="0.25">
      <c r="A41" s="1"/>
      <c r="B41" s="135" t="s">
        <v>255</v>
      </c>
      <c r="C41" s="136"/>
      <c r="D41" s="136"/>
      <c r="E41" s="136"/>
      <c r="F41" s="136"/>
      <c r="G41" s="141"/>
      <c r="H41" s="137"/>
      <c r="I41" s="1"/>
    </row>
    <row r="42" spans="1:9" x14ac:dyDescent="0.25">
      <c r="A42" s="1"/>
      <c r="B42" s="138" t="s">
        <v>73</v>
      </c>
      <c r="C42" s="139"/>
      <c r="D42" s="139"/>
      <c r="E42" s="139"/>
      <c r="F42" s="140"/>
      <c r="G42" s="63">
        <f>(G35+G37-G38)*(1+'Fane 13. Nøgletal'!C15)</f>
        <v>2995417.306679789</v>
      </c>
      <c r="H42" s="14" t="s">
        <v>3</v>
      </c>
      <c r="I42" s="1"/>
    </row>
    <row r="43" spans="1:9" x14ac:dyDescent="0.25">
      <c r="A43" s="1"/>
      <c r="B43" s="138" t="s">
        <v>237</v>
      </c>
      <c r="C43" s="139"/>
      <c r="D43" s="139"/>
      <c r="E43" s="139"/>
      <c r="F43" s="140"/>
      <c r="G43" s="66">
        <v>0</v>
      </c>
      <c r="H43" s="14" t="s">
        <v>3</v>
      </c>
      <c r="I43" s="1"/>
    </row>
    <row r="44" spans="1:9" x14ac:dyDescent="0.25">
      <c r="A44" s="1"/>
      <c r="B44" s="138" t="s">
        <v>238</v>
      </c>
      <c r="C44" s="139"/>
      <c r="D44" s="139"/>
      <c r="E44" s="139"/>
      <c r="F44" s="140"/>
      <c r="G44" s="63">
        <f>(G42+G43)*'Fane 13. Nøgletal'!C31</f>
        <v>59908.346133595784</v>
      </c>
      <c r="H44" s="14" t="s">
        <v>3</v>
      </c>
      <c r="I44" s="1"/>
    </row>
    <row r="45" spans="1:9" x14ac:dyDescent="0.25">
      <c r="A45" s="1"/>
      <c r="B45" s="75"/>
      <c r="C45" s="76"/>
      <c r="D45" s="76"/>
      <c r="E45" s="76"/>
      <c r="F45" s="76"/>
      <c r="G45" s="64"/>
      <c r="H45" s="19"/>
      <c r="I45" s="1"/>
    </row>
    <row r="46" spans="1:9" x14ac:dyDescent="0.25">
      <c r="A46" s="1"/>
      <c r="B46" s="1"/>
      <c r="C46" s="1"/>
      <c r="D46" s="1"/>
      <c r="E46" s="1"/>
      <c r="F46" s="1"/>
      <c r="G46" s="65"/>
      <c r="H46" s="1"/>
      <c r="I46" s="1"/>
    </row>
    <row r="47" spans="1:9" x14ac:dyDescent="0.25">
      <c r="A47" s="1"/>
      <c r="B47" s="135" t="s">
        <v>256</v>
      </c>
      <c r="C47" s="136"/>
      <c r="D47" s="136"/>
      <c r="E47" s="136"/>
      <c r="F47" s="136"/>
      <c r="G47" s="141"/>
      <c r="H47" s="137"/>
      <c r="I47" s="1"/>
    </row>
    <row r="48" spans="1:9" x14ac:dyDescent="0.25">
      <c r="A48" s="1"/>
      <c r="B48" s="138" t="s">
        <v>122</v>
      </c>
      <c r="C48" s="139"/>
      <c r="D48" s="139"/>
      <c r="E48" s="139"/>
      <c r="F48" s="140"/>
      <c r="G48" s="63">
        <f>(G42+G43-G44)*(1+'Fane 13. Nøgletal'!C15)</f>
        <v>3040013.079541638</v>
      </c>
      <c r="H48" s="14" t="s">
        <v>3</v>
      </c>
      <c r="I48" s="1"/>
    </row>
    <row r="49" spans="1:9" x14ac:dyDescent="0.25">
      <c r="A49" s="1"/>
      <c r="B49" s="138" t="s">
        <v>239</v>
      </c>
      <c r="C49" s="139"/>
      <c r="D49" s="139"/>
      <c r="E49" s="139"/>
      <c r="F49" s="140"/>
      <c r="G49" s="66">
        <v>0</v>
      </c>
      <c r="H49" s="14" t="s">
        <v>3</v>
      </c>
      <c r="I49" s="1"/>
    </row>
    <row r="50" spans="1:9" x14ac:dyDescent="0.25">
      <c r="A50" s="1"/>
      <c r="B50" s="138" t="s">
        <v>240</v>
      </c>
      <c r="C50" s="139"/>
      <c r="D50" s="139"/>
      <c r="E50" s="139"/>
      <c r="F50" s="140"/>
      <c r="G50" s="63">
        <f>(G48+G49)*'Fane 13. Nøgletal'!C31</f>
        <v>60800.261590832764</v>
      </c>
      <c r="H50" s="14" t="s">
        <v>3</v>
      </c>
      <c r="I50" s="1"/>
    </row>
    <row r="51" spans="1:9" x14ac:dyDescent="0.25">
      <c r="A51" s="1"/>
      <c r="B51" s="75"/>
      <c r="C51" s="76"/>
      <c r="D51" s="76"/>
      <c r="E51" s="76"/>
      <c r="F51" s="76"/>
      <c r="G51" s="64"/>
      <c r="H51" s="19"/>
      <c r="I51" s="1"/>
    </row>
    <row r="52" spans="1:9" x14ac:dyDescent="0.25">
      <c r="A52" s="1"/>
      <c r="B52" s="1"/>
      <c r="C52" s="1"/>
      <c r="D52" s="1"/>
      <c r="E52" s="1"/>
      <c r="F52" s="1"/>
      <c r="G52" s="65"/>
      <c r="H52" s="1"/>
      <c r="I52" s="1"/>
    </row>
    <row r="53" spans="1:9" x14ac:dyDescent="0.25">
      <c r="A53" s="1"/>
      <c r="B53" s="135" t="s">
        <v>145</v>
      </c>
      <c r="C53" s="136"/>
      <c r="D53" s="136"/>
      <c r="E53" s="136"/>
      <c r="F53" s="136"/>
      <c r="G53" s="141"/>
      <c r="H53" s="137"/>
      <c r="I53" s="1"/>
    </row>
    <row r="54" spans="1:9" x14ac:dyDescent="0.25">
      <c r="A54" s="1"/>
      <c r="B54" s="138" t="s">
        <v>146</v>
      </c>
      <c r="C54" s="139"/>
      <c r="D54" s="139"/>
      <c r="E54" s="139"/>
      <c r="F54" s="140"/>
      <c r="G54" s="63">
        <f>(G48+G49-G50)*(1+'Fane 13. Nøgletal'!C15)</f>
        <v>3085272.7942698542</v>
      </c>
      <c r="H54" s="14" t="s">
        <v>3</v>
      </c>
      <c r="I54" s="1"/>
    </row>
    <row r="55" spans="1:9" x14ac:dyDescent="0.25">
      <c r="A55" s="1"/>
      <c r="B55" s="138" t="s">
        <v>241</v>
      </c>
      <c r="C55" s="139"/>
      <c r="D55" s="139"/>
      <c r="E55" s="139"/>
      <c r="F55" s="140"/>
      <c r="G55" s="66">
        <v>0</v>
      </c>
      <c r="H55" s="14" t="s">
        <v>3</v>
      </c>
      <c r="I55" s="1"/>
    </row>
    <row r="56" spans="1:9" x14ac:dyDescent="0.25">
      <c r="A56" s="1"/>
      <c r="B56" s="138" t="s">
        <v>147</v>
      </c>
      <c r="C56" s="139"/>
      <c r="D56" s="139"/>
      <c r="E56" s="139"/>
      <c r="F56" s="140"/>
      <c r="G56" s="63">
        <f>(G54+G55)*'Fane 13. Nøgletal'!C31</f>
        <v>61705.455885397088</v>
      </c>
      <c r="H56" s="14" t="s">
        <v>3</v>
      </c>
      <c r="I56" s="1"/>
    </row>
    <row r="57" spans="1:9" x14ac:dyDescent="0.25">
      <c r="A57" s="1"/>
      <c r="B57" s="75"/>
      <c r="C57" s="76"/>
      <c r="D57" s="76"/>
      <c r="E57" s="76"/>
      <c r="F57" s="76"/>
      <c r="G57" s="64"/>
      <c r="H57" s="19"/>
      <c r="I57" s="1"/>
    </row>
    <row r="58" spans="1:9" x14ac:dyDescent="0.25">
      <c r="A58" s="1"/>
      <c r="B58" s="1"/>
      <c r="C58" s="1"/>
      <c r="D58" s="1"/>
      <c r="E58" s="1"/>
      <c r="F58" s="1"/>
      <c r="G58" s="67"/>
      <c r="H58" s="1"/>
      <c r="I58" s="1"/>
    </row>
    <row r="59" spans="1:9" x14ac:dyDescent="0.25">
      <c r="A59" s="1"/>
      <c r="B59" s="135" t="s">
        <v>174</v>
      </c>
      <c r="C59" s="136"/>
      <c r="D59" s="136"/>
      <c r="E59" s="136"/>
      <c r="F59" s="136"/>
      <c r="G59" s="136"/>
      <c r="H59" s="137"/>
      <c r="I59" s="1"/>
    </row>
    <row r="60" spans="1:9" x14ac:dyDescent="0.25">
      <c r="A60" s="1"/>
      <c r="B60" s="138" t="s">
        <v>175</v>
      </c>
      <c r="C60" s="139"/>
      <c r="D60" s="139"/>
      <c r="E60" s="139"/>
      <c r="F60" s="140"/>
      <c r="G60" s="22">
        <f>(G54+G55-G56)*(1+'Fane 13. Nøgletal'!C15)</f>
        <v>3131206.335630944</v>
      </c>
      <c r="H60" s="14" t="s">
        <v>3</v>
      </c>
      <c r="I60" s="1"/>
    </row>
    <row r="61" spans="1:9" x14ac:dyDescent="0.25">
      <c r="A61" s="1"/>
      <c r="B61" s="138" t="s">
        <v>176</v>
      </c>
      <c r="C61" s="139"/>
      <c r="D61" s="139"/>
      <c r="E61" s="139"/>
      <c r="F61" s="140"/>
      <c r="G61" s="22">
        <f>(G60)*'Fane 13. Nøgletal'!C31</f>
        <v>62624.126712618883</v>
      </c>
      <c r="H61" s="14" t="s">
        <v>3</v>
      </c>
      <c r="I61" s="1"/>
    </row>
    <row r="62" spans="1:9" x14ac:dyDescent="0.25">
      <c r="A62" s="1"/>
      <c r="B62" s="75"/>
      <c r="C62" s="76"/>
      <c r="D62" s="76"/>
      <c r="E62" s="76"/>
      <c r="F62" s="76"/>
      <c r="G62" s="42"/>
      <c r="H62" s="19"/>
      <c r="I62" s="1"/>
    </row>
    <row r="63" spans="1:9" x14ac:dyDescent="0.25">
      <c r="A63" s="1"/>
      <c r="B63" s="1"/>
      <c r="C63" s="1"/>
      <c r="D63" s="1"/>
      <c r="E63" s="1"/>
      <c r="F63" s="1"/>
      <c r="G63" s="43"/>
      <c r="H63" s="1"/>
      <c r="I63" s="1"/>
    </row>
    <row r="64" spans="1:9" x14ac:dyDescent="0.25">
      <c r="A64" s="1"/>
      <c r="B64" s="1"/>
      <c r="C64" s="1"/>
      <c r="D64" s="1"/>
      <c r="E64" s="1"/>
      <c r="F64" s="1"/>
      <c r="G64" s="43"/>
      <c r="H64" s="1"/>
      <c r="I64" s="1"/>
    </row>
    <row r="65" spans="1:9" x14ac:dyDescent="0.25">
      <c r="A65" s="1"/>
      <c r="B65" s="1"/>
      <c r="C65" s="1"/>
      <c r="D65" s="1"/>
      <c r="E65" s="1"/>
      <c r="F65" s="1"/>
      <c r="G65" s="43"/>
      <c r="H65" s="1"/>
      <c r="I65" s="1"/>
    </row>
    <row r="66" spans="1:9" x14ac:dyDescent="0.25">
      <c r="A66" s="1"/>
      <c r="B66" s="1"/>
      <c r="C66" s="1"/>
      <c r="D66" s="1"/>
      <c r="E66" s="1"/>
      <c r="F66" s="1"/>
      <c r="G66" s="43"/>
      <c r="H66" s="1"/>
      <c r="I66" s="1"/>
    </row>
    <row r="67" spans="1:9" x14ac:dyDescent="0.25">
      <c r="A67" s="1"/>
      <c r="B67" s="1"/>
      <c r="C67" s="1"/>
      <c r="D67" s="1"/>
      <c r="E67" s="1"/>
      <c r="F67" s="1"/>
      <c r="G67" s="43"/>
      <c r="H67" s="1"/>
      <c r="I67" s="1"/>
    </row>
    <row r="68" spans="1:9" x14ac:dyDescent="0.25">
      <c r="A68" s="1"/>
      <c r="B68" s="1"/>
      <c r="C68" s="1"/>
      <c r="D68" s="1"/>
      <c r="E68" s="1"/>
      <c r="F68" s="1"/>
      <c r="G68" s="43"/>
      <c r="H68" s="1"/>
      <c r="I68" s="1"/>
    </row>
  </sheetData>
  <sheetProtection algorithmName="SHA-512" hashValue="KBdBTv+OcC4kYS0p2Ez54KxSIKfZe3+qo0yIoNstoOTl04v5y04Pzvd0AnbODh6HVyxXsB6TVtAufxgnmF65iw==" saltValue="ppmDChTPm1HA0HgZGJQcAA==" spinCount="100000" sheet="1" objects="1" scenarios="1"/>
  <mergeCells count="40">
    <mergeCell ref="B10:F10"/>
    <mergeCell ref="B1:H3"/>
    <mergeCell ref="B4:H4"/>
    <mergeCell ref="B5:F5"/>
    <mergeCell ref="B6:F6"/>
    <mergeCell ref="B9:H9"/>
    <mergeCell ref="B28:H28"/>
    <mergeCell ref="B11:F11"/>
    <mergeCell ref="B12:F12"/>
    <mergeCell ref="B15:H15"/>
    <mergeCell ref="B16:F16"/>
    <mergeCell ref="B17:F17"/>
    <mergeCell ref="B18:F18"/>
    <mergeCell ref="B19:F19"/>
    <mergeCell ref="B22:H22"/>
    <mergeCell ref="B23:F23"/>
    <mergeCell ref="B24:F24"/>
    <mergeCell ref="B25:F25"/>
    <mergeCell ref="B47:H47"/>
    <mergeCell ref="B29:F29"/>
    <mergeCell ref="B30:F30"/>
    <mergeCell ref="B31:F31"/>
    <mergeCell ref="B34:H34"/>
    <mergeCell ref="B35:F35"/>
    <mergeCell ref="B37:F37"/>
    <mergeCell ref="B38:F38"/>
    <mergeCell ref="B41:H41"/>
    <mergeCell ref="B42:F42"/>
    <mergeCell ref="B43:F43"/>
    <mergeCell ref="B44:F44"/>
    <mergeCell ref="B56:F56"/>
    <mergeCell ref="B59:H59"/>
    <mergeCell ref="B60:F60"/>
    <mergeCell ref="B61:F61"/>
    <mergeCell ref="B48:F48"/>
    <mergeCell ref="B49:F49"/>
    <mergeCell ref="B50:F50"/>
    <mergeCell ref="B53:H53"/>
    <mergeCell ref="B54:F54"/>
    <mergeCell ref="B55:F5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72"/>
  <sheetViews>
    <sheetView showGridLines="0" view="pageLayout" zoomScaleNormal="120" workbookViewId="0"/>
  </sheetViews>
  <sheetFormatPr defaultColWidth="9" defaultRowHeight="15" x14ac:dyDescent="0.25"/>
  <cols>
    <col min="1" max="1" width="1.140625" style="2" customWidth="1"/>
    <col min="2" max="5" width="9" style="2"/>
    <col min="6" max="6" width="27.28515625" style="2" customWidth="1"/>
    <col min="7" max="7" width="10.28515625" style="2" customWidth="1"/>
    <col min="8" max="8" width="3.42578125" style="2" customWidth="1"/>
    <col min="9" max="9" width="1.28515625" style="2" customWidth="1"/>
    <col min="10" max="16384" width="9" style="2"/>
  </cols>
  <sheetData>
    <row r="1" spans="1:9" x14ac:dyDescent="0.25">
      <c r="A1" s="1"/>
      <c r="B1" s="145" t="s">
        <v>99</v>
      </c>
      <c r="C1" s="146"/>
      <c r="D1" s="146"/>
      <c r="E1" s="146"/>
      <c r="F1" s="146"/>
      <c r="G1" s="146"/>
      <c r="H1" s="146"/>
      <c r="I1" s="1"/>
    </row>
    <row r="2" spans="1:9" ht="19.899999999999999" customHeight="1" x14ac:dyDescent="0.25">
      <c r="A2" s="1"/>
      <c r="B2" s="146"/>
      <c r="C2" s="146"/>
      <c r="D2" s="146"/>
      <c r="E2" s="146"/>
      <c r="F2" s="146"/>
      <c r="G2" s="146"/>
      <c r="H2" s="146"/>
      <c r="I2" s="1"/>
    </row>
    <row r="3" spans="1:9" ht="15" customHeight="1" x14ac:dyDescent="0.25">
      <c r="A3" s="1"/>
      <c r="B3" s="147"/>
      <c r="C3" s="147"/>
      <c r="D3" s="147"/>
      <c r="E3" s="147"/>
      <c r="F3" s="147"/>
      <c r="G3" s="147"/>
      <c r="H3" s="147"/>
      <c r="I3" s="1"/>
    </row>
    <row r="4" spans="1:9" x14ac:dyDescent="0.25">
      <c r="A4" s="1"/>
      <c r="B4" s="135" t="s">
        <v>53</v>
      </c>
      <c r="C4" s="136"/>
      <c r="D4" s="136"/>
      <c r="E4" s="136"/>
      <c r="F4" s="136"/>
      <c r="G4" s="136"/>
      <c r="H4" s="137"/>
      <c r="I4" s="1"/>
    </row>
    <row r="5" spans="1:9" x14ac:dyDescent="0.25">
      <c r="A5" s="1"/>
      <c r="B5" s="138" t="s">
        <v>56</v>
      </c>
      <c r="C5" s="139"/>
      <c r="D5" s="139"/>
      <c r="E5" s="139"/>
      <c r="F5" s="140"/>
      <c r="G5" s="63">
        <v>3119972</v>
      </c>
      <c r="H5" s="14" t="s">
        <v>3</v>
      </c>
      <c r="I5" s="1"/>
    </row>
    <row r="6" spans="1:9" x14ac:dyDescent="0.25">
      <c r="A6" s="1"/>
      <c r="B6" s="138" t="s">
        <v>54</v>
      </c>
      <c r="C6" s="139"/>
      <c r="D6" s="139"/>
      <c r="E6" s="139"/>
      <c r="F6" s="140"/>
      <c r="G6" s="63">
        <f>G5*'Fane 13. Nøgletal'!C35</f>
        <v>53039.524000000005</v>
      </c>
      <c r="H6" s="14" t="s">
        <v>3</v>
      </c>
      <c r="I6" s="1"/>
    </row>
    <row r="7" spans="1:9" x14ac:dyDescent="0.25">
      <c r="A7" s="1"/>
      <c r="B7" s="75"/>
      <c r="C7" s="76"/>
      <c r="D7" s="76"/>
      <c r="E7" s="76"/>
      <c r="F7" s="76"/>
      <c r="G7" s="64"/>
      <c r="H7" s="19"/>
      <c r="I7" s="1"/>
    </row>
    <row r="8" spans="1:9" x14ac:dyDescent="0.25">
      <c r="A8" s="1"/>
      <c r="B8" s="1"/>
      <c r="C8" s="1"/>
      <c r="D8" s="1"/>
      <c r="E8" s="1"/>
      <c r="F8" s="1"/>
      <c r="G8" s="65"/>
      <c r="H8" s="1"/>
      <c r="I8" s="1"/>
    </row>
    <row r="9" spans="1:9" x14ac:dyDescent="0.25">
      <c r="A9" s="1"/>
      <c r="B9" s="135" t="s">
        <v>57</v>
      </c>
      <c r="C9" s="136"/>
      <c r="D9" s="136"/>
      <c r="E9" s="136"/>
      <c r="F9" s="136"/>
      <c r="G9" s="141"/>
      <c r="H9" s="137"/>
      <c r="I9" s="1"/>
    </row>
    <row r="10" spans="1:9" x14ac:dyDescent="0.25">
      <c r="A10" s="1"/>
      <c r="B10" s="138" t="s">
        <v>58</v>
      </c>
      <c r="C10" s="139"/>
      <c r="D10" s="139"/>
      <c r="E10" s="139"/>
      <c r="F10" s="140"/>
      <c r="G10" s="63">
        <f>(G5-G6)*(1+'Fane 13. Nøgletal'!C9)</f>
        <v>3105882.5184451994</v>
      </c>
      <c r="H10" s="14" t="s">
        <v>3</v>
      </c>
      <c r="I10" s="1"/>
    </row>
    <row r="11" spans="1:9" x14ac:dyDescent="0.25">
      <c r="A11" s="1"/>
      <c r="B11" s="142" t="s">
        <v>59</v>
      </c>
      <c r="C11" s="143"/>
      <c r="D11" s="143"/>
      <c r="E11" s="143"/>
      <c r="F11" s="144"/>
      <c r="G11" s="66">
        <v>0</v>
      </c>
      <c r="H11" s="14" t="s">
        <v>3</v>
      </c>
      <c r="I11" s="1"/>
    </row>
    <row r="12" spans="1:9" x14ac:dyDescent="0.25">
      <c r="A12" s="1"/>
      <c r="B12" s="138" t="s">
        <v>60</v>
      </c>
      <c r="C12" s="139"/>
      <c r="D12" s="139"/>
      <c r="E12" s="139"/>
      <c r="F12" s="140"/>
      <c r="G12" s="63">
        <f>G10*'Fane 13. Nøgletal'!C35+G11*'Fane 13. Nøgletal'!C35</f>
        <v>52800.00281356839</v>
      </c>
      <c r="H12" s="14" t="s">
        <v>3</v>
      </c>
      <c r="I12" s="1"/>
    </row>
    <row r="13" spans="1:9" x14ac:dyDescent="0.25">
      <c r="A13" s="1"/>
      <c r="B13" s="75"/>
      <c r="C13" s="76"/>
      <c r="D13" s="76"/>
      <c r="E13" s="76"/>
      <c r="F13" s="76"/>
      <c r="G13" s="64"/>
      <c r="H13" s="19"/>
      <c r="I13" s="1"/>
    </row>
    <row r="14" spans="1:9" x14ac:dyDescent="0.25">
      <c r="A14" s="1"/>
      <c r="B14" s="1"/>
      <c r="C14" s="1"/>
      <c r="D14" s="1"/>
      <c r="E14" s="1"/>
      <c r="F14" s="1"/>
      <c r="G14" s="65"/>
      <c r="H14" s="1"/>
      <c r="I14" s="1"/>
    </row>
    <row r="15" spans="1:9" x14ac:dyDescent="0.25">
      <c r="A15" s="1"/>
      <c r="B15" s="135" t="s">
        <v>61</v>
      </c>
      <c r="C15" s="136"/>
      <c r="D15" s="136"/>
      <c r="E15" s="136"/>
      <c r="F15" s="136"/>
      <c r="G15" s="141"/>
      <c r="H15" s="137"/>
      <c r="I15" s="1"/>
    </row>
    <row r="16" spans="1:9" x14ac:dyDescent="0.25">
      <c r="A16" s="1"/>
      <c r="B16" s="138" t="s">
        <v>62</v>
      </c>
      <c r="C16" s="139"/>
      <c r="D16" s="139"/>
      <c r="E16" s="139"/>
      <c r="F16" s="140"/>
      <c r="G16" s="63">
        <f>(G10+G11-G12)*(1+'Fane 13. Nøgletal'!C9)</f>
        <v>3091856.6635801527</v>
      </c>
      <c r="H16" s="14" t="s">
        <v>3</v>
      </c>
      <c r="I16" s="1"/>
    </row>
    <row r="17" spans="1:9" x14ac:dyDescent="0.25">
      <c r="A17" s="1"/>
      <c r="B17" s="138" t="s">
        <v>109</v>
      </c>
      <c r="C17" s="139"/>
      <c r="D17" s="139"/>
      <c r="E17" s="139"/>
      <c r="F17" s="140"/>
      <c r="G17" s="66">
        <v>0</v>
      </c>
      <c r="H17" s="14" t="s">
        <v>3</v>
      </c>
      <c r="I17" s="1"/>
    </row>
    <row r="18" spans="1:9" x14ac:dyDescent="0.25">
      <c r="A18" s="1"/>
      <c r="B18" s="142" t="s">
        <v>63</v>
      </c>
      <c r="C18" s="143"/>
      <c r="D18" s="143"/>
      <c r="E18" s="143"/>
      <c r="F18" s="144"/>
      <c r="G18" s="66">
        <v>0</v>
      </c>
      <c r="H18" s="14" t="s">
        <v>3</v>
      </c>
      <c r="I18" s="1"/>
    </row>
    <row r="19" spans="1:9" x14ac:dyDescent="0.25">
      <c r="A19" s="1"/>
      <c r="B19" s="138" t="s">
        <v>64</v>
      </c>
      <c r="C19" s="139"/>
      <c r="D19" s="139"/>
      <c r="E19" s="139"/>
      <c r="F19" s="140"/>
      <c r="G19" s="63">
        <v>52561.563280862596</v>
      </c>
      <c r="H19" s="14" t="s">
        <v>3</v>
      </c>
      <c r="I19" s="1"/>
    </row>
    <row r="20" spans="1:9" x14ac:dyDescent="0.25">
      <c r="A20" s="1"/>
      <c r="B20" s="75"/>
      <c r="C20" s="76"/>
      <c r="D20" s="76"/>
      <c r="E20" s="76"/>
      <c r="F20" s="76"/>
      <c r="G20" s="64"/>
      <c r="H20" s="19"/>
      <c r="I20" s="1"/>
    </row>
    <row r="21" spans="1:9" x14ac:dyDescent="0.25">
      <c r="A21" s="1"/>
      <c r="B21" s="1"/>
      <c r="C21" s="1"/>
      <c r="D21" s="1"/>
      <c r="E21" s="1"/>
      <c r="F21" s="1"/>
      <c r="G21" s="65"/>
      <c r="H21" s="1"/>
      <c r="I21" s="1"/>
    </row>
    <row r="22" spans="1:9" x14ac:dyDescent="0.25">
      <c r="A22" s="1"/>
      <c r="B22" s="135" t="s">
        <v>65</v>
      </c>
      <c r="C22" s="136"/>
      <c r="D22" s="136"/>
      <c r="E22" s="136"/>
      <c r="F22" s="136"/>
      <c r="G22" s="141"/>
      <c r="H22" s="137"/>
      <c r="I22" s="1"/>
    </row>
    <row r="23" spans="1:9" x14ac:dyDescent="0.25">
      <c r="A23" s="1"/>
      <c r="B23" s="138" t="s">
        <v>66</v>
      </c>
      <c r="C23" s="139"/>
      <c r="D23" s="139"/>
      <c r="E23" s="139"/>
      <c r="F23" s="140"/>
      <c r="G23" s="63">
        <f>(SUM(G16:G18)-G19)*(1+'Fane 13. Nøgletal'!C9)</f>
        <v>3077894.1480730907</v>
      </c>
      <c r="H23" s="14" t="s">
        <v>3</v>
      </c>
      <c r="I23" s="1"/>
    </row>
    <row r="24" spans="1:9" x14ac:dyDescent="0.25">
      <c r="A24" s="1"/>
      <c r="B24" s="142" t="s">
        <v>67</v>
      </c>
      <c r="C24" s="143"/>
      <c r="D24" s="143"/>
      <c r="E24" s="143"/>
      <c r="F24" s="144"/>
      <c r="G24" s="66">
        <v>0</v>
      </c>
      <c r="H24" s="14" t="s">
        <v>3</v>
      </c>
      <c r="I24" s="1"/>
    </row>
    <row r="25" spans="1:9" x14ac:dyDescent="0.25">
      <c r="A25" s="1"/>
      <c r="B25" s="138" t="s">
        <v>68</v>
      </c>
      <c r="C25" s="139"/>
      <c r="D25" s="139"/>
      <c r="E25" s="139"/>
      <c r="F25" s="140"/>
      <c r="G25" s="63">
        <f>G23*'Fane 13. Nøgletal'!C35+G24*'Fane 13. Nøgletal'!C35</f>
        <v>52324.200517242549</v>
      </c>
      <c r="H25" s="14" t="s">
        <v>3</v>
      </c>
      <c r="I25" s="1"/>
    </row>
    <row r="26" spans="1:9" x14ac:dyDescent="0.25">
      <c r="A26" s="1"/>
      <c r="B26" s="75"/>
      <c r="C26" s="76"/>
      <c r="D26" s="76"/>
      <c r="E26" s="76"/>
      <c r="F26" s="76"/>
      <c r="G26" s="64"/>
      <c r="H26" s="19"/>
      <c r="I26" s="1"/>
    </row>
    <row r="27" spans="1:9" x14ac:dyDescent="0.25">
      <c r="A27" s="1"/>
      <c r="B27" s="1"/>
      <c r="C27" s="1"/>
      <c r="D27" s="1"/>
      <c r="E27" s="1"/>
      <c r="F27" s="1"/>
      <c r="G27" s="65"/>
      <c r="H27" s="1"/>
      <c r="I27" s="1"/>
    </row>
    <row r="28" spans="1:9" x14ac:dyDescent="0.25">
      <c r="A28" s="1"/>
      <c r="B28" s="135" t="s">
        <v>130</v>
      </c>
      <c r="C28" s="136"/>
      <c r="D28" s="136"/>
      <c r="E28" s="136"/>
      <c r="F28" s="136"/>
      <c r="G28" s="141"/>
      <c r="H28" s="137"/>
      <c r="I28" s="1"/>
    </row>
    <row r="29" spans="1:9" x14ac:dyDescent="0.25">
      <c r="A29" s="1"/>
      <c r="B29" s="138" t="s">
        <v>69</v>
      </c>
      <c r="C29" s="139"/>
      <c r="D29" s="139"/>
      <c r="E29" s="139"/>
      <c r="F29" s="140"/>
      <c r="G29" s="63">
        <f>(G23+G24-G25)*(1+'Fane 13. Nøgletal'!C13)+32.36/2</f>
        <v>3062498.0809160294</v>
      </c>
      <c r="H29" s="14" t="s">
        <v>3</v>
      </c>
      <c r="I29" s="1"/>
    </row>
    <row r="30" spans="1:9" x14ac:dyDescent="0.25">
      <c r="A30" s="1"/>
      <c r="B30" s="138" t="s">
        <v>123</v>
      </c>
      <c r="C30" s="139"/>
      <c r="D30" s="139"/>
      <c r="E30" s="139"/>
      <c r="F30" s="140"/>
      <c r="G30" s="66">
        <v>0</v>
      </c>
      <c r="H30" s="14" t="s">
        <v>3</v>
      </c>
      <c r="I30" s="1"/>
    </row>
    <row r="31" spans="1:9" x14ac:dyDescent="0.25">
      <c r="A31" s="1"/>
      <c r="B31" s="138" t="s">
        <v>131</v>
      </c>
      <c r="C31" s="139"/>
      <c r="D31" s="139"/>
      <c r="E31" s="139"/>
      <c r="F31" s="140"/>
      <c r="G31" s="63">
        <f>(G29+G30)*'Fane 13. Nøgletal'!C24</f>
        <v>84218.697225190816</v>
      </c>
      <c r="H31" s="14" t="s">
        <v>3</v>
      </c>
      <c r="I31" s="1"/>
    </row>
    <row r="32" spans="1:9" x14ac:dyDescent="0.25">
      <c r="A32" s="1"/>
      <c r="B32" s="75"/>
      <c r="C32" s="76"/>
      <c r="D32" s="76"/>
      <c r="E32" s="76"/>
      <c r="F32" s="76"/>
      <c r="G32" s="64"/>
      <c r="H32" s="19"/>
      <c r="I32" s="1"/>
    </row>
    <row r="33" spans="1:9" x14ac:dyDescent="0.25">
      <c r="A33" s="1"/>
      <c r="B33" s="1"/>
      <c r="C33" s="1"/>
      <c r="D33" s="1"/>
      <c r="E33" s="1"/>
      <c r="F33" s="1"/>
      <c r="G33" s="65"/>
      <c r="H33" s="1"/>
      <c r="I33" s="1"/>
    </row>
    <row r="34" spans="1:9" x14ac:dyDescent="0.25">
      <c r="A34" s="1"/>
      <c r="B34" s="135" t="s">
        <v>135</v>
      </c>
      <c r="C34" s="136"/>
      <c r="D34" s="136"/>
      <c r="E34" s="136"/>
      <c r="F34" s="136"/>
      <c r="G34" s="141"/>
      <c r="H34" s="137"/>
      <c r="I34" s="1"/>
    </row>
    <row r="35" spans="1:9" x14ac:dyDescent="0.25">
      <c r="A35" s="1"/>
      <c r="B35" s="138" t="s">
        <v>72</v>
      </c>
      <c r="C35" s="139"/>
      <c r="D35" s="139"/>
      <c r="E35" s="139"/>
      <c r="F35" s="140"/>
      <c r="G35" s="63">
        <f>(G29+G30-G31)*(1+'Fane 13. Nøgletal'!C13)</f>
        <v>3014614.3921718667</v>
      </c>
      <c r="H35" s="14" t="s">
        <v>3</v>
      </c>
      <c r="I35" s="1"/>
    </row>
    <row r="36" spans="1:9" s="59" customFormat="1" x14ac:dyDescent="0.25">
      <c r="A36" s="56"/>
      <c r="B36" s="27" t="s">
        <v>242</v>
      </c>
      <c r="C36" s="57"/>
      <c r="D36" s="57"/>
      <c r="E36" s="57"/>
      <c r="F36" s="58"/>
      <c r="G36" s="66">
        <v>0</v>
      </c>
      <c r="H36" s="14" t="s">
        <v>3</v>
      </c>
      <c r="I36" s="56"/>
    </row>
    <row r="37" spans="1:9" x14ac:dyDescent="0.25">
      <c r="A37" s="1"/>
      <c r="B37" s="138" t="s">
        <v>141</v>
      </c>
      <c r="C37" s="139"/>
      <c r="D37" s="139"/>
      <c r="E37" s="139"/>
      <c r="F37" s="140"/>
      <c r="G37" s="66">
        <v>0</v>
      </c>
      <c r="H37" s="14" t="s">
        <v>3</v>
      </c>
      <c r="I37" s="1"/>
    </row>
    <row r="38" spans="1:9" x14ac:dyDescent="0.25">
      <c r="A38" s="1"/>
      <c r="B38" s="138" t="s">
        <v>136</v>
      </c>
      <c r="C38" s="139"/>
      <c r="D38" s="139"/>
      <c r="E38" s="139"/>
      <c r="F38" s="140"/>
      <c r="G38" s="63">
        <f>G35*'Fane 13. Nøgletal'!C24+G37*'Fane 13. Nøgletal'!C25</f>
        <v>82901.895784726337</v>
      </c>
      <c r="H38" s="14" t="s">
        <v>3</v>
      </c>
      <c r="I38" s="1"/>
    </row>
    <row r="39" spans="1:9" x14ac:dyDescent="0.25">
      <c r="A39" s="1"/>
      <c r="B39" s="75"/>
      <c r="C39" s="76"/>
      <c r="D39" s="76"/>
      <c r="E39" s="76"/>
      <c r="F39" s="76"/>
      <c r="G39" s="64"/>
      <c r="H39" s="19"/>
      <c r="I39" s="1"/>
    </row>
    <row r="40" spans="1:9" x14ac:dyDescent="0.25">
      <c r="A40" s="1"/>
      <c r="B40" s="1"/>
      <c r="C40" s="1"/>
      <c r="D40" s="1"/>
      <c r="E40" s="1"/>
      <c r="F40" s="1"/>
      <c r="G40" s="65"/>
      <c r="H40" s="1"/>
      <c r="I40" s="1"/>
    </row>
    <row r="41" spans="1:9" x14ac:dyDescent="0.25">
      <c r="A41" s="1"/>
      <c r="B41" s="135" t="s">
        <v>257</v>
      </c>
      <c r="C41" s="136"/>
      <c r="D41" s="136"/>
      <c r="E41" s="136"/>
      <c r="F41" s="136"/>
      <c r="G41" s="141"/>
      <c r="H41" s="137"/>
      <c r="I41" s="1"/>
    </row>
    <row r="42" spans="1:9" x14ac:dyDescent="0.25">
      <c r="A42" s="1"/>
      <c r="B42" s="138" t="s">
        <v>71</v>
      </c>
      <c r="C42" s="139"/>
      <c r="D42" s="139"/>
      <c r="E42" s="139"/>
      <c r="F42" s="140"/>
      <c r="G42" s="63">
        <f>(G35+G37-G38)*(1+'Fane 13. Nøgletal'!C15)</f>
        <v>3036081.4612585227</v>
      </c>
      <c r="H42" s="14" t="s">
        <v>3</v>
      </c>
      <c r="I42" s="1"/>
    </row>
    <row r="43" spans="1:9" x14ac:dyDescent="0.25">
      <c r="A43" s="1"/>
      <c r="B43" s="138" t="s">
        <v>243</v>
      </c>
      <c r="C43" s="139"/>
      <c r="D43" s="139"/>
      <c r="E43" s="139"/>
      <c r="F43" s="140"/>
      <c r="G43" s="66">
        <v>0</v>
      </c>
      <c r="H43" s="14" t="s">
        <v>3</v>
      </c>
      <c r="I43" s="1"/>
    </row>
    <row r="44" spans="1:9" x14ac:dyDescent="0.25">
      <c r="A44" s="1"/>
      <c r="B44" s="138" t="s">
        <v>70</v>
      </c>
      <c r="C44" s="139"/>
      <c r="D44" s="139"/>
      <c r="E44" s="139"/>
      <c r="F44" s="140"/>
      <c r="G44" s="63">
        <f>(G42+G43)*'Fane 13. Nøgletal'!C26</f>
        <v>0</v>
      </c>
      <c r="H44" s="14" t="s">
        <v>3</v>
      </c>
      <c r="I44" s="1"/>
    </row>
    <row r="45" spans="1:9" x14ac:dyDescent="0.25">
      <c r="A45" s="1"/>
      <c r="B45" s="75"/>
      <c r="C45" s="76"/>
      <c r="D45" s="76"/>
      <c r="E45" s="76"/>
      <c r="F45" s="76"/>
      <c r="G45" s="64"/>
      <c r="H45" s="19"/>
      <c r="I45" s="1"/>
    </row>
    <row r="46" spans="1:9" x14ac:dyDescent="0.25">
      <c r="A46" s="1"/>
      <c r="B46" s="1"/>
      <c r="C46" s="1"/>
      <c r="D46" s="1"/>
      <c r="E46" s="1"/>
      <c r="F46" s="1"/>
      <c r="G46" s="65"/>
      <c r="H46" s="1"/>
      <c r="I46" s="1"/>
    </row>
    <row r="47" spans="1:9" x14ac:dyDescent="0.25">
      <c r="A47" s="1"/>
      <c r="B47" s="1"/>
      <c r="C47" s="1"/>
      <c r="D47" s="1"/>
      <c r="E47" s="1"/>
      <c r="F47" s="1"/>
      <c r="G47" s="65"/>
      <c r="H47" s="1"/>
      <c r="I47" s="1"/>
    </row>
    <row r="48" spans="1:9" x14ac:dyDescent="0.25">
      <c r="A48" s="1"/>
      <c r="B48" s="1"/>
      <c r="C48" s="1"/>
      <c r="D48" s="1"/>
      <c r="E48" s="1"/>
      <c r="F48" s="1"/>
      <c r="G48" s="65"/>
      <c r="H48" s="1"/>
      <c r="I48" s="1"/>
    </row>
    <row r="49" spans="1:9" x14ac:dyDescent="0.25">
      <c r="A49" s="1"/>
      <c r="B49" s="1"/>
      <c r="C49" s="1"/>
      <c r="D49" s="1"/>
      <c r="E49" s="1"/>
      <c r="F49" s="1"/>
      <c r="G49" s="65"/>
      <c r="H49" s="1"/>
      <c r="I49" s="1"/>
    </row>
    <row r="50" spans="1:9" x14ac:dyDescent="0.25">
      <c r="A50" s="1"/>
      <c r="B50" s="1"/>
      <c r="C50" s="1"/>
      <c r="D50" s="1"/>
      <c r="E50" s="1"/>
      <c r="F50" s="1"/>
      <c r="G50" s="65"/>
      <c r="H50" s="1"/>
      <c r="I50" s="1"/>
    </row>
    <row r="51" spans="1:9" x14ac:dyDescent="0.25">
      <c r="A51" s="1"/>
      <c r="B51" s="135" t="s">
        <v>258</v>
      </c>
      <c r="C51" s="136"/>
      <c r="D51" s="136"/>
      <c r="E51" s="136"/>
      <c r="F51" s="136"/>
      <c r="G51" s="141"/>
      <c r="H51" s="137"/>
      <c r="I51" s="1"/>
    </row>
    <row r="52" spans="1:9" x14ac:dyDescent="0.25">
      <c r="A52" s="1"/>
      <c r="B52" s="138" t="s">
        <v>124</v>
      </c>
      <c r="C52" s="139"/>
      <c r="D52" s="139"/>
      <c r="E52" s="139"/>
      <c r="F52" s="140"/>
      <c r="G52" s="63">
        <f>(G42+G43-G44)*(1+'Fane 13. Nøgletal'!C15)</f>
        <v>3144165.9612793261</v>
      </c>
      <c r="H52" s="14" t="s">
        <v>3</v>
      </c>
      <c r="I52" s="1"/>
    </row>
    <row r="53" spans="1:9" x14ac:dyDescent="0.25">
      <c r="A53" s="1"/>
      <c r="B53" s="138" t="s">
        <v>244</v>
      </c>
      <c r="C53" s="139"/>
      <c r="D53" s="139"/>
      <c r="E53" s="139"/>
      <c r="F53" s="140"/>
      <c r="G53" s="66">
        <v>0</v>
      </c>
      <c r="H53" s="14" t="s">
        <v>3</v>
      </c>
      <c r="I53" s="1"/>
    </row>
    <row r="54" spans="1:9" x14ac:dyDescent="0.25">
      <c r="A54" s="1"/>
      <c r="B54" s="138" t="s">
        <v>125</v>
      </c>
      <c r="C54" s="139"/>
      <c r="D54" s="139"/>
      <c r="E54" s="139"/>
      <c r="F54" s="140"/>
      <c r="G54" s="63">
        <f>(G52+G53)*'Fane 13. Nøgletal'!C26</f>
        <v>0</v>
      </c>
      <c r="H54" s="14" t="s">
        <v>3</v>
      </c>
      <c r="I54" s="1"/>
    </row>
    <row r="55" spans="1:9" x14ac:dyDescent="0.25">
      <c r="A55" s="1"/>
      <c r="B55" s="75"/>
      <c r="C55" s="76"/>
      <c r="D55" s="76"/>
      <c r="E55" s="76"/>
      <c r="F55" s="76"/>
      <c r="G55" s="64"/>
      <c r="H55" s="19"/>
      <c r="I55" s="1"/>
    </row>
    <row r="56" spans="1:9" x14ac:dyDescent="0.25">
      <c r="A56" s="1"/>
      <c r="B56" s="1"/>
      <c r="C56" s="1"/>
      <c r="D56" s="1"/>
      <c r="E56" s="1"/>
      <c r="F56" s="1"/>
      <c r="G56" s="65"/>
      <c r="H56" s="1"/>
      <c r="I56" s="1"/>
    </row>
    <row r="57" spans="1:9" x14ac:dyDescent="0.25">
      <c r="A57" s="1"/>
      <c r="B57" s="135" t="s">
        <v>142</v>
      </c>
      <c r="C57" s="136"/>
      <c r="D57" s="136"/>
      <c r="E57" s="136"/>
      <c r="F57" s="136"/>
      <c r="G57" s="141"/>
      <c r="H57" s="137"/>
      <c r="I57" s="1"/>
    </row>
    <row r="58" spans="1:9" x14ac:dyDescent="0.25">
      <c r="A58" s="1"/>
      <c r="B58" s="138" t="s">
        <v>143</v>
      </c>
      <c r="C58" s="139"/>
      <c r="D58" s="139"/>
      <c r="E58" s="139"/>
      <c r="F58" s="140"/>
      <c r="G58" s="63">
        <f>(G52+G53-G54)*(1+'Fane 13. Nøgletal'!C15)</f>
        <v>3256098.2695008703</v>
      </c>
      <c r="H58" s="14" t="s">
        <v>3</v>
      </c>
      <c r="I58" s="1"/>
    </row>
    <row r="59" spans="1:9" x14ac:dyDescent="0.25">
      <c r="A59" s="1"/>
      <c r="B59" s="138" t="s">
        <v>245</v>
      </c>
      <c r="C59" s="139"/>
      <c r="D59" s="139"/>
      <c r="E59" s="139"/>
      <c r="F59" s="140"/>
      <c r="G59" s="9">
        <v>0</v>
      </c>
      <c r="H59" s="14" t="s">
        <v>3</v>
      </c>
      <c r="I59" s="1"/>
    </row>
    <row r="60" spans="1:9" x14ac:dyDescent="0.25">
      <c r="A60" s="1"/>
      <c r="B60" s="138" t="s">
        <v>144</v>
      </c>
      <c r="C60" s="139"/>
      <c r="D60" s="139"/>
      <c r="E60" s="139"/>
      <c r="F60" s="140"/>
      <c r="G60" s="22">
        <f>(G58+G59)*'Fane 13. Nøgletal'!C26</f>
        <v>0</v>
      </c>
      <c r="H60" s="14" t="s">
        <v>3</v>
      </c>
      <c r="I60" s="1"/>
    </row>
    <row r="61" spans="1:9" x14ac:dyDescent="0.25">
      <c r="A61" s="1"/>
      <c r="B61" s="75"/>
      <c r="C61" s="76"/>
      <c r="D61" s="76"/>
      <c r="E61" s="76"/>
      <c r="F61" s="76"/>
      <c r="G61" s="76"/>
      <c r="H61" s="19"/>
      <c r="I61" s="1"/>
    </row>
    <row r="62" spans="1:9" x14ac:dyDescent="0.25">
      <c r="A62" s="1"/>
      <c r="B62" s="1"/>
      <c r="C62" s="1"/>
      <c r="D62" s="1"/>
      <c r="E62" s="1"/>
      <c r="F62" s="1"/>
      <c r="G62" s="1"/>
      <c r="H62" s="1"/>
      <c r="I62" s="1"/>
    </row>
    <row r="63" spans="1:9" x14ac:dyDescent="0.25">
      <c r="A63" s="1"/>
      <c r="B63" s="135" t="s">
        <v>177</v>
      </c>
      <c r="C63" s="136"/>
      <c r="D63" s="136"/>
      <c r="E63" s="136"/>
      <c r="F63" s="136"/>
      <c r="G63" s="136"/>
      <c r="H63" s="137"/>
      <c r="I63" s="1"/>
    </row>
    <row r="64" spans="1:9" x14ac:dyDescent="0.25">
      <c r="A64" s="1"/>
      <c r="B64" s="138" t="s">
        <v>178</v>
      </c>
      <c r="C64" s="139"/>
      <c r="D64" s="139"/>
      <c r="E64" s="139"/>
      <c r="F64" s="140"/>
      <c r="G64" s="22">
        <f>(G58+G59-G60)*(1+'Fane 13. Nøgletal'!C15)</f>
        <v>3372015.3678951017</v>
      </c>
      <c r="H64" s="14" t="s">
        <v>3</v>
      </c>
      <c r="I64" s="1"/>
    </row>
    <row r="65" spans="1:9" x14ac:dyDescent="0.25">
      <c r="A65" s="1"/>
      <c r="B65" s="138" t="s">
        <v>179</v>
      </c>
      <c r="C65" s="139"/>
      <c r="D65" s="139"/>
      <c r="E65" s="139"/>
      <c r="F65" s="140"/>
      <c r="G65" s="22">
        <f>(G64)*'Fane 13. Nøgletal'!C26</f>
        <v>0</v>
      </c>
      <c r="H65" s="14" t="s">
        <v>3</v>
      </c>
      <c r="I65" s="1"/>
    </row>
    <row r="66" spans="1:9" x14ac:dyDescent="0.25">
      <c r="A66" s="1"/>
      <c r="B66" s="75"/>
      <c r="C66" s="76"/>
      <c r="D66" s="76"/>
      <c r="E66" s="76"/>
      <c r="F66" s="76"/>
      <c r="G66" s="76"/>
      <c r="H66" s="19"/>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row r="71" spans="1:9" x14ac:dyDescent="0.25">
      <c r="A71" s="1"/>
      <c r="B71" s="1"/>
      <c r="C71" s="1"/>
      <c r="D71" s="1"/>
      <c r="E71" s="1"/>
      <c r="F71" s="1"/>
      <c r="G71" s="1"/>
      <c r="H71" s="1"/>
      <c r="I71" s="1"/>
    </row>
    <row r="72" spans="1:9" x14ac:dyDescent="0.25">
      <c r="A72" s="1"/>
      <c r="B72" s="1"/>
      <c r="C72" s="1"/>
      <c r="D72" s="1"/>
      <c r="E72" s="1"/>
      <c r="F72" s="1"/>
      <c r="G72" s="1"/>
      <c r="H72" s="1"/>
      <c r="I72" s="1"/>
    </row>
  </sheetData>
  <sheetProtection algorithmName="SHA-512" hashValue="pIF1VVVTXnwQV4F7iJc1aA5ookyphK1IRNvnY3nXSS+ScaJ7SRZIyVdRW9NLSlZ2aKaAq7zVHtHKvwUliCWfOA==" saltValue="E9E4OSIdru8EKvqzTBmRKQ==" spinCount="100000" sheet="1" objects="1" scenarios="1"/>
  <mergeCells count="40">
    <mergeCell ref="B10:F10"/>
    <mergeCell ref="B1:H3"/>
    <mergeCell ref="B4:H4"/>
    <mergeCell ref="B5:F5"/>
    <mergeCell ref="B6:F6"/>
    <mergeCell ref="B9:H9"/>
    <mergeCell ref="B28:H28"/>
    <mergeCell ref="B11:F11"/>
    <mergeCell ref="B12:F12"/>
    <mergeCell ref="B15:H15"/>
    <mergeCell ref="B16:F16"/>
    <mergeCell ref="B17:F17"/>
    <mergeCell ref="B18:F18"/>
    <mergeCell ref="B19:F19"/>
    <mergeCell ref="B22:H22"/>
    <mergeCell ref="B23:F23"/>
    <mergeCell ref="B24:F24"/>
    <mergeCell ref="B25:F25"/>
    <mergeCell ref="B51:H51"/>
    <mergeCell ref="B29:F29"/>
    <mergeCell ref="B30:F30"/>
    <mergeCell ref="B31:F31"/>
    <mergeCell ref="B34:H34"/>
    <mergeCell ref="B35:F35"/>
    <mergeCell ref="B37:F37"/>
    <mergeCell ref="B38:F38"/>
    <mergeCell ref="B41:H41"/>
    <mergeCell ref="B42:F42"/>
    <mergeCell ref="B43:F43"/>
    <mergeCell ref="B44:F44"/>
    <mergeCell ref="B60:F60"/>
    <mergeCell ref="B63:H63"/>
    <mergeCell ref="B64:F64"/>
    <mergeCell ref="B65:F65"/>
    <mergeCell ref="B52:F52"/>
    <mergeCell ref="B53:F53"/>
    <mergeCell ref="B54:F54"/>
    <mergeCell ref="B57:H57"/>
    <mergeCell ref="B58:F58"/>
    <mergeCell ref="B59:F59"/>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H47"/>
  <sheetViews>
    <sheetView showGridLines="0" view="pageLayout" zoomScaleNormal="100" workbookViewId="0"/>
  </sheetViews>
  <sheetFormatPr defaultColWidth="9" defaultRowHeight="15" x14ac:dyDescent="0.25"/>
  <cols>
    <col min="1" max="1" width="7.85546875" style="2" customWidth="1"/>
    <col min="2" max="5" width="9" style="2"/>
    <col min="6" max="6" width="19.8554687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2" t="s">
        <v>82</v>
      </c>
      <c r="C3" s="112"/>
      <c r="D3" s="112"/>
      <c r="E3" s="112"/>
      <c r="F3" s="112"/>
      <c r="G3" s="112"/>
      <c r="H3" s="1"/>
    </row>
    <row r="4" spans="1:8" ht="15" customHeight="1" x14ac:dyDescent="0.25">
      <c r="A4" s="1"/>
      <c r="B4" s="112"/>
      <c r="C4" s="112"/>
      <c r="D4" s="112"/>
      <c r="E4" s="112"/>
      <c r="F4" s="112"/>
      <c r="G4" s="112"/>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5" t="s">
        <v>9</v>
      </c>
      <c r="C8" s="136"/>
      <c r="D8" s="136"/>
      <c r="E8" s="136"/>
      <c r="F8" s="136"/>
      <c r="G8" s="137"/>
      <c r="H8" s="1"/>
    </row>
    <row r="9" spans="1:8" x14ac:dyDescent="0.25">
      <c r="A9" s="1"/>
      <c r="B9" s="88" t="s">
        <v>180</v>
      </c>
      <c r="C9" s="89"/>
      <c r="D9" s="89"/>
      <c r="E9" s="89"/>
      <c r="F9" s="90"/>
      <c r="G9" s="29">
        <v>0</v>
      </c>
      <c r="H9" s="1"/>
    </row>
    <row r="10" spans="1:8" x14ac:dyDescent="0.25">
      <c r="A10" s="1"/>
      <c r="B10" s="85"/>
      <c r="C10" s="86"/>
      <c r="D10" s="86"/>
      <c r="E10" s="86"/>
      <c r="F10" s="86"/>
      <c r="G10" s="19"/>
      <c r="H10" s="1"/>
    </row>
    <row r="11" spans="1:8" x14ac:dyDescent="0.25">
      <c r="A11" s="1"/>
      <c r="B11" s="1"/>
      <c r="C11" s="1"/>
      <c r="D11" s="1"/>
      <c r="E11" s="1"/>
      <c r="F11" s="1"/>
      <c r="G11" s="1"/>
      <c r="H11" s="1"/>
    </row>
    <row r="12" spans="1:8" ht="31.5" customHeight="1" x14ac:dyDescent="0.25">
      <c r="A12" s="1"/>
      <c r="B12" s="148" t="s">
        <v>197</v>
      </c>
      <c r="C12" s="148"/>
      <c r="D12" s="148"/>
      <c r="E12" s="148"/>
      <c r="F12" s="148"/>
      <c r="G12" s="148"/>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sheetData>
  <sheetProtection algorithmName="SHA-512" hashValue="4oJK3iyKMkPeylvxmtGglK0aP9P4RvIsMMx1ZK1oHdZcmFRAtcxvaRKuK7v9RDKz71L3JNgFEKAApXApjaVZAg==" saltValue="znZjzjGfa3I4D9Uv+dK3Hw=="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2022-12-01T08:55:37Z</dcterms:modified>
</cp:coreProperties>
</file>