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arhus Vand AS (S11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E22" i="39"/>
  <c r="C23" i="15" s="1"/>
  <c r="E30" i="39"/>
  <c r="C23" i="22" s="1"/>
  <c r="C14" i="39"/>
  <c r="C26" i="2" s="1"/>
  <c r="E14" i="39"/>
  <c r="C27" i="2" s="1"/>
  <c r="C22" i="39"/>
  <c r="C22" i="15" s="1"/>
  <c r="C22" i="22"/>
  <c r="C22" i="23"/>
  <c r="C23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4" i="37" s="1"/>
  <c r="C15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4" i="37" s="1"/>
  <c r="E15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<sst xmlns="http://schemas.openxmlformats.org/spreadsheetml/2006/main" count="714" uniqueCount="289">
  <si>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</si>
  <si>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</si>
  <si>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</si>
  <si>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</si>
  <si>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</si>
  <si>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</si>
  <si>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</si>
  <si>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</si>
  <si>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</si>
  <si>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</si>
  <si>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</si>
  <si>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</si>
  <si>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</si>
  <si>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</si>
  <si>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</si>
  <si>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</si>
  <si>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</si>
  <si>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</si>
  <si>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</si>
  <si>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</si>
  <si>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</si>
  <si>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</si>
  <si>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</si>
  <si>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</si>
  <si>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</si>
  <si>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</si>
  <si>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</si>
  <si>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</si>
  <si>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</si>
  <si>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</si>
  <si>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</si>
  <si>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</si>
  <si>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</si>
  <si>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</si>
  <si>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</si>
  <si>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</si>
  <si>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</si>
  <si>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</si>
  <si>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</si>
  <si>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</si>
  <si>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</si>
  <si>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</si>
  <si>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</si>
  <si>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</si>
  <si>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</si>
  <si>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</si>
  <si>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</si>
  <si>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</si>
  <si>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</si>
  <si>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</si>
  <si>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</si>
  <si>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</si>
  <si>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</si>
  <si>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</si>
  <si>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</si>
  <si>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</si>
  <si>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</si>
  <si>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</si>
  <si>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</si>
  <si>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</si>
  <si>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</si>
  <si>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</si>
  <si>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</si>
  <si>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</si>
  <si>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</si>
  <si>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</si>
  <si>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</si>
  <si>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</si>
  <si>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</si>
  <si>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</si>
  <si>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</si>
  <si>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</si>
  <si>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</si>
  <si>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</si>
  <si>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</si>
  <si>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</si>
  <si>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</si>
  <si>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</si>
  <si>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</si>
  <si>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</si>
  <si>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</si>
  <si>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</si>
  <si>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</si>
  <si>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</si>
  <si>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</si>
  <si>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</si>
  <si>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</si>
  <si>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</si>
  <si>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</si>
  <si>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</si>
  <si>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</si>
  <si>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</si>
  <si>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</si>
  <si>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</si>
  <si>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</si>
  <si>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</si>
  <si>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</si>
  <si>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</si>
  <si>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</si>
  <si>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</si>
  <si>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</si>
  <si>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</si>
  <si>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</si>
  <si>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</si>
  <si>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</si>
  <si>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</si>
  <si>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</si>
  <si>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</si>
  <si>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</si>
  <si>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</si>
  <si>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</si>
  <si>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</si>
  <si>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</si>
  <si>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</si>
  <si>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</si>
  <si>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</si>
  <si>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</si>
  <si>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</si>
  <si>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</si>
  <si>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</si>
  <si>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</si>
  <si>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</si>
  <si>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</si>
  <si>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</si>
  <si>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</si>
  <si>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</si>
  <si>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</si>
  <si>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</si>
  <si>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</si>
  <si>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</si>
  <si>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</si>
  <si>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</si>
  <si>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</si>
  <si>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</si>
  <si>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</si>
  <si>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</si>
  <si>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</si>
  <si>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</si>
  <si>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</si>
  <si>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</si>
  <si>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</si>
  <si>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</si>
  <si>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</si>
  <si>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</si>
  <si>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</si>
  <si>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</si>
  <si>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</si>
  <si>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</si>
  <si>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</si>
  <si>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</si>
  <si>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</si>
  <si>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</si>
  <si>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</si>
  <si>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</si>
  <si>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</si>
  <si>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</si>
  <si>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</si>
  <si>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</si>
  <si>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</si>
  <si>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</si>
  <si>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</si>
  <si>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</si>
  <si>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</si>
  <si>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</si>
  <si>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</si>
  <si>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</si>
  <si>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</si>
  <si>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</si>
  <si>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</si>
  <si>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</si>
  <si>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</si>
  <si>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</si>
  <si>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</si>
  <si>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</si>
  <si>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</si>
  <si>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</si>
  <si>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</si>
  <si>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</si>
  <si>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</si>
  <si>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</si>
  <si>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</si>
  <si>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</si>
  <si>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</si>
  <si>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</si>
  <si>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</si>
  <si>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</si>
  <si>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</si>
  <si>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</si>
  <si>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</si>
  <si>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</si>
  <si>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</si>
  <si>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</si>
  <si>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</si>
  <si>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</si>
  <si>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</si>
  <si>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</si>
  <si>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</si>
  <si>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</si>
  <si>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</si>
  <si>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</si>
  <si>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</si>
  <si>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</si>
  <si>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</si>
  <si>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</si>
  <si>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</si>
  <si>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</si>
  <si>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</si>
  <si>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</si>
  <si>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</si>
  <si>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</si>
  <si>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</si>
  <si>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</si>
  <si>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</si>
  <si>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</si>
  <si>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</si>
  <si>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</si>
  <si>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</si>
  <si>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</si>
  <si>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</si>
  <si>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</si>
  <si>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</si>
  <si>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</si>
  <si>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</si>
  <si>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</si>
  <si>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</si>
  <si>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</si>
  <si>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</si>
  <si>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</si>
  <si>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</si>
  <si>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</si>
  <si>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</si>
  <si>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</si>
  <si>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</si>
  <si>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</si>
  <si>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</si>
  <si>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</si>
  <si>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</si>
  <si>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</si>
  <si>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</si>
  <si>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</si>
  <si>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</si>
  <si>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</si>
  <si>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</si>
  <si>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</si>
  <si>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</si>
  <si>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</si>
  <si>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</si>
  <si>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</si>
  <si>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</si>
  <si>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</si>
  <si>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</si>
  <si>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</si>
  <si>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</si>
  <si>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</si>
  <si>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</si>
  <si>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</si>
  <si>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</si>
  <si>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</si>
  <si>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</si>
  <si>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</si>
  <si>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</si>
  <si>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</si>
  <si>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</si>
  <si>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</si>
  <si>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</si>
  <si>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</si>
  <si>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</si>
  <si>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</si>
  <si>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</si>
  <si>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</si>
  <si>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</si>
  <si>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</si>
  <si>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</si>
  <si>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</si>
  <si>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</si>
  <si>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</si>
  <si>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</si>
  <si>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</si>
  <si>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</si>
  <si>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</si>
  <si>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Udvidelser af forsyningsområde</t>
  </si>
  <si>
    <t>Oprensning af regnvandsbassiner</t>
  </si>
  <si>
    <t>Separatkloakering, klimaaftale og DONUT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</si>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</sst>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287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T7HbNcdQ/dUSWE3OkLwmqMsh1qp4dRaksj5kBwBF4jF6P77eQ39JF0io47mv52aTYJpQxM8C9QCB2cU607bAQ==" saltValue="PgnDLWAzFjPE/Vp2PsVgLw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5" t="s">
        <v>262</v>
      </c>
      <c r="C10" s="9">
        <v>7252855</v>
      </c>
      <c r="D10" s="14" t="s">
        <v>3</v>
      </c>
      <c r="E10" s="1"/>
      <c r="F10" s="1"/>
    </row>
    <row r="11" spans="1:6" ht="15" customHeight="1" x14ac:dyDescent="0.25">
      <c r="A11" s="1"/>
      <c r="B11" s="65" t="s">
        <v>263</v>
      </c>
      <c r="C11" s="9">
        <v>324167</v>
      </c>
      <c r="D11" s="14" t="s">
        <v>3</v>
      </c>
      <c r="E11" s="1"/>
      <c r="F11" s="1"/>
    </row>
    <row r="12" spans="1:6" x14ac:dyDescent="0.25">
      <c r="A12" s="1"/>
      <c r="B12" s="65" t="s">
        <v>264</v>
      </c>
      <c r="C12" s="9">
        <v>1538696</v>
      </c>
      <c r="D12" s="14" t="s">
        <v>3</v>
      </c>
      <c r="E12" s="1"/>
      <c r="F12" s="1"/>
    </row>
    <row r="13" spans="1:6" x14ac:dyDescent="0.25">
      <c r="A13" s="1"/>
      <c r="B13" s="65" t="s">
        <v>265</v>
      </c>
      <c r="C13" s="9">
        <v>1613463</v>
      </c>
      <c r="D13" s="14" t="s">
        <v>3</v>
      </c>
      <c r="E13" s="1"/>
      <c r="F13" s="1"/>
    </row>
    <row r="14" spans="1:6" x14ac:dyDescent="0.25">
      <c r="A14" s="1"/>
      <c r="B14" s="65" t="s">
        <v>266</v>
      </c>
      <c r="C14" s="9">
        <v>6171790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16900971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17012701.460174192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9" t="s">
        <v>142</v>
      </c>
      <c r="C19" s="100"/>
      <c r="D19" s="101"/>
      <c r="E19" s="1"/>
      <c r="F19" s="1"/>
    </row>
    <row r="20" spans="1:6" x14ac:dyDescent="0.25">
      <c r="A20" s="1"/>
      <c r="B20" s="65" t="s">
        <v>116</v>
      </c>
      <c r="C20" s="9">
        <v>5003329</v>
      </c>
      <c r="D20" s="14" t="s">
        <v>3</v>
      </c>
      <c r="E20" s="1"/>
      <c r="F20" s="1"/>
    </row>
    <row r="21" spans="1:6" x14ac:dyDescent="0.25">
      <c r="A21" s="1"/>
      <c r="B21" s="65" t="s">
        <v>117</v>
      </c>
      <c r="C21" s="9">
        <v>5016624</v>
      </c>
      <c r="D21" s="14" t="s">
        <v>3</v>
      </c>
      <c r="E21" s="1"/>
      <c r="F21" s="1"/>
    </row>
    <row r="22" spans="1:6" x14ac:dyDescent="0.25">
      <c r="A22" s="1"/>
      <c r="B22" s="65" t="s">
        <v>154</v>
      </c>
      <c r="C22" s="9">
        <v>5030137</v>
      </c>
      <c r="D22" s="14" t="s">
        <v>3</v>
      </c>
      <c r="E22" s="1"/>
      <c r="F22" s="1"/>
    </row>
    <row r="23" spans="1:6" x14ac:dyDescent="0.25">
      <c r="A23" s="1"/>
      <c r="B23" s="65" t="s">
        <v>211</v>
      </c>
      <c r="C23" s="9">
        <v>5043871</v>
      </c>
      <c r="D23" s="14" t="s">
        <v>3</v>
      </c>
      <c r="E23" s="1"/>
      <c r="F23" s="1"/>
    </row>
    <row r="24" spans="1:6" x14ac:dyDescent="0.25">
      <c r="A24" s="1"/>
      <c r="B24" s="99"/>
      <c r="C24" s="100"/>
      <c r="D24" s="10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9" t="s">
        <v>115</v>
      </c>
      <c r="C27" s="100"/>
      <c r="D27" s="101"/>
      <c r="E27" s="1"/>
      <c r="F27" s="1"/>
    </row>
    <row r="28" spans="1:6" x14ac:dyDescent="0.25">
      <c r="A28" s="1"/>
      <c r="B28" s="65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5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5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5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9"/>
      <c r="C32" s="100"/>
      <c r="D32" s="10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Xyw8g7UQgxiFmBz6wb0ZNQAnmSdew3iNyMIWKJ+6N2InDvEH9XGTYtCD0GEgdovNwtWe26oPiLQKtaSuYq+gYg==" saltValue="Zr7ax8kTzu9ktj8rQRDnf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H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8" width="10.85546875" style="2" bestFit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8" ht="15" customHeight="1" x14ac:dyDescent="0.25">
      <c r="A4" s="1"/>
      <c r="B4" s="92"/>
      <c r="C4" s="92"/>
      <c r="D4" s="92"/>
      <c r="E4" s="92"/>
      <c r="F4" s="92"/>
      <c r="G4" s="1"/>
    </row>
    <row r="5" spans="1:8" ht="15" customHeight="1" x14ac:dyDescent="0.25">
      <c r="A5" s="1"/>
      <c r="B5" s="61"/>
      <c r="C5" s="61"/>
      <c r="D5" s="61"/>
      <c r="E5" s="61"/>
      <c r="F5" s="61"/>
      <c r="G5" s="1"/>
    </row>
    <row r="6" spans="1:8" ht="15" customHeight="1" x14ac:dyDescent="0.25">
      <c r="A6" s="1"/>
      <c r="B6" s="61"/>
      <c r="C6" s="61"/>
      <c r="D6" s="61"/>
      <c r="E6" s="61"/>
      <c r="F6" s="61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x14ac:dyDescent="0.25">
      <c r="A8" s="1"/>
      <c r="B8" s="99" t="s">
        <v>268</v>
      </c>
      <c r="C8" s="100"/>
      <c r="D8" s="100"/>
      <c r="E8" s="100"/>
      <c r="F8" s="101"/>
      <c r="G8" s="1"/>
    </row>
    <row r="9" spans="1:8" x14ac:dyDescent="0.25">
      <c r="A9" s="1"/>
      <c r="B9" s="104" t="s">
        <v>269</v>
      </c>
      <c r="C9" s="105"/>
      <c r="D9" s="106"/>
      <c r="E9" s="9">
        <v>-17039499.01827538</v>
      </c>
      <c r="F9" s="14" t="s">
        <v>3</v>
      </c>
      <c r="G9" s="1"/>
    </row>
    <row r="10" spans="1:8" x14ac:dyDescent="0.25">
      <c r="A10" s="1"/>
      <c r="B10" s="104" t="s">
        <v>270</v>
      </c>
      <c r="C10" s="105"/>
      <c r="D10" s="106"/>
      <c r="E10" s="9">
        <v>-17268169.916861773</v>
      </c>
      <c r="F10" s="14" t="s">
        <v>3</v>
      </c>
      <c r="G10" s="1"/>
    </row>
    <row r="11" spans="1:8" x14ac:dyDescent="0.25">
      <c r="A11" s="1"/>
      <c r="B11" s="104" t="s">
        <v>271</v>
      </c>
      <c r="C11" s="105"/>
      <c r="D11" s="106"/>
      <c r="E11" s="9">
        <v>-17268169.916861773</v>
      </c>
      <c r="F11" s="14" t="s">
        <v>3</v>
      </c>
      <c r="G11" s="1"/>
    </row>
    <row r="12" spans="1:8" x14ac:dyDescent="0.25">
      <c r="A12" s="1"/>
      <c r="B12" s="104" t="s">
        <v>272</v>
      </c>
      <c r="C12" s="105"/>
      <c r="D12" s="106"/>
      <c r="E12" s="9">
        <v>10542335.549138606</v>
      </c>
      <c r="F12" s="14" t="s">
        <v>3</v>
      </c>
      <c r="G12" s="1"/>
      <c r="H12" s="49"/>
    </row>
    <row r="13" spans="1:8" x14ac:dyDescent="0.25">
      <c r="A13" s="1"/>
      <c r="B13" s="38"/>
      <c r="C13" s="32"/>
      <c r="D13" s="32"/>
      <c r="E13" s="32"/>
      <c r="F13" s="20"/>
      <c r="G13" s="1"/>
    </row>
    <row r="14" spans="1:8" ht="51.75" customHeight="1" x14ac:dyDescent="0.25">
      <c r="A14" s="1"/>
      <c r="B14" s="89" t="s">
        <v>273</v>
      </c>
      <c r="C14" s="90"/>
      <c r="D14" s="90"/>
      <c r="E14" s="90"/>
      <c r="F14" s="91"/>
      <c r="G14" s="1"/>
      <c r="H14" s="49"/>
    </row>
    <row r="15" spans="1:8" ht="27" customHeight="1" x14ac:dyDescent="0.25">
      <c r="A15" s="1"/>
      <c r="B15" s="1"/>
      <c r="C15" s="1"/>
      <c r="D15" s="1"/>
      <c r="E15" s="1"/>
      <c r="F15" s="1"/>
      <c r="G15" s="1"/>
    </row>
    <row r="16" spans="1:8" x14ac:dyDescent="0.25">
      <c r="A16" s="1"/>
      <c r="B16" s="99" t="s">
        <v>274</v>
      </c>
      <c r="C16" s="100"/>
      <c r="D16" s="100"/>
      <c r="E16" s="100"/>
      <c r="F16" s="101"/>
      <c r="G16" s="1"/>
    </row>
    <row r="17" spans="1:7" x14ac:dyDescent="0.25">
      <c r="A17" s="1"/>
      <c r="B17" s="104" t="s">
        <v>275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276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9" t="s">
        <v>277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2" t="s">
        <v>214</v>
      </c>
      <c r="C23" s="63"/>
      <c r="D23" s="64"/>
      <c r="E23" s="9">
        <v>383730682.4455086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409237364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7" x14ac:dyDescent="0.25">
      <c r="A26" s="1"/>
      <c r="B26" s="59" t="s">
        <v>278</v>
      </c>
      <c r="C26" s="60"/>
      <c r="D26" s="67"/>
      <c r="E26" s="48">
        <f>E23-(E24-E25)</f>
        <v>-25506681.554491401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25">
      <c r="A31" s="1"/>
      <c r="B31" s="116" t="s">
        <v>285</v>
      </c>
      <c r="C31" s="117"/>
      <c r="D31" s="118"/>
      <c r="E31" s="9">
        <v>0</v>
      </c>
      <c r="F31" s="14"/>
      <c r="G31" s="1"/>
    </row>
    <row r="32" spans="1:7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-25506681.554491401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-12753340.7772457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284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NhobzfZAOtQDHe/SYrUzHd3HW8olM5kClHFt6a6XL/I22ha6RteCLipEweZklMzO25uzK+6sLvRl+x9c3o1gKQ==" saltValue="OuyEXoYZFNdLp6EZHCl3Zw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4977382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2691213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-2286169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-2286169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ia21a+A7wBWBXU/BfC3SMsSjPDPTs0G/b9nCeJHKcDsZJ/ZnHxeIJhmIKrAdtHufxcCj3rqUQkz6ju1+VHCZA==" saltValue="8vZrc9P6/Coo+QSdkTb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286</v>
      </c>
      <c r="C10" s="5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JZQH6DxYNRzng5VhvWmBMLAMdVrsAbpZqsVkOWWaaY2TXfcs9STFgyvD/S8mgo8aeL9NYiGZeg8ugsvAcEgAw==" saltValue="iJ8JWxJaviKf7d6kaP3MC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5" t="s">
        <v>282</v>
      </c>
      <c r="C11" s="22">
        <v>5906657</v>
      </c>
      <c r="D11" s="14" t="s">
        <v>3</v>
      </c>
      <c r="E11" s="9">
        <v>2266712</v>
      </c>
      <c r="F11" s="14" t="s">
        <v>3</v>
      </c>
      <c r="G11" s="1"/>
    </row>
    <row r="12" spans="1:7" x14ac:dyDescent="0.25">
      <c r="A12" s="1"/>
      <c r="B12" s="47" t="s">
        <v>280</v>
      </c>
      <c r="C12" s="22">
        <v>1036957</v>
      </c>
      <c r="D12" s="14" t="s">
        <v>3</v>
      </c>
      <c r="E12" s="9">
        <v>456224</v>
      </c>
      <c r="F12" s="14" t="s">
        <v>3</v>
      </c>
      <c r="G12" s="1"/>
    </row>
    <row r="13" spans="1:7" x14ac:dyDescent="0.25">
      <c r="A13" s="1"/>
      <c r="B13" s="25" t="s">
        <v>281</v>
      </c>
      <c r="C13" s="22">
        <v>51260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38" t="s">
        <v>163</v>
      </c>
      <c r="C14" s="12">
        <f>SUM(C10:C13)</f>
        <v>6994874</v>
      </c>
      <c r="D14" s="13" t="s">
        <v>3</v>
      </c>
      <c r="E14" s="12">
        <f>SUM(E10:E13)</f>
        <v>2722936</v>
      </c>
      <c r="F14" s="13" t="s">
        <v>3</v>
      </c>
      <c r="G14" s="1"/>
    </row>
    <row r="15" spans="1:7" x14ac:dyDescent="0.25">
      <c r="A15" s="1"/>
      <c r="B15" s="38" t="s">
        <v>222</v>
      </c>
      <c r="C15" s="12">
        <f>C14*(1+'Fane 14. Nøgletal'!C14)</f>
        <v>7017957.0842000004</v>
      </c>
      <c r="D15" s="13" t="s">
        <v>3</v>
      </c>
      <c r="E15" s="12">
        <f>E14*(1+'Fane 14. Nøgletal'!C14)</f>
        <v>2731921.6888000001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AyvsQoj4is4Xv6Mv8s4kQCBTzzidmzN71YmLgA/w+W2gcjJQzUh88f9wbmQiLH+YRMWBh4NRcPrMkLCM9eDxIw==" saltValue="2WZdYLv+Gx+ANx952pBpg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281</v>
      </c>
      <c r="C10" s="22">
        <v>512597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512597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-846.30967137239952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-10251.94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504814.1034021877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283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283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283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656ut/EgCFfIlkqLuOf3YloO3xT2IinFboGlo4HOAwQJoAZfdI1FyMpUAbU+RwkTApHsCKE0Z9HeVF6eP+WMA==" saltValue="fpB5otJh6wUzgNVvUVucs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+LuirQ/5L8YUkRHuUEeHp8NUvIYamMoaC3qMy4gCZEHXse1vIG/Luu3NgZat/Gwj5/kApwh/zzW28AF/PZBIuw==" saltValue="cNMMgnE8ueXi+SwOr52u9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duVl3JtQujPJPFkewD06ROKiPErakn66+9kherfIw1X+op9ja2habbWBaZZp20HFvyffIY5G6Mka2vrrDpibZg==" saltValue="lEtEUAfFfXqlglpRnqAQa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tTnX6fKu/0fbdGTY4unHvgmWrD/JOdCB6NTXN8x5sMa4jgCQBJ/C0r6K8vvRIS1AaIkd7KD46r3a70OLqHzog==" saltValue="l207loTqsEnJhOGHUdyVa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1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46xks9oX5J5HRYnkMx+8D45V/mclwPrIQrgQ4CX4h5F7HVgnDL/iQyGnGJ6ir3FbcL3Fer4KvDkBBl+PB1I6yA==" saltValue="qyQUNNAz+VbNaXJRLUiCD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382235594.7179029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tillæg'!C15</f>
        <v>7017957.0842000004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tillæg'!E15</f>
        <v>2731921.6888000001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1293552.0625199797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-649312.89662985702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drift'!G39</f>
        <v>-2585919.7576962863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-3949514.5405055182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386094278.3585912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22016030.460174192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504814.1034021877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504814.1034021877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288</v>
      </c>
      <c r="C30" s="10">
        <f>'Fane 7. Kontrol af ØR2020'!E34</f>
        <v>-12753340.7772457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-2286169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393575613.1449219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m26RgXtcY7t/tQIKapg8deGWCdsGpYnczEny0hBfIg50sA9Nf03sHnMoTkpt+Z52cgJGjmzx04a6tSUkYHjhA==" saltValue="1C7x+eMfCpXzCNkYGqvtF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386094278.3585912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1274111.1185833509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-639554.29781774618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-2542564.2270387504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-3903902.2289995463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380282368.72331846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22085467.374992769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288</v>
      </c>
      <c r="C26" s="10">
        <f>'Fane 7. Kontrol af ØR2020'!E34</f>
        <v>-12753340.7772457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389614495.32106555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HOOPdnuPoMNDRMG9xw6GsI/LVbIbfUFZdpjR5K0wYwPSTrCbHaaeYPT0g5oo6MAYZLuZ0jbBAWhTXyZp3w0YMA==" saltValue="qq21VWpXA0Wv+wB3msOP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380282368.72331846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1254931.8167869509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-629927.03319841716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-2499935.5952082188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-3858816.6867811875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374548621.22491759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22155307.558130246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396703928.78304785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CJMThuC6PHzNY/c9js1rQKPPwDpU+03ITAKdrnuebqK2EuZ277DKSmqLH7d+7n9So+0JvSKzAlFf95w+MH9KA==" saltValue="PFt+ma75YI4urexB3ieU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374548621.22491759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1236010.450042228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-620429.24195739243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-2458021.6750189583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-3814251.8302762215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368891928.92770725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22225554.620972078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391117483.54867935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pWpqNSYwMKOfigma2/FAMTdqLUGohabO3qsQTqEMNYuqImrt9gWXc0RftB3o9l7pycoXjzH6y0MfrjAbsf2NgA==" saltValue="N9ivULP7N4aujne4nczGx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375898713.25012916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1640642.5896000001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8768790.8322000001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7532199.7387735043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-1431365.7976910865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drift'!G33</f>
        <v>-2486790.9682178693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-7686594.9268908584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382235594.7179029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24303543.7676294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-6611498.4675685763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6" t="s">
        <v>148</v>
      </c>
      <c r="C32" s="97"/>
      <c r="D32" s="98"/>
      <c r="E32" s="10">
        <v>-1784688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398142952.01796371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dC9k6/Louf0W58X/wG3EEMvKP5pata8Rio6KEC3Xa0d9jDb0nUmGYaJd0S9WW8tKGWZjwbQ/7MwioMyBX5x1w==" saltValue="exKHoNKykGQM4M9K82kuK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25">
      <c r="A4" s="1"/>
      <c r="B4" s="99" t="s">
        <v>56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45</v>
      </c>
      <c r="C5" s="105"/>
      <c r="D5" s="105"/>
      <c r="E5" s="105"/>
      <c r="F5" s="106"/>
      <c r="G5" s="24">
        <v>113608124.59852259</v>
      </c>
      <c r="H5" s="14" t="s">
        <v>3</v>
      </c>
      <c r="I5" s="1"/>
    </row>
    <row r="6" spans="1:9" x14ac:dyDescent="0.25">
      <c r="A6" s="1"/>
      <c r="B6" s="89" t="s">
        <v>145</v>
      </c>
      <c r="C6" s="90"/>
      <c r="D6" s="90"/>
      <c r="E6" s="90"/>
      <c r="F6" s="91"/>
      <c r="G6" s="9">
        <v>0</v>
      </c>
      <c r="H6" s="14" t="s">
        <v>3</v>
      </c>
      <c r="I6" s="1"/>
    </row>
    <row r="7" spans="1:9" x14ac:dyDescent="0.25">
      <c r="A7" s="1"/>
      <c r="B7" s="104" t="s">
        <v>46</v>
      </c>
      <c r="C7" s="105"/>
      <c r="D7" s="105"/>
      <c r="E7" s="105"/>
      <c r="F7" s="106"/>
      <c r="G7" s="24">
        <f>SUM(G5:G6)*'Fane 14. Nøgletal'!C29</f>
        <v>2272162.491970452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57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4" t="s">
        <v>47</v>
      </c>
      <c r="C11" s="105"/>
      <c r="D11" s="105"/>
      <c r="E11" s="105"/>
      <c r="F11" s="106"/>
      <c r="G11" s="24">
        <f>(G5-G7)*(1+'Fane 14. Nøgletal'!C10)</f>
        <v>113284341.4434168</v>
      </c>
      <c r="H11" s="14" t="s">
        <v>3</v>
      </c>
      <c r="I11" s="1"/>
    </row>
    <row r="12" spans="1:9" ht="15" customHeight="1" x14ac:dyDescent="0.25">
      <c r="A12" s="1"/>
      <c r="B12" s="104" t="s">
        <v>146</v>
      </c>
      <c r="C12" s="105"/>
      <c r="D12" s="105"/>
      <c r="E12" s="105"/>
      <c r="F12" s="106"/>
      <c r="G12" s="24">
        <v>-10265.066454511621</v>
      </c>
      <c r="H12" s="14" t="s">
        <v>3</v>
      </c>
      <c r="I12" s="1"/>
    </row>
    <row r="13" spans="1:9" x14ac:dyDescent="0.25">
      <c r="A13" s="1"/>
      <c r="B13" s="89" t="s">
        <v>143</v>
      </c>
      <c r="C13" s="90"/>
      <c r="D13" s="90"/>
      <c r="E13" s="90"/>
      <c r="F13" s="91"/>
      <c r="G13" s="9">
        <v>0</v>
      </c>
      <c r="H13" s="14" t="s">
        <v>3</v>
      </c>
      <c r="I13" s="1"/>
    </row>
    <row r="14" spans="1:9" x14ac:dyDescent="0.25">
      <c r="A14" s="1"/>
      <c r="B14" s="110" t="s">
        <v>48</v>
      </c>
      <c r="C14" s="111"/>
      <c r="D14" s="111"/>
      <c r="E14" s="111"/>
      <c r="F14" s="112"/>
      <c r="G14" s="9">
        <v>0</v>
      </c>
      <c r="H14" s="14" t="s">
        <v>3</v>
      </c>
      <c r="I14" s="1"/>
    </row>
    <row r="15" spans="1:9" x14ac:dyDescent="0.25">
      <c r="A15" s="1"/>
      <c r="B15" s="104" t="s">
        <v>49</v>
      </c>
      <c r="C15" s="105"/>
      <c r="D15" s="105"/>
      <c r="E15" s="105"/>
      <c r="F15" s="106"/>
      <c r="G15" s="24">
        <f>SUM(G11:G14)*'Fane 14. Nøgletal'!C29</f>
        <v>2265481.5275392458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9" t="s">
        <v>58</v>
      </c>
      <c r="C18" s="100"/>
      <c r="D18" s="100"/>
      <c r="E18" s="100"/>
      <c r="F18" s="100"/>
      <c r="G18" s="100"/>
      <c r="H18" s="101"/>
      <c r="I18" s="1"/>
    </row>
    <row r="19" spans="1:9" x14ac:dyDescent="0.25">
      <c r="A19" s="1"/>
      <c r="B19" s="104" t="s">
        <v>50</v>
      </c>
      <c r="C19" s="105"/>
      <c r="D19" s="105"/>
      <c r="E19" s="105"/>
      <c r="F19" s="106"/>
      <c r="G19" s="24">
        <f>(SUM(G11:G12,G14)-(G15))*(1+'Fane 14. Nøgletal'!C10)</f>
        <v>112951245.25928797</v>
      </c>
      <c r="H19" s="14" t="s">
        <v>3</v>
      </c>
      <c r="I19" s="1"/>
    </row>
    <row r="20" spans="1:9" x14ac:dyDescent="0.25">
      <c r="A20" s="1"/>
      <c r="B20" s="110" t="s">
        <v>51</v>
      </c>
      <c r="C20" s="111"/>
      <c r="D20" s="111"/>
      <c r="E20" s="111"/>
      <c r="F20" s="112"/>
      <c r="G20" s="24">
        <v>2248806.3284404096</v>
      </c>
      <c r="H20" s="14" t="s">
        <v>3</v>
      </c>
      <c r="I20" s="1"/>
    </row>
    <row r="21" spans="1:9" x14ac:dyDescent="0.25">
      <c r="A21" s="1"/>
      <c r="B21" s="104" t="s">
        <v>52</v>
      </c>
      <c r="C21" s="105"/>
      <c r="D21" s="105"/>
      <c r="E21" s="105"/>
      <c r="F21" s="106"/>
      <c r="G21" s="24">
        <f>SUM(G19:G20)*'Fane 14. Nøgletal'!C29</f>
        <v>2304001.0317545678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9" t="s">
        <v>59</v>
      </c>
      <c r="C24" s="100"/>
      <c r="D24" s="100"/>
      <c r="E24" s="100"/>
      <c r="F24" s="100"/>
      <c r="G24" s="100"/>
      <c r="H24" s="101"/>
      <c r="I24" s="1"/>
    </row>
    <row r="25" spans="1:9" x14ac:dyDescent="0.25">
      <c r="A25" s="1"/>
      <c r="B25" s="104" t="s">
        <v>53</v>
      </c>
      <c r="C25" s="105"/>
      <c r="D25" s="105"/>
      <c r="E25" s="105"/>
      <c r="F25" s="106"/>
      <c r="G25" s="24">
        <f>(G19+G20-G21)*(1+'Fane 14. Nøgletal'!C12)</f>
        <v>115120102.7519265</v>
      </c>
      <c r="H25" s="14" t="s">
        <v>3</v>
      </c>
      <c r="I25" s="1"/>
    </row>
    <row r="26" spans="1:9" x14ac:dyDescent="0.25">
      <c r="A26" s="1"/>
      <c r="B26" s="110" t="s">
        <v>54</v>
      </c>
      <c r="C26" s="111"/>
      <c r="D26" s="111"/>
      <c r="E26" s="111"/>
      <c r="F26" s="112"/>
      <c r="G26" s="24">
        <v>7643985.5070255613</v>
      </c>
      <c r="H26" s="14" t="s">
        <v>3</v>
      </c>
      <c r="I26" s="1"/>
    </row>
    <row r="27" spans="1:9" x14ac:dyDescent="0.25">
      <c r="A27" s="1"/>
      <c r="B27" s="104" t="s">
        <v>55</v>
      </c>
      <c r="C27" s="105"/>
      <c r="D27" s="105"/>
      <c r="E27" s="105"/>
      <c r="F27" s="106"/>
      <c r="G27" s="24">
        <f>(G25+G26)*'Fane 14. Nøgletal'!C29</f>
        <v>2455281.7651790413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9" t="s">
        <v>62</v>
      </c>
      <c r="C30" s="100"/>
      <c r="D30" s="100"/>
      <c r="E30" s="100"/>
      <c r="F30" s="100"/>
      <c r="G30" s="100"/>
      <c r="H30" s="101"/>
      <c r="I30" s="1"/>
    </row>
    <row r="31" spans="1:9" x14ac:dyDescent="0.25">
      <c r="A31" s="1"/>
      <c r="B31" s="104" t="s">
        <v>63</v>
      </c>
      <c r="C31" s="105"/>
      <c r="D31" s="105"/>
      <c r="E31" s="105"/>
      <c r="F31" s="106"/>
      <c r="G31" s="24">
        <f>(G25+G26-G27)*(1+'Fane 14. Nøgletal'!C12)</f>
        <v>122678889.98170035</v>
      </c>
      <c r="H31" s="14" t="s">
        <v>3</v>
      </c>
      <c r="I31" s="1"/>
    </row>
    <row r="32" spans="1:9" x14ac:dyDescent="0.25">
      <c r="A32" s="1"/>
      <c r="B32" s="104" t="s">
        <v>171</v>
      </c>
      <c r="C32" s="105"/>
      <c r="D32" s="105"/>
      <c r="E32" s="105"/>
      <c r="F32" s="106"/>
      <c r="G32" s="24">
        <v>1660658.42919312</v>
      </c>
      <c r="H32" s="14" t="s">
        <v>3</v>
      </c>
      <c r="I32" s="1"/>
    </row>
    <row r="33" spans="1:9" x14ac:dyDescent="0.25">
      <c r="A33" s="1"/>
      <c r="B33" s="104" t="s">
        <v>64</v>
      </c>
      <c r="C33" s="105"/>
      <c r="D33" s="105"/>
      <c r="E33" s="105"/>
      <c r="F33" s="106"/>
      <c r="G33" s="24">
        <f>(G31+G32)*'Fane 14. Nøgletal'!C29</f>
        <v>2486790.9682178693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232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4" t="s">
        <v>84</v>
      </c>
      <c r="C37" s="105"/>
      <c r="D37" s="105"/>
      <c r="E37" s="105"/>
      <c r="F37" s="106"/>
      <c r="G37" s="24">
        <f>(G31+G32-G33)*(1+'Fane 14. Nøgletal'!C14)</f>
        <v>122254871.54223645</v>
      </c>
      <c r="H37" s="14" t="s">
        <v>3</v>
      </c>
      <c r="I37" s="1"/>
    </row>
    <row r="38" spans="1:9" x14ac:dyDescent="0.25">
      <c r="A38" s="1"/>
      <c r="B38" s="104" t="s">
        <v>236</v>
      </c>
      <c r="C38" s="105"/>
      <c r="D38" s="105"/>
      <c r="E38" s="105"/>
      <c r="F38" s="106"/>
      <c r="G38" s="24">
        <f>SUM('Fane 2.1. Økonomisk ramme 2022'!C10,'Fane 2.1. Økonomisk ramme 2022'!C12,'Fane 2.1. Økonomisk ramme 2022'!C14)*(1+'Fane 14. Nøgletal'!C14)</f>
        <v>7041116.3425778607</v>
      </c>
      <c r="H38" s="14" t="s">
        <v>3</v>
      </c>
      <c r="I38" s="1"/>
    </row>
    <row r="39" spans="1:9" x14ac:dyDescent="0.25">
      <c r="A39" s="1"/>
      <c r="B39" s="104" t="s">
        <v>234</v>
      </c>
      <c r="C39" s="105"/>
      <c r="D39" s="105"/>
      <c r="E39" s="105"/>
      <c r="F39" s="106"/>
      <c r="G39" s="24">
        <f>(G37+G38)*'Fane 14. Nøgletal'!C29</f>
        <v>2585919.7576962863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9" t="s">
        <v>233</v>
      </c>
      <c r="C42" s="100"/>
      <c r="D42" s="100"/>
      <c r="E42" s="100"/>
      <c r="F42" s="100"/>
      <c r="G42" s="100"/>
      <c r="H42" s="101"/>
      <c r="I42" s="1"/>
    </row>
    <row r="43" spans="1:9" x14ac:dyDescent="0.25">
      <c r="A43" s="1"/>
      <c r="B43" s="104" t="s">
        <v>83</v>
      </c>
      <c r="C43" s="105"/>
      <c r="D43" s="105"/>
      <c r="E43" s="105"/>
      <c r="F43" s="106"/>
      <c r="G43" s="24">
        <f>(G37+G38-G39)*(1+'Fane 14. Nøgletal'!C14)</f>
        <v>127128211.35193752</v>
      </c>
      <c r="H43" s="14" t="s">
        <v>3</v>
      </c>
      <c r="I43" s="1"/>
    </row>
    <row r="44" spans="1:9" x14ac:dyDescent="0.25">
      <c r="A44" s="1"/>
      <c r="B44" s="107" t="s">
        <v>237</v>
      </c>
      <c r="C44" s="108"/>
      <c r="D44" s="108"/>
      <c r="E44" s="108"/>
      <c r="F44" s="109"/>
      <c r="G44" s="24">
        <f>G38*(1+'Fane 14. Nøgletal'!C14)</f>
        <v>7064352.0265083686</v>
      </c>
      <c r="H44" s="14" t="s">
        <v>3</v>
      </c>
      <c r="I44" s="1"/>
    </row>
    <row r="45" spans="1:9" x14ac:dyDescent="0.25">
      <c r="A45" s="1"/>
      <c r="B45" s="104" t="s">
        <v>97</v>
      </c>
      <c r="C45" s="105"/>
      <c r="D45" s="105"/>
      <c r="E45" s="105"/>
      <c r="F45" s="106"/>
      <c r="G45" s="9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4" t="s">
        <v>235</v>
      </c>
      <c r="C46" s="105"/>
      <c r="D46" s="105"/>
      <c r="E46" s="105"/>
      <c r="F46" s="106"/>
      <c r="G46" s="24">
        <f>(G43+G45)*'Fane 14. Nøgletal'!C29</f>
        <v>2542564.2270387504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9" t="s">
        <v>172</v>
      </c>
      <c r="C51" s="100"/>
      <c r="D51" s="100"/>
      <c r="E51" s="100"/>
      <c r="F51" s="100"/>
      <c r="G51" s="100"/>
      <c r="H51" s="101"/>
      <c r="I51" s="1"/>
    </row>
    <row r="52" spans="1:9" x14ac:dyDescent="0.25">
      <c r="A52" s="1"/>
      <c r="B52" s="104" t="s">
        <v>173</v>
      </c>
      <c r="C52" s="105"/>
      <c r="D52" s="105"/>
      <c r="E52" s="105"/>
      <c r="F52" s="106"/>
      <c r="G52" s="24">
        <f>(G43+G45-G46)*(1+'Fane 14. Nøgletal'!C14)</f>
        <v>124996779.76041093</v>
      </c>
      <c r="H52" s="14" t="s">
        <v>3</v>
      </c>
      <c r="I52" s="1"/>
    </row>
    <row r="53" spans="1:9" x14ac:dyDescent="0.25">
      <c r="A53" s="1"/>
      <c r="B53" s="104" t="s">
        <v>174</v>
      </c>
      <c r="C53" s="105"/>
      <c r="D53" s="105"/>
      <c r="E53" s="105"/>
      <c r="F53" s="106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4" t="s">
        <v>175</v>
      </c>
      <c r="C54" s="105"/>
      <c r="D54" s="105"/>
      <c r="E54" s="105"/>
      <c r="F54" s="106"/>
      <c r="G54" s="24">
        <f>(G52+G53)*'Fane 14. Nøgletal'!C29</f>
        <v>2499935.5952082188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9" t="s">
        <v>201</v>
      </c>
      <c r="C57" s="100"/>
      <c r="D57" s="100"/>
      <c r="E57" s="100"/>
      <c r="F57" s="100"/>
      <c r="G57" s="100"/>
      <c r="H57" s="101"/>
      <c r="I57" s="1"/>
    </row>
    <row r="58" spans="1:9" x14ac:dyDescent="0.25">
      <c r="A58" s="1"/>
      <c r="B58" s="62" t="s">
        <v>202</v>
      </c>
      <c r="C58" s="63"/>
      <c r="D58" s="63"/>
      <c r="E58" s="63"/>
      <c r="F58" s="64"/>
      <c r="G58" s="24">
        <f>(G52+G53-G54)*(1+'Fane 14. Nøgletal'!C14)</f>
        <v>122901083.75094791</v>
      </c>
      <c r="H58" s="14" t="s">
        <v>3</v>
      </c>
      <c r="I58" s="1"/>
    </row>
    <row r="59" spans="1:9" x14ac:dyDescent="0.25">
      <c r="A59" s="1"/>
      <c r="B59" s="62" t="s">
        <v>203</v>
      </c>
      <c r="C59" s="63"/>
      <c r="D59" s="63"/>
      <c r="E59" s="63"/>
      <c r="F59" s="64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2" t="s">
        <v>204</v>
      </c>
      <c r="C60" s="63"/>
      <c r="D60" s="63"/>
      <c r="E60" s="63"/>
      <c r="F60" s="64"/>
      <c r="G60" s="24">
        <f>(G58+G59)*'Fane 14. Nøgletal'!C29</f>
        <v>2458021.6750189583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gqlETCWq/sOoqaVdqs6s9k/PWPJstujBIiyOmnpYD4drtxHPdvi7eFptS+dRInjw9fk3uW9dFdo3C2YsHtrSug==" saltValue="XeJjeYtXJy/GRWOv9pU9+Q==" spinCount="100000" sheet="1" objects="1" scenarios="1"/>
  <mergeCells count="37">
    <mergeCell ref="B11:F11"/>
    <mergeCell ref="B10:H10"/>
    <mergeCell ref="B6:F6"/>
    <mergeCell ref="B2:H3"/>
    <mergeCell ref="B24:H24"/>
    <mergeCell ref="B4:H4"/>
    <mergeCell ref="B5:F5"/>
    <mergeCell ref="B7:F7"/>
    <mergeCell ref="B12:F12"/>
    <mergeCell ref="B13:F13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57:H5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54:F5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245120337.71620587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2230595.0732174735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247140313.13924071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3692204.0895872349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9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4439735.554950255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250704655.35317057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5302594.5318140984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4483604.9721779022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256478660.71758908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24">
        <v>8030814.7507839901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7512069.1033017952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262060255.2704632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8875770.0803528391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7686594.9268908584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264118153.54432413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2740937.0303730401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3949514.5405055182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263777177.63510448</v>
      </c>
      <c r="H41" s="14" t="s">
        <v>3</v>
      </c>
      <c r="I41" s="1"/>
    </row>
    <row r="42" spans="1:9" x14ac:dyDescent="0.25">
      <c r="A42" s="1"/>
      <c r="B42" s="47" t="s">
        <v>242</v>
      </c>
      <c r="C42" s="63"/>
      <c r="D42" s="63"/>
      <c r="E42" s="63"/>
      <c r="F42" s="64"/>
      <c r="G42" s="24">
        <f>G36*(1+'Fane 14. Nøgletal'!C14)</f>
        <v>2749982.1225732714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3903902.2289995463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260730857.21494508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3858816.6867811875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257719718.26190683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3814251.8302762215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oloqytXwY3mCReyOuQs3OjHNno2leeWEOY3npVAbve2ilV7NhvtStchE152p8Djl+VkTTlMPWjTk3yXpktsG0g==" saltValue="1ipte+qYw6e0rwt2nBTcQ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0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3.6343808112499387E-3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1.6510234577502396E-3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kByKzrO5hs9YK0TkG7ftqLVPrmLl19p4D+yy7qIq5+rDMbS/Rfod5S/QkH/7fTrBlZP3cn6Nl12YBaJFYFJjQ==" saltValue="50URTVxkJw5kdh+PCSH0g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2021-10-14T14:26:44Z</dcterms:modified>
</cp:coreProperties>
</file>