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BlueKolding Spildevand AS (S058)\ØR2025\"/>
    </mc:Choice>
  </mc:AlternateContent>
  <xr:revisionPtr revIDLastSave="0" documentId="13_ncr:1_{8E66ECE5-EE5B-47BA-B268-5CD2CC6FA40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F10" i="11" l="1"/>
  <c r="C11" i="29"/>
  <c r="C10" i="36" l="1"/>
  <c r="C10" i="30"/>
  <c r="C20" i="23" l="1"/>
  <c r="C22" i="22"/>
  <c r="C22" i="15"/>
  <c r="C36" i="2"/>
  <c r="C11" i="30" l="1"/>
  <c r="C15" i="30" s="1"/>
  <c r="C29" i="20" l="1"/>
  <c r="C28" i="20"/>
  <c r="C23" i="20"/>
  <c r="C22" i="20"/>
  <c r="C24" i="20" l="1"/>
  <c r="C30" i="20"/>
  <c r="C18" i="41"/>
  <c r="C16" i="20" l="1"/>
  <c r="C10" i="20"/>
  <c r="C23" i="43" l="1"/>
  <c r="C27" i="43" s="1"/>
  <c r="C32" i="2" s="1"/>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6" i="40" s="1"/>
  <c r="C34" i="2" s="1"/>
  <c r="C17" i="20" l="1"/>
  <c r="C18" i="20" s="1"/>
  <c r="C11" i="20"/>
  <c r="C12" i="20" s="1"/>
  <c r="C18" i="15" l="1"/>
  <c r="C24" i="2"/>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<sst xmlns="http://schemas.openxmlformats.org/spreadsheetml/2006/main" count="555" uniqueCount="240">
  <si>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</si>
  <si>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</si>
  <si>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</si>
  <si>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</si>
  <si>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</si>
  <si>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</si>
  <si>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</si>
  <si>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</si>
  <si>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</si>
  <si>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</si>
  <si>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</si>
  <si>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</si>
  <si>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</si>
  <si>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</si>
  <si>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</si>
  <si>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</si>
  <si>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</si>
  <si>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</si>
  <si>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</si>
  <si>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</si>
  <si>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</si>
  <si>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</si>
  <si>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</si>
  <si>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</si>
  <si>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</si>
  <si>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</si>
  <si>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</si>
  <si>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</si>
  <si>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</si>
  <si>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</si>
  <si>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</si>
  <si>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</si>
  <si>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</si>
  <si>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</si>
  <si>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</si>
  <si>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</si>
  <si>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</si>
  <si>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</si>
  <si>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</si>
  <si>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</si>
  <si>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</si>
  <si>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</si>
  <si>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</si>
  <si>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</si>
  <si>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</si>
  <si>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</si>
  <si>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</si>
  <si>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</si>
  <si>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</si>
  <si>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</si>
  <si>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</si>
  <si>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</si>
  <si>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</si>
  <si>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</si>
  <si>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</si>
  <si>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</si>
  <si>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</si>
  <si>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</si>
  <si>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</si>
  <si>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</si>
  <si>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</si>
  <si>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</si>
  <si>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</si>
  <si>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</si>
  <si>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</si>
  <si>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</si>
  <si>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</si>
  <si>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</si>
  <si>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</si>
  <si>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</si>
  <si>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</si>
  <si>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</si>
  <si>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</si>
  <si>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</si>
  <si>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</si>
  <si>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</si>
  <si>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</si>
  <si>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</si>
  <si>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</si>
  <si>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</si>
  <si>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</si>
  <si>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</si>
  <si>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</si>
  <si>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</si>
  <si>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</si>
  <si>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</si>
  <si>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</si>
  <si>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</si>
  <si>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</si>
  <si>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</si>
  <si>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</si>
  <si>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</si>
  <si>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</si>
  <si>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</si>
  <si>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</si>
  <si>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</si>
  <si>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</si>
  <si>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</si>
  <si>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</si>
  <si>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</si>
  <si>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</si>
  <si>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</si>
  <si>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</si>
  <si>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</si>
  <si>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</si>
  <si>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</si>
  <si>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</si>
  <si>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</si>
  <si>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</si>
  <si>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</si>
  <si>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</si>
  <si>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</si>
  <si>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</si>
  <si>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</si>
  <si>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</si>
  <si>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</si>
  <si>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</si>
  <si>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</si>
  <si>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</si>
  <si>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</si>
  <si>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</si>
  <si>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</si>
  <si>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</si>
  <si>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</si>
  <si>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</si>
  <si>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</si>
  <si>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</si>
  <si>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</si>
  <si>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</si>
  <si>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</si>
  <si>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</si>
  <si>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</si>
  <si>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</si>
  <si>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</si>
  <si>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</si>
  <si>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</si>
  <si>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</si>
  <si>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</si>
  <si>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</si>
  <si>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</si>
  <si>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</si>
  <si>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</si>
  <si>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</si>
  <si>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</si>
  <si>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</si>
  <si>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</si>
  <si>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</si>
  <si>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</si>
  <si>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</si>
  <si>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</si>
  <si>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</si>
  <si>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</si>
  <si>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</si>
  <si>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</si>
  <si>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</si>
  <si>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</si>
  <si>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</si>
  <si>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</si>
  <si>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</si>
  <si>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</si>
  <si>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</si>
  <si>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</si>
  <si>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</si>
  <si>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</si>
  <si>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</si>
  <si>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</si>
  <si>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</si>
  <si>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</si>
  <si>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</si>
  <si>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</si>
  <si>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</si>
  <si>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</si>
  <si>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</si>
  <si>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</si>
  <si>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</si>
  <si>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</si>
  <si>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</si>
  <si>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</si>
  <si>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</si>
  <si>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</si>
  <si>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</si>
  <si>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</si>
  <si>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</si>
  <si>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</si>
  <si>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</si>
  <si>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</si>
  <si>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</si>
  <si>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</si>
  <si>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</si>
  <si>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</si>
  <si>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</si>
  <si>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</si>
  <si>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</si>
  <si>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</si>
  <si>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</si>
  <si>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</si>
  <si>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</si>
  <si>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</si>
  <si>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</si>
  <si>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</si>
  <si>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</si>
  <si>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</si>
  <si>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</si>
  <si>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</si>
  <si>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</si>
  <si>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</si>
  <si>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</si>
  <si>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</si>
  <si>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</si>
  <si>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</si>
  <si>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</si>
  <si>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</si>
  <si>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</si>
  <si>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</si>
  <si>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</si>
  <si>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</si>
  <si>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</si>
  <si>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</si>
  <si>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</si>
  <si>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</si>
  <si>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</si>
  <si>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</si>
  <si>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</si>
  <si>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</si>
  <si>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</si>
  <si>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</si>
  <si>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</si>
  <si>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</si>
  <si>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</si>
  <si>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</si>
  <si>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</si>
  <si>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</si>
  <si>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</si>
  <si>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Tjenestemandspensioner</t>
  </si>
  <si>
    <t>Gebyr til Miljøstyrelsen</t>
  </si>
  <si>
    <t>Øvrige afgifter</t>
  </si>
  <si>
    <t>Separatkloakering - Ansøgning 1</t>
  </si>
  <si>
    <t>Udvidelse af forsyningsområdet - 2023</t>
  </si>
  <si>
    <t>Ingen engangstillæg</t>
  </si>
  <si>
    <t>Medfinansieringsprojekt - ØR (Hylkedalen - Sluse og pumpe på Kolding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</si>
</sst>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228</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QnKbBdqw5aneivqVVNp4Qkpfx1IeY9Haaiwbqk75SSMb0frxTM69zbQHyG3wu+sD1v2yngRkADQeumqiZsPh6Q==" saltValue="HdD0cJ6MV2yOffdMstR+o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229</v>
      </c>
      <c r="C10" s="73">
        <v>4023925</v>
      </c>
      <c r="D10" s="14" t="s">
        <v>3</v>
      </c>
      <c r="E10" s="1"/>
    </row>
    <row r="11" spans="1:5" ht="15" customHeight="1" x14ac:dyDescent="0.25">
      <c r="A11" s="1"/>
      <c r="B11" s="72" t="s">
        <v>230</v>
      </c>
      <c r="C11" s="73">
        <v>137569</v>
      </c>
      <c r="D11" s="14" t="s">
        <v>3</v>
      </c>
      <c r="E11" s="1"/>
    </row>
    <row r="12" spans="1:5" ht="25.5" x14ac:dyDescent="0.25">
      <c r="A12" s="1"/>
      <c r="B12" s="72" t="s">
        <v>231</v>
      </c>
      <c r="C12" s="73">
        <v>333975</v>
      </c>
      <c r="D12" s="14" t="s">
        <v>3</v>
      </c>
      <c r="E12" s="1"/>
    </row>
    <row r="13" spans="1:5" x14ac:dyDescent="0.25">
      <c r="A13" s="1"/>
      <c r="B13" s="72" t="s">
        <v>232</v>
      </c>
      <c r="C13" s="73">
        <v>384673</v>
      </c>
      <c r="D13" s="14" t="s">
        <v>3</v>
      </c>
      <c r="E13" s="1"/>
    </row>
    <row r="14" spans="1:5" x14ac:dyDescent="0.25">
      <c r="A14" s="1"/>
      <c r="B14" s="72" t="s">
        <v>233</v>
      </c>
      <c r="C14" s="73">
        <v>94256</v>
      </c>
      <c r="D14" s="14" t="s">
        <v>3</v>
      </c>
      <c r="E14" s="1"/>
    </row>
    <row r="15" spans="1:5" x14ac:dyDescent="0.25">
      <c r="A15" s="1"/>
      <c r="B15" s="72" t="s">
        <v>234</v>
      </c>
      <c r="C15" s="73">
        <v>23768</v>
      </c>
      <c r="D15" s="14" t="s">
        <v>3</v>
      </c>
      <c r="E15" s="1"/>
    </row>
    <row r="16" spans="1:5" x14ac:dyDescent="0.25">
      <c r="A16" s="1"/>
      <c r="B16" s="72" t="s">
        <v>235</v>
      </c>
      <c r="C16" s="73">
        <v>72598</v>
      </c>
      <c r="D16" s="14" t="s">
        <v>3</v>
      </c>
      <c r="E16" s="1"/>
    </row>
    <row r="17" spans="1:5" ht="25.5" x14ac:dyDescent="0.25">
      <c r="A17" s="1"/>
      <c r="B17" s="72" t="s">
        <v>239</v>
      </c>
      <c r="C17" s="73">
        <v>27533</v>
      </c>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5098297</v>
      </c>
      <c r="D20" s="13" t="s">
        <v>3</v>
      </c>
      <c r="E20" s="1"/>
    </row>
    <row r="21" spans="1:5" x14ac:dyDescent="0.25">
      <c r="A21" s="1"/>
      <c r="B21" s="33" t="s">
        <v>168</v>
      </c>
      <c r="C21" s="12">
        <f>C20*(1+'Fane 15. Nøgletal'!C10)^2</f>
        <v>5796741.7153399298</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656886</v>
      </c>
      <c r="D25" s="14" t="s">
        <v>3</v>
      </c>
      <c r="E25" s="1"/>
    </row>
    <row r="26" spans="1:5" x14ac:dyDescent="0.25">
      <c r="A26" s="1"/>
      <c r="B26" s="37" t="s">
        <v>83</v>
      </c>
      <c r="C26" s="9">
        <v>656886</v>
      </c>
      <c r="D26" s="14" t="s">
        <v>3</v>
      </c>
      <c r="E26" s="1"/>
    </row>
    <row r="27" spans="1:5" x14ac:dyDescent="0.25">
      <c r="A27" s="1"/>
      <c r="B27" s="37" t="s">
        <v>148</v>
      </c>
      <c r="C27" s="9">
        <v>656886</v>
      </c>
      <c r="D27" s="14" t="s">
        <v>3</v>
      </c>
      <c r="E27" s="1"/>
    </row>
    <row r="28" spans="1:5" x14ac:dyDescent="0.25">
      <c r="A28" s="1"/>
      <c r="B28" s="34" t="s">
        <v>169</v>
      </c>
      <c r="C28" s="9">
        <v>656886</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Ubb0L/+/ajxyajrQdSU3pqylgEwccz31LylahMhoCI9VThfXBX+OqQ+8je2HusvyJ8IPPJDoAz90OpjKr3gf9g==" saltValue="r3SjsWSiWhyP9CeVr4TEt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-31828632.658671349</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-21531163</v>
      </c>
      <c r="D14" s="14" t="s">
        <v>3</v>
      </c>
      <c r="E14" s="1"/>
    </row>
    <row r="15" spans="1:5" x14ac:dyDescent="0.25">
      <c r="A15" s="1"/>
      <c r="B15" s="65" t="s">
        <v>203</v>
      </c>
      <c r="C15" s="9">
        <v>-21531163</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157951142.16580838</v>
      </c>
      <c r="D20" s="14" t="s">
        <v>3</v>
      </c>
      <c r="E20" s="1"/>
    </row>
    <row r="21" spans="1:5" x14ac:dyDescent="0.25">
      <c r="A21" s="1"/>
      <c r="B21" s="65" t="s">
        <v>207</v>
      </c>
      <c r="C21" s="9">
        <v>183483912</v>
      </c>
      <c r="D21" s="14" t="s">
        <v>3</v>
      </c>
      <c r="E21" s="1"/>
    </row>
    <row r="22" spans="1:5" x14ac:dyDescent="0.25">
      <c r="A22" s="1"/>
      <c r="B22" s="65" t="s">
        <v>29</v>
      </c>
      <c r="C22" s="9">
        <v>0</v>
      </c>
      <c r="D22" s="14" t="s">
        <v>3</v>
      </c>
      <c r="E22" s="1"/>
    </row>
    <row r="23" spans="1:5" x14ac:dyDescent="0.25">
      <c r="A23" s="1"/>
      <c r="B23" s="82" t="s">
        <v>208</v>
      </c>
      <c r="C23" s="57">
        <f>C20-(C21-C22)</f>
        <v>-25532769.83419162</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-21531163</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-25532769.83419162</v>
      </c>
      <c r="D31" s="14" t="s">
        <v>3</v>
      </c>
      <c r="E31" s="1"/>
    </row>
    <row r="32" spans="1:5" x14ac:dyDescent="0.25">
      <c r="A32" s="1"/>
      <c r="B32" s="66" t="s">
        <v>49</v>
      </c>
      <c r="C32" s="9">
        <v>2</v>
      </c>
      <c r="D32" s="14" t="s">
        <v>20</v>
      </c>
      <c r="E32" s="1"/>
    </row>
    <row r="33" spans="1:5" x14ac:dyDescent="0.25">
      <c r="A33" s="1"/>
      <c r="B33" s="67" t="s">
        <v>70</v>
      </c>
      <c r="C33" s="57">
        <f>C31/C32</f>
        <v>-12766384.91709581</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hq5nllQKZU/LeGWdwZ+w70aRCfSKM7VE4va4NvKuHqYp8CeVa2JvYR/pcZTw8wFjhP33nyUwWpLcjrOCx6qjUQ==" saltValue="akWhsWVsozwsXrISB6k2S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FJWp0bKEBXdiX3DaU0IpaIOz0hm6w6LpO7KQg+L3gxOlVwiVSWRbKqQtCV+cblPkio5eXKR/hKCbagteEiweQ==" saltValue="XzSdeSlGaEgGWR3OWAEvJ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217</v>
      </c>
      <c r="C9" s="7">
        <v>0</v>
      </c>
      <c r="D9" s="8" t="s">
        <v>3</v>
      </c>
      <c r="E9" s="1"/>
    </row>
    <row r="10" spans="1:5" ht="14.25" customHeight="1" x14ac:dyDescent="0.25">
      <c r="A10" s="1"/>
      <c r="B10" s="65" t="s">
        <v>172</v>
      </c>
      <c r="C10" s="7">
        <v>23792</v>
      </c>
      <c r="D10" s="8" t="s">
        <v>3</v>
      </c>
      <c r="E10" s="1"/>
    </row>
    <row r="11" spans="1:5" ht="14.25" customHeight="1" x14ac:dyDescent="0.25">
      <c r="A11" s="1"/>
      <c r="B11" s="82" t="s">
        <v>48</v>
      </c>
      <c r="C11" s="10">
        <f>C10-C9</f>
        <v>23792</v>
      </c>
      <c r="D11" s="11" t="s">
        <v>3</v>
      </c>
      <c r="E11" s="1"/>
    </row>
    <row r="12" spans="1:5" ht="14.25" customHeight="1" x14ac:dyDescent="0.25">
      <c r="A12" s="1"/>
      <c r="B12" s="108" t="s">
        <v>219</v>
      </c>
      <c r="C12" s="109"/>
      <c r="D12" s="110"/>
      <c r="E12" s="1"/>
    </row>
    <row r="13" spans="1:5" ht="26.25" x14ac:dyDescent="0.25">
      <c r="A13" s="1"/>
      <c r="B13" s="79" t="s">
        <v>218</v>
      </c>
      <c r="C13" s="7">
        <v>656886</v>
      </c>
      <c r="D13" s="8" t="s">
        <v>3</v>
      </c>
      <c r="E13" s="1"/>
    </row>
    <row r="14" spans="1:5" ht="14.25" customHeight="1" x14ac:dyDescent="0.25">
      <c r="A14" s="1"/>
      <c r="B14" s="65" t="s">
        <v>173</v>
      </c>
      <c r="C14" s="7">
        <v>821437</v>
      </c>
      <c r="D14" s="8" t="s">
        <v>3</v>
      </c>
      <c r="E14" s="1"/>
    </row>
    <row r="15" spans="1:5" ht="14.25" customHeight="1" x14ac:dyDescent="0.25">
      <c r="A15" s="1"/>
      <c r="B15" s="82" t="s">
        <v>48</v>
      </c>
      <c r="C15" s="10">
        <f>C14-C13</f>
        <v>164551</v>
      </c>
      <c r="D15" s="11" t="s">
        <v>3</v>
      </c>
      <c r="E15" s="1"/>
    </row>
    <row r="16" spans="1:5" ht="14.25" customHeight="1" x14ac:dyDescent="0.25">
      <c r="A16" s="1"/>
      <c r="B16" s="33" t="s">
        <v>174</v>
      </c>
      <c r="C16" s="12">
        <f>C11+C15</f>
        <v>188343</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0DP36TBaGTNJEmv10bzZBb0cy/Tx7qel80gFeF1uCRbTulWF/Xrhv+0pm7yEZfaCHfGAue5ORQ3LF6CVY0oi0Q==" saltValue="oZRQu9OAIIvzjj23ddZhx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2zmLW/ju/kVGoeiW63oVDs/O8IynF2eNGdR+vazkf09GvcSzMeLZRURkNCOhamshmqUhft1qOpwXPcEbKqO3aw==" saltValue="Atk2gLWP9AR+IdGlK7X88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236</v>
      </c>
      <c r="C11" s="21">
        <v>195465</v>
      </c>
      <c r="D11" s="14" t="s">
        <v>3</v>
      </c>
      <c r="E11" s="9">
        <v>828661</v>
      </c>
      <c r="F11" s="14" t="s">
        <v>3</v>
      </c>
      <c r="G11" s="1"/>
    </row>
    <row r="12" spans="1:7" x14ac:dyDescent="0.25">
      <c r="A12" s="1"/>
      <c r="B12" s="24" t="s">
        <v>237</v>
      </c>
      <c r="C12" s="21">
        <v>699736</v>
      </c>
      <c r="D12" s="14" t="s">
        <v>3</v>
      </c>
      <c r="E12" s="9">
        <v>778696</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895201</v>
      </c>
      <c r="D19" s="13" t="s">
        <v>3</v>
      </c>
      <c r="E19" s="12">
        <f>SUM(E10:E18)</f>
        <v>1607357</v>
      </c>
      <c r="F19" s="13" t="s">
        <v>3</v>
      </c>
      <c r="G19" s="1"/>
    </row>
    <row r="20" spans="1:7" x14ac:dyDescent="0.25">
      <c r="A20" s="1"/>
      <c r="B20" s="33" t="s">
        <v>175</v>
      </c>
      <c r="C20" s="12">
        <f>C19*(1+'Fane 15. Nøgletal'!C10)</f>
        <v>954552.82630000007</v>
      </c>
      <c r="D20" s="13" t="s">
        <v>3</v>
      </c>
      <c r="E20" s="12">
        <f>E19*(1+'Fane 15. Nøgletal'!C10)</f>
        <v>1713924.7691000002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r/+wbIjpNELDGfAqS3Klh0+y1lTUYiyt+2Pkca8kYFC7MJkudKWqHpNw8BErJX4SaRjXHm0KnQvdhmEPTjpdQ==" saltValue="yVUFLrQFUkWioeLECh+hX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238</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BmklRg5fII/O0sD+b+lQ3Sdx30JmMP3AckZpgxoAz8dZPk9z3tIpiIVVS6+gmt2IYCgMLmVeHMCbEqj64F+aw==" saltValue="euiroflPTuZPCh5Jqr3l4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f>10155.4026*(1+'Fane 15. Nøgletal'!C9)</f>
        <v>10975.959130079998</v>
      </c>
      <c r="D9" s="14" t="s">
        <v>3</v>
      </c>
      <c r="E9" s="1"/>
    </row>
    <row r="10" spans="1:5" x14ac:dyDescent="0.25">
      <c r="A10" s="1"/>
      <c r="B10" s="64" t="s">
        <v>10</v>
      </c>
      <c r="C10" s="9">
        <f>-C9*'Fane 5. Individuelt eff. krav'!C9</f>
        <v>-48.540346343364554</v>
      </c>
      <c r="D10" s="14" t="s">
        <v>3</v>
      </c>
      <c r="E10" s="1"/>
    </row>
    <row r="11" spans="1:5" x14ac:dyDescent="0.25">
      <c r="A11" s="1"/>
      <c r="B11" s="64" t="s">
        <v>22</v>
      </c>
      <c r="C11" s="9">
        <f>-C9*'Fane 15. Nøgletal'!C21</f>
        <v>-219.51918260159997</v>
      </c>
      <c r="D11" s="14" t="s">
        <v>3</v>
      </c>
      <c r="E11" s="1"/>
    </row>
    <row r="12" spans="1:5" x14ac:dyDescent="0.25">
      <c r="A12" s="1"/>
      <c r="B12" s="76" t="s">
        <v>74</v>
      </c>
      <c r="C12" s="12">
        <f>SUM(C9:C11)*(1+'Fane 15. Nøgletal'!C9)^2</f>
        <v>12508.204198330408</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10516.934932560003</v>
      </c>
      <c r="D15" s="14" t="s">
        <v>3</v>
      </c>
      <c r="E15" s="1"/>
    </row>
    <row r="16" spans="1:5" x14ac:dyDescent="0.25">
      <c r="A16" s="1"/>
      <c r="B16" s="64" t="s">
        <v>10</v>
      </c>
      <c r="C16" s="9">
        <f>-C15*'Fane 5. Individuelt eff. krav'!C9</f>
        <v>-46.510346662831566</v>
      </c>
      <c r="D16" s="14" t="s">
        <v>3</v>
      </c>
      <c r="E16" s="1"/>
    </row>
    <row r="17" spans="1:5" x14ac:dyDescent="0.25">
      <c r="A17" s="1"/>
      <c r="B17" s="64" t="s">
        <v>22</v>
      </c>
      <c r="C17" s="9">
        <f>-C15*'Fane 15. Nøgletal'!C21</f>
        <v>-210.33869865120008</v>
      </c>
      <c r="D17" s="14" t="s">
        <v>3</v>
      </c>
      <c r="E17" s="1"/>
    </row>
    <row r="18" spans="1:5" x14ac:dyDescent="0.25">
      <c r="A18" s="1"/>
      <c r="B18" s="76" t="s">
        <v>85</v>
      </c>
      <c r="C18" s="12">
        <f>SUM(C15:C17)*(1+'Fane 15. Nøgletal'!C10)^3</f>
        <v>12439.107581425027</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10516.934932560003</v>
      </c>
      <c r="D21" s="14" t="s">
        <v>3</v>
      </c>
      <c r="E21" s="1"/>
    </row>
    <row r="22" spans="1:5" x14ac:dyDescent="0.25">
      <c r="A22" s="1"/>
      <c r="B22" s="64" t="s">
        <v>10</v>
      </c>
      <c r="C22" s="9">
        <f>-C21*'Fane 5. Individuelt eff. krav'!C9</f>
        <v>-46.510346662831566</v>
      </c>
      <c r="D22" s="14" t="s">
        <v>3</v>
      </c>
      <c r="E22" s="1"/>
    </row>
    <row r="23" spans="1:5" x14ac:dyDescent="0.25">
      <c r="A23" s="1"/>
      <c r="B23" s="64" t="s">
        <v>22</v>
      </c>
      <c r="C23" s="9">
        <f>-C21*'Fane 15. Nøgletal'!C21</f>
        <v>-210.33869865120008</v>
      </c>
      <c r="D23" s="14" t="s">
        <v>3</v>
      </c>
      <c r="E23" s="1"/>
    </row>
    <row r="24" spans="1:5" x14ac:dyDescent="0.25">
      <c r="A24" s="1"/>
      <c r="B24" s="76" t="s">
        <v>141</v>
      </c>
      <c r="C24" s="12">
        <f>SUM(C21:C23)*(1+'Fane 15. Nøgletal'!C10)^4</f>
        <v>13263.820414073505</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10516.934932560003</v>
      </c>
      <c r="D27" s="14" t="s">
        <v>3</v>
      </c>
      <c r="E27" s="1"/>
    </row>
    <row r="28" spans="1:5" x14ac:dyDescent="0.25">
      <c r="A28" s="1"/>
      <c r="B28" s="64" t="s">
        <v>10</v>
      </c>
      <c r="C28" s="9">
        <f>-C27*'Fane 5. Individuelt eff. krav'!C9</f>
        <v>-46.510346662831566</v>
      </c>
      <c r="D28" s="14" t="s">
        <v>3</v>
      </c>
      <c r="E28" s="1"/>
    </row>
    <row r="29" spans="1:5" x14ac:dyDescent="0.25">
      <c r="A29" s="1"/>
      <c r="B29" s="64" t="s">
        <v>22</v>
      </c>
      <c r="C29" s="9">
        <f>-C27*'Fane 15. Nøgletal'!C21</f>
        <v>-210.33869865120008</v>
      </c>
      <c r="D29" s="14" t="s">
        <v>3</v>
      </c>
      <c r="E29" s="1"/>
    </row>
    <row r="30" spans="1:5" x14ac:dyDescent="0.25">
      <c r="A30" s="1"/>
      <c r="B30" s="76" t="s">
        <v>181</v>
      </c>
      <c r="C30" s="12">
        <f>SUM(C27:C29)*(1+'Fane 15. Nøgletal'!C10)^5</f>
        <v>14143.211707526578</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p020QaQJgwRFOpIyUL+H4Gp8RTgXtliMMRgxUvcEDflq39PYZ1GPpVPXHv5YSO0OlZZqsXeRC3r7GIjIKQN34Q==" saltValue="/p4wPqmHJPK8SPBmE5gdJ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iOTROqd9yWR0mHncMUzOs+lzS9a70ufMbL95fNnGVcl0HXyUkGrS0QW0uwrAhHO1p4P9A7wI5WENPlAjhUyDpw==" saltValue="YgoGTKuOMn2lOp/VBjH33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hxX3MWJY4V+Bjoo1IdEpfJqmZpShNPMZQHI2jkiATTP64H+i4nvHue9aVKwvyfs7d/UZ82Fezw6KpC76T9og==" saltValue="qyFYrduku2ISPN9wd7IbG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183951092.04044378</v>
      </c>
      <c r="D9" s="8" t="s">
        <v>3</v>
      </c>
      <c r="E9" s="1"/>
    </row>
    <row r="10" spans="1:5" ht="17.25" customHeight="1" x14ac:dyDescent="0.25">
      <c r="A10" s="1"/>
      <c r="B10" s="64" t="s">
        <v>35</v>
      </c>
      <c r="C10" s="7">
        <f>'Fane 11.1. Varige tillæg'!C20</f>
        <v>954552.82630000007</v>
      </c>
      <c r="D10" s="8" t="s">
        <v>3</v>
      </c>
      <c r="E10" s="1"/>
    </row>
    <row r="11" spans="1:5" ht="17.25" customHeight="1" x14ac:dyDescent="0.25">
      <c r="A11" s="1"/>
      <c r="B11" s="64" t="s">
        <v>36</v>
      </c>
      <c r="C11" s="9">
        <f>'Fane 11.1. Varige tillæg'!E20</f>
        <v>1713924.7691000002</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15040168.301442876</v>
      </c>
      <c r="D16" s="8" t="s">
        <v>3</v>
      </c>
      <c r="E16" s="1"/>
    </row>
    <row r="17" spans="1:5" ht="17.25" customHeight="1" x14ac:dyDescent="0.25">
      <c r="A17" s="1"/>
      <c r="B17" s="64" t="s">
        <v>10</v>
      </c>
      <c r="C17" s="38">
        <f>-SUM(C9,C10:C16)*'Fane 5. Individuelt eff. krav'!C9</f>
        <v>-891824.88810129918</v>
      </c>
      <c r="D17" s="8" t="s">
        <v>3</v>
      </c>
      <c r="E17" s="1"/>
    </row>
    <row r="18" spans="1:5" ht="17.25" customHeight="1" x14ac:dyDescent="0.25">
      <c r="A18" s="1"/>
      <c r="B18" s="64" t="s">
        <v>22</v>
      </c>
      <c r="C18" s="38">
        <f>-'Fane 4.1. Gen. krav - drift'!C17</f>
        <v>-1260435.1030289703</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199507477.94615638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6453627.7153399298</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12508.204198330408</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-21531163</v>
      </c>
      <c r="D32" s="11" t="s">
        <v>3</v>
      </c>
      <c r="E32" s="1"/>
    </row>
    <row r="33" spans="1:5" ht="15" customHeight="1" x14ac:dyDescent="0.25">
      <c r="A33" s="1"/>
      <c r="B33" s="33" t="s">
        <v>154</v>
      </c>
      <c r="C33" s="28"/>
      <c r="D33" s="19"/>
      <c r="E33" s="1"/>
    </row>
    <row r="34" spans="1:5" x14ac:dyDescent="0.25">
      <c r="A34" s="1"/>
      <c r="B34" s="31" t="s">
        <v>154</v>
      </c>
      <c r="C34" s="10">
        <f>'Fane 9. Korrektion af ØR2023'!C16</f>
        <v>188343</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184630793.86569464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2OTEblHgj4oyKoUlv3nvrXbQdCG2KHVaRPTndVcVHGkOKFDP0aPF+vaz//7pXb4OHIX91SI/Se9+GrNeWyzRg==" saltValue="6fBtsHhZCOsglXEGYyo4i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Q2tPP6PGIF7hVnRY/jMSsKon6lx1h75uilG5ZB3t5UGV1CVyQA72SXPiu6B6oyj7czeKZebfd5e5oSoGLTVzvw==" saltValue="E9852Slzebc5jgRb+1oHK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199507477.94615638</v>
      </c>
      <c r="D9" s="8" t="s">
        <v>3</v>
      </c>
      <c r="E9" s="1"/>
    </row>
    <row r="10" spans="1:5" ht="15" customHeight="1" x14ac:dyDescent="0.25">
      <c r="A10" s="1"/>
      <c r="B10" s="26" t="s">
        <v>19</v>
      </c>
      <c r="C10" s="7">
        <f>C9*'Fane 15. Nøgletal'!C10</f>
        <v>13227345.787830168</v>
      </c>
      <c r="D10" s="8" t="s">
        <v>3</v>
      </c>
      <c r="E10" s="1"/>
    </row>
    <row r="11" spans="1:5" ht="15" customHeight="1" x14ac:dyDescent="0.25">
      <c r="A11" s="1"/>
      <c r="B11" s="26" t="s">
        <v>10</v>
      </c>
      <c r="C11" s="9">
        <f>-SUM(C9:C10)*'Fane 5. Individuelt eff. krav'!C9</f>
        <v>-940803.6146055744</v>
      </c>
      <c r="D11" s="8" t="s">
        <v>3</v>
      </c>
      <c r="E11" s="1"/>
    </row>
    <row r="12" spans="1:5" ht="15" customHeight="1" x14ac:dyDescent="0.25">
      <c r="A12" s="1"/>
      <c r="B12" s="26" t="s">
        <v>22</v>
      </c>
      <c r="C12" s="9">
        <f>-'Fane 4.1. Gen. krav - drift'!C22</f>
        <v>-1317121.9113525953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210476898.20802838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6837951.6910669673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12439.107581425027</v>
      </c>
      <c r="D18" s="11" t="s">
        <v>3</v>
      </c>
      <c r="E18" s="1"/>
    </row>
    <row r="19" spans="1:5" x14ac:dyDescent="0.25">
      <c r="A19" s="1"/>
      <c r="B19" s="33" t="s">
        <v>69</v>
      </c>
      <c r="C19" s="28"/>
      <c r="D19" s="19"/>
      <c r="E19" s="1"/>
    </row>
    <row r="20" spans="1:5" ht="15" customHeight="1" x14ac:dyDescent="0.25">
      <c r="A20" s="1"/>
      <c r="B20" s="31" t="s">
        <v>79</v>
      </c>
      <c r="C20" s="10">
        <f>'Fane 7. Kontrol af ØR2023'!C33</f>
        <v>-12766384.91709581</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204560904.08958098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KaitsRGIVYNxv7D1f0/3/cwIxokjK9zsB8sxlMuA1qbr4Laj8LMy/0rSr3NlGLXIEYT8UtA0taxeFTk515WcA==" saltValue="y3PR9LGfH+g74BfRxKffq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210476898.20802838</v>
      </c>
      <c r="D9" s="8" t="s">
        <v>3</v>
      </c>
      <c r="E9" s="1"/>
    </row>
    <row r="10" spans="1:5" ht="15" customHeight="1" x14ac:dyDescent="0.25">
      <c r="A10" s="1"/>
      <c r="B10" s="26" t="s">
        <v>19</v>
      </c>
      <c r="C10" s="7">
        <f>SUM(C9:C9)*'Fane 15. Nøgletal'!C10</f>
        <v>13954618.351192281</v>
      </c>
      <c r="D10" s="8" t="s">
        <v>3</v>
      </c>
      <c r="E10" s="1"/>
    </row>
    <row r="11" spans="1:5" ht="15" customHeight="1" x14ac:dyDescent="0.25">
      <c r="A11" s="1"/>
      <c r="B11" s="26" t="s">
        <v>10</v>
      </c>
      <c r="C11" s="9">
        <f>-SUM(C9:C10)*'Fane 5. Individuelt eff. krav'!C9</f>
        <v>-992531.3510229633</v>
      </c>
      <c r="D11" s="8" t="s">
        <v>3</v>
      </c>
      <c r="E11" s="1"/>
    </row>
    <row r="12" spans="1:5" ht="15" customHeight="1" x14ac:dyDescent="0.25">
      <c r="A12" s="1"/>
      <c r="B12" s="26" t="s">
        <v>22</v>
      </c>
      <c r="C12" s="9">
        <f>-'Fane 4.1. Gen. krav - drift'!C27</f>
        <v>-1376358.1521937673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222062627.05600396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7247756.3463847069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13263.820414073505</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-12766384.91709581</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216557262.30570692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p0+l2TwzirZhUl+cf1IkW8FQVas0xLEjuf7yAmCozfdnGGAvAuQRh+axcb5Kkn3vtvMi4NYTH0A8LnJ+Y2w1w==" saltValue="5Ilpsun6sIrUTAGC//+Os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222062627.05600396</v>
      </c>
      <c r="D9" s="8" t="s">
        <v>3</v>
      </c>
      <c r="E9" s="1"/>
    </row>
    <row r="10" spans="1:5" ht="15" customHeight="1" x14ac:dyDescent="0.25">
      <c r="A10" s="1"/>
      <c r="B10" s="26" t="s">
        <v>19</v>
      </c>
      <c r="C10" s="7">
        <f>SUM(C9:C9)*'Fane 15. Nøgletal'!C10</f>
        <v>14722752.173813062</v>
      </c>
      <c r="D10" s="8" t="s">
        <v>3</v>
      </c>
      <c r="E10" s="1"/>
    </row>
    <row r="11" spans="1:5" ht="15" customHeight="1" x14ac:dyDescent="0.25">
      <c r="A11" s="1"/>
      <c r="B11" s="26" t="s">
        <v>10</v>
      </c>
      <c r="C11" s="9">
        <f>-SUM(C9:C10)*'Fane 5. Individuelt eff. krav'!C9</f>
        <v>-1047165.3712122075</v>
      </c>
      <c r="D11" s="8" t="s">
        <v>3</v>
      </c>
      <c r="E11" s="1"/>
    </row>
    <row r="12" spans="1:5" ht="15" customHeight="1" x14ac:dyDescent="0.25">
      <c r="A12" s="1"/>
      <c r="B12" s="26" t="s">
        <v>22</v>
      </c>
      <c r="C12" s="9">
        <f>-'Fane 4.1. Gen. krav - drift'!C32</f>
        <v>-1438258.4837305297</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234299955.37487429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7684731.0503500141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14143.211707526578</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241998829.63693184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9orN9RV/cIc/0SVOohuBUXQZVF6M1CZ9i48y35CeuKyOHd2flBg5x0mH6IPHt/17lXgxEXLoRFWRXS3SbRaIA==" saltValue="Nz0cq9v3nrs8rvHM0US/X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168723155.5243496</v>
      </c>
      <c r="D9" s="8" t="s">
        <v>3</v>
      </c>
      <c r="E9" s="1"/>
    </row>
    <row r="10" spans="1:5" ht="15" customHeight="1" x14ac:dyDescent="0.25">
      <c r="A10" s="1"/>
      <c r="B10" s="64" t="s">
        <v>35</v>
      </c>
      <c r="C10" s="7">
        <v>1399830.544</v>
      </c>
      <c r="D10" s="8" t="s">
        <v>3</v>
      </c>
      <c r="E10" s="1"/>
    </row>
    <row r="11" spans="1:5" ht="15" customHeight="1" x14ac:dyDescent="0.25">
      <c r="A11" s="1"/>
      <c r="B11" s="64" t="s">
        <v>36</v>
      </c>
      <c r="C11" s="9">
        <v>1920132.5924480001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13901083.987792445</v>
      </c>
      <c r="D16" s="8" t="s">
        <v>3</v>
      </c>
      <c r="E16" s="1"/>
    </row>
    <row r="17" spans="1:5" ht="15" customHeight="1" x14ac:dyDescent="0.25">
      <c r="A17" s="1"/>
      <c r="B17" s="64" t="s">
        <v>10</v>
      </c>
      <c r="C17" s="38">
        <v>-822324.12585865206</v>
      </c>
      <c r="D17" s="8" t="s">
        <v>3</v>
      </c>
      <c r="E17" s="1"/>
    </row>
    <row r="18" spans="1:5" ht="15" customHeight="1" x14ac:dyDescent="0.25">
      <c r="A18" s="1"/>
      <c r="B18" s="64" t="s">
        <v>22</v>
      </c>
      <c r="C18" s="38">
        <v>-1170786.4822875881</v>
      </c>
      <c r="D18" s="8" t="s">
        <v>3</v>
      </c>
      <c r="E18" s="1"/>
    </row>
    <row r="19" spans="1:5" ht="15" customHeight="1" x14ac:dyDescent="0.25">
      <c r="A19" s="1"/>
      <c r="B19" s="64" t="s">
        <v>23</v>
      </c>
      <c r="C19" s="38">
        <v>0</v>
      </c>
      <c r="D19" s="8" t="s">
        <v>3</v>
      </c>
      <c r="E19" s="43"/>
    </row>
    <row r="20" spans="1:5" ht="15" customHeight="1" x14ac:dyDescent="0.25">
      <c r="A20" s="1"/>
      <c r="B20" s="82" t="s">
        <v>21</v>
      </c>
      <c r="C20" s="10">
        <v>183951092.04044378</v>
      </c>
      <c r="D20" s="11" t="s">
        <v>3</v>
      </c>
      <c r="E20" s="1"/>
    </row>
    <row r="21" spans="1:5" ht="15" customHeight="1" x14ac:dyDescent="0.25">
      <c r="A21" s="1"/>
      <c r="B21" s="33" t="s">
        <v>12</v>
      </c>
      <c r="C21" s="28"/>
      <c r="D21" s="19"/>
      <c r="E21" s="1"/>
    </row>
    <row r="22" spans="1:5" ht="15" customHeight="1" x14ac:dyDescent="0.25">
      <c r="A22" s="1"/>
      <c r="B22" s="31" t="s">
        <v>12</v>
      </c>
      <c r="C22" s="10">
        <v>11375568.016165119</v>
      </c>
      <c r="D22" s="11" t="s">
        <v>3</v>
      </c>
      <c r="E22" s="1"/>
    </row>
    <row r="23" spans="1:5" ht="15" customHeight="1" x14ac:dyDescent="0.25">
      <c r="A23" s="1"/>
      <c r="B23" s="33" t="s">
        <v>42</v>
      </c>
      <c r="C23" s="28"/>
      <c r="D23" s="19"/>
      <c r="E23" s="1"/>
    </row>
    <row r="24" spans="1:5" ht="15" customHeight="1" x14ac:dyDescent="0.25">
      <c r="A24" s="1"/>
      <c r="B24" s="82" t="s">
        <v>42</v>
      </c>
      <c r="C24" s="10">
        <v>11573.097888906748</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-21531163</v>
      </c>
      <c r="D32" s="11" t="s">
        <v>3</v>
      </c>
      <c r="E32" s="1"/>
    </row>
    <row r="33" spans="1:5" x14ac:dyDescent="0.25">
      <c r="A33" s="1"/>
      <c r="B33" s="33" t="s">
        <v>128</v>
      </c>
      <c r="C33" s="28"/>
      <c r="D33" s="19"/>
      <c r="E33" s="1"/>
    </row>
    <row r="34" spans="1:5" ht="15.4" customHeight="1" x14ac:dyDescent="0.25">
      <c r="A34" s="1"/>
      <c r="B34" s="31" t="s">
        <v>128</v>
      </c>
      <c r="C34" s="10">
        <v>21248</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4652358.679031333</v>
      </c>
      <c r="D38" s="11" t="s">
        <v>3</v>
      </c>
      <c r="E38" s="1"/>
    </row>
    <row r="39" spans="1:5" x14ac:dyDescent="0.25">
      <c r="A39" s="1"/>
      <c r="B39" s="33" t="s">
        <v>65</v>
      </c>
      <c r="C39" s="45">
        <v>178480676.83352914</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708I4ib6TyAeczPkeYqRQK+nmyLMnvZiC4tPBR6NgwwWILZ8EArgOdiosh3DNebIkC3h/FyQiuaFd//APYE+tw==" saltValue="qPmMmrU+vzbmPgTMxNjOS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57026387.262424201</v>
      </c>
      <c r="D9" s="14" t="s">
        <v>3</v>
      </c>
      <c r="E9" s="1"/>
    </row>
    <row r="10" spans="1:5" x14ac:dyDescent="0.25">
      <c r="A10" s="1"/>
      <c r="B10" s="65" t="s">
        <v>125</v>
      </c>
      <c r="C10" s="23">
        <f>('Fane 3. Omkostninger i ØR2024'!C10+'Fane 3. Omkostninger i ØR2024'!C12+'Fane 3. Omkostninger i ØR2024'!C14)*(1+'Fane 15. Nøgletal'!C9)</f>
        <v>1512936.8519552001</v>
      </c>
      <c r="D10" s="14" t="s">
        <v>3</v>
      </c>
      <c r="E10" s="1"/>
    </row>
    <row r="11" spans="1:5" x14ac:dyDescent="0.25">
      <c r="A11" s="1"/>
      <c r="B11" s="65" t="s">
        <v>131</v>
      </c>
      <c r="C11" s="23">
        <f>C9*'Fane 15. Nøgletal'!C21+C10*'Fane 15. Nøgletal'!C21</f>
        <v>1170786.4822875881</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62003915.472764827</v>
      </c>
      <c r="D15" s="14" t="s">
        <v>3</v>
      </c>
      <c r="E15" s="1"/>
    </row>
    <row r="16" spans="1:5" x14ac:dyDescent="0.25">
      <c r="A16" s="1"/>
      <c r="B16" s="65" t="s">
        <v>184</v>
      </c>
      <c r="C16" s="23">
        <f>('Fane 2.1. Økonomisk ramme 2025'!C10+'Fane 2.1. Økonomisk ramme 2025'!C12+'Fane 2.1. Økonomisk ramme 2025'!C14)*(1+'Fane 15. Nøgletal'!C10)</f>
        <v>1017839.6786836901</v>
      </c>
      <c r="D16" s="14" t="s">
        <v>3</v>
      </c>
      <c r="E16" s="1"/>
    </row>
    <row r="17" spans="1:5" x14ac:dyDescent="0.25">
      <c r="A17" s="1"/>
      <c r="B17" s="65" t="s">
        <v>132</v>
      </c>
      <c r="C17" s="23">
        <f>C15*'Fane 15. Nøgletal'!C21+C16*'Fane 15. Nøgletal'!C21</f>
        <v>1260435.1030289703</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65856095.567629769</v>
      </c>
      <c r="D21" s="14" t="s">
        <v>3</v>
      </c>
      <c r="E21" s="1"/>
    </row>
    <row r="22" spans="1:5" x14ac:dyDescent="0.25">
      <c r="A22" s="1"/>
      <c r="B22" s="65" t="s">
        <v>196</v>
      </c>
      <c r="C22" s="23">
        <f>C21*'Fane 15. Nøgletal'!C21</f>
        <v>1317121.9113525953</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68817907.609688357</v>
      </c>
      <c r="D26" s="14" t="s">
        <v>3</v>
      </c>
      <c r="E26" s="1"/>
    </row>
    <row r="27" spans="1:5" x14ac:dyDescent="0.25">
      <c r="A27" s="1"/>
      <c r="B27" s="65" t="s">
        <v>194</v>
      </c>
      <c r="C27" s="23">
        <f>C26*'Fane 15. Nøgletal'!C21</f>
        <v>1376358.1521937673</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71912924.186526477</v>
      </c>
      <c r="D31" s="14" t="s">
        <v>3</v>
      </c>
      <c r="E31" s="1"/>
    </row>
    <row r="32" spans="1:5" x14ac:dyDescent="0.25">
      <c r="A32" s="1"/>
      <c r="B32" s="65" t="s">
        <v>195</v>
      </c>
      <c r="C32" s="23">
        <f>C31*'Fane 15. Nøgletal'!C21</f>
        <v>1438258.4837305297</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iF9M27IJmhp7ek8gEfbf8qJdc+BpNQo1bjN6s5PnxRYYDr6Ms7qgm2tbLftgm7OaurKG2r41z05gLHuVazGfQ==" saltValue="YA4PKdz3p92ee0vxCJlhL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128731652.50790557</v>
      </c>
      <c r="D9" s="14" t="s">
        <v>3</v>
      </c>
      <c r="E9" s="1"/>
    </row>
    <row r="10" spans="1:5" x14ac:dyDescent="0.25">
      <c r="A10" s="1"/>
      <c r="B10" s="65" t="s">
        <v>126</v>
      </c>
      <c r="C10" s="23">
        <f>('Fane 3. Omkostninger i ØR2024'!C11+'Fane 3. Omkostninger i ØR2024'!C13+'Fane 3. Omkostninger i ØR2024'!C15)*(1+'Fane 15. Nøgletal'!C9)</f>
        <v>2075279.3059177985</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141376131.90438029</v>
      </c>
      <c r="D15" s="14" t="s">
        <v>3</v>
      </c>
      <c r="E15" s="1"/>
    </row>
    <row r="16" spans="1:5" x14ac:dyDescent="0.25">
      <c r="A16" s="1"/>
      <c r="B16" s="65" t="s">
        <v>185</v>
      </c>
      <c r="C16" s="23">
        <f>('Fane 2.1. Økonomisk ramme 2025'!C11+'Fane 2.1. Økonomisk ramme 2025'!C13+'Fane 2.1. Økonomisk ramme 2025'!C15)*(1+'Fane 15. Nøgletal'!C10)</f>
        <v>1827557.9812913302</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152698094.52509165</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162821978.19210523</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173617075.3462418</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qd68z8J71c4uSiTTT7BfhBYeyv0XYh0u11X+gtZ0Ok7Z5IgL0GnD3BUrveXIo/wBBgbcA6iUPZOQWV4avi6uQ==" saltValue="4CJs2PnicoDnzSFBJ9QYD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4.4224241151133705E-3</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RDLwEFnM9Sy/Qg5pWX3J2pJy2E6gO1o95IkqjQkFwSY9DjDmHdOyl2LPrUNjAtD9ZpP0GnUp6WNRY8JitqfkWw==" saltValue="CrQOIuhfd10tL30KTStdP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2024-08-21T11:42:42Z</dcterms:modified>
</cp:coreProperties>
</file>