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Kalundborg Spildevandsanlæg AS (S056)\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C32" i="2"/>
  <c r="E24" i="32" l="1"/>
  <c r="E32" i="32" s="1"/>
  <c r="E34" i="32" s="1"/>
  <c r="E28" i="32" l="1"/>
  <c r="C13"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4"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<sst xmlns="http://schemas.openxmlformats.org/spreadsheetml/2006/main" count="605" uniqueCount="287">
  <si>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</si>
  <si>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</si>
  <si>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</si>
  <si>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</si>
  <si>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</si>
  <si>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</si>
  <si>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</si>
  <si>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</si>
  <si>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</si>
  <si>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</si>
  <si>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</si>
  <si>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</si>
  <si>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</si>
  <si>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</si>
  <si>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</si>
  <si>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</si>
  <si>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</si>
  <si>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</si>
  <si>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</si>
  <si>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</si>
  <si>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</si>
  <si>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</si>
  <si>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</si>
  <si>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</si>
  <si>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</si>
  <si>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</si>
  <si>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</si>
  <si>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</si>
  <si>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</si>
  <si>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</si>
  <si>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</si>
  <si>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</si>
  <si>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</si>
  <si>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</si>
  <si>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</si>
  <si>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</si>
  <si>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</si>
  <si>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</si>
  <si>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</si>
  <si>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</si>
  <si>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</si>
  <si>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</si>
  <si>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</si>
  <si>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</si>
  <si>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</si>
  <si>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</si>
  <si>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</si>
  <si>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</si>
  <si>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</si>
  <si>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</si>
  <si>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</si>
  <si>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</si>
  <si>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</si>
  <si>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</si>
  <si>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</si>
  <si>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</si>
  <si>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</si>
  <si>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</si>
  <si>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</si>
  <si>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</si>
  <si>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</si>
  <si>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</si>
  <si>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</si>
  <si>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</si>
  <si>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</si>
  <si>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</si>
  <si>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</si>
  <si>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</si>
  <si>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</si>
  <si>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</si>
  <si>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</si>
  <si>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</si>
  <si>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</si>
  <si>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</si>
  <si>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</si>
  <si>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</si>
  <si>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</si>
  <si>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</si>
  <si>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</si>
  <si>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</si>
  <si>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</si>
  <si>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</si>
  <si>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</si>
  <si>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</si>
  <si>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</si>
  <si>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</si>
  <si>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</si>
  <si>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</si>
  <si>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</si>
  <si>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</si>
  <si>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</si>
  <si>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</si>
  <si>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</si>
  <si>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</si>
  <si>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</si>
  <si>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</si>
  <si>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</si>
  <si>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</si>
  <si>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</si>
  <si>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</si>
  <si>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</si>
  <si>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</si>
  <si>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</si>
  <si>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</si>
  <si>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</si>
  <si>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</si>
  <si>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</si>
  <si>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</si>
  <si>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</si>
  <si>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</si>
  <si>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</si>
  <si>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</si>
  <si>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</si>
  <si>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</si>
  <si>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</si>
  <si>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</si>
  <si>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</si>
  <si>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</si>
  <si>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</si>
  <si>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</si>
  <si>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</si>
  <si>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</si>
  <si>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</si>
  <si>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</si>
  <si>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</si>
  <si>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</si>
  <si>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</si>
  <si>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</si>
  <si>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</si>
  <si>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</si>
  <si>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</si>
  <si>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</si>
  <si>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</si>
  <si>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</si>
  <si>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</si>
  <si>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</si>
  <si>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</si>
  <si>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</si>
  <si>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</si>
  <si>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</si>
  <si>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</si>
  <si>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</si>
  <si>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</si>
  <si>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</si>
  <si>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</si>
  <si>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</si>
  <si>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</si>
  <si>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</si>
  <si>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</si>
  <si>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</si>
  <si>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</si>
  <si>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</si>
  <si>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</si>
  <si>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</si>
  <si>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</si>
  <si>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</si>
  <si>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</si>
  <si>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</si>
  <si>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</si>
  <si>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</si>
  <si>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</si>
  <si>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</si>
  <si>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</si>
  <si>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</si>
  <si>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</si>
  <si>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</si>
  <si>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</si>
  <si>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</si>
  <si>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</si>
  <si>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</si>
  <si>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</si>
  <si>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</si>
  <si>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</si>
  <si>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</si>
  <si>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</si>
  <si>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</si>
  <si>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</si>
  <si>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</si>
  <si>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</si>
  <si>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</si>
  <si>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</si>
  <si>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</si>
  <si>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</si>
  <si>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</si>
  <si>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</si>
  <si>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</si>
  <si>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</si>
  <si>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</si>
  <si>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</si>
  <si>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</si>
  <si>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</si>
  <si>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</si>
  <si>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</si>
  <si>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</si>
  <si>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</si>
  <si>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</si>
  <si>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</si>
  <si>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</si>
  <si>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</si>
  <si>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</si>
  <si>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</si>
  <si>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</si>
  <si>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</si>
  <si>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</si>
  <si>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</si>
  <si>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</si>
  <si>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</si>
  <si>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</si>
  <si>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</si>
  <si>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</si>
  <si>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</si>
  <si>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</si>
  <si>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</si>
  <si>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</si>
  <si>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</si>
  <si>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</si>
  <si>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</si>
  <si>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</si>
  <si>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</si>
  <si>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</si>
  <si>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</si>
  <si>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</si>
  <si>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</si>
  <si>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</si>
  <si>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</si>
  <si>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</si>
  <si>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</si>
  <si>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</si>
  <si>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</si>
  <si>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</si>
  <si>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</si>
  <si>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</si>
  <si>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</si>
  <si>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</si>
  <si>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</si>
  <si>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</si>
  <si>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</si>
  <si>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</si>
  <si>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</si>
  <si>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</si>
  <si>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</si>
  <si>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</si>
  <si>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</si>
  <si>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</si>
  <si>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</si>
  <si>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</si>
  <si>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</si>
  <si>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</si>
  <si>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</si>
  <si>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</si>
  <si>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</si>
  <si>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</si>
  <si>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</si>
  <si>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</si>
  <si>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</si>
  <si>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</si>
  <si>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</si>
  <si>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</si>
  <si>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</si>
  <si>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</si>
  <si>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</si>
  <si>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</si>
  <si>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</si>
  <si>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</si>
  <si>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</si>
  <si>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Afgift til Forsyningssekretariatet</t>
  </si>
  <si>
    <t>Køb af ydelser og produkter fra andre vandselskaber reguleret af vandsektorloven</t>
  </si>
  <si>
    <t>Ejendomsskatter</t>
  </si>
  <si>
    <t>Resultat af kontrol med overholdelse af den økonomiske ramme for 2021</t>
  </si>
  <si>
    <t>Ingen anlægsprojekter</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</si>
  <si>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</si>
  <si>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</si>
  <si>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</si>
  <si>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</si>
  <si>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</si>
  <si>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</si>
  <si>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</si>
  <si>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</si>
  <si>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</si>
  <si>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</si>
  <si>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</si>
  <si>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</si>
  <si>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</si>
  <si>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</si>
  <si>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</si>
  <si>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 xml:space="preserve">Note: Opgørelsen af over/underdækningen er taget fra jeres tidligere fremsendte økonomiske rammer og statusmeddelelser. I kan derfor ikke komme med høringssvar til denne opgørelse. </t>
  </si>
  <si>
    <t>Oprensning af bassin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</si>
</sst>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0"/>
    <numFmt numFmtId="166" formatCode="_ * #,##0_ ;_ * \-#,##0_ ;_ * &quot;-&quot;??_ ;_ @_ "/>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6">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166"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1" t="s">
        <v>4</v>
      </c>
      <c r="E6" s="111"/>
      <c r="F6" s="111"/>
      <c r="G6" s="111"/>
      <c r="H6" s="3"/>
      <c r="I6" s="1"/>
    </row>
    <row r="7" spans="1:9" ht="15" customHeight="1" x14ac:dyDescent="0.25">
      <c r="A7" s="1"/>
      <c r="B7" s="1"/>
      <c r="C7" s="3"/>
      <c r="D7" s="111"/>
      <c r="E7" s="111"/>
      <c r="F7" s="111"/>
      <c r="G7" s="111"/>
      <c r="H7" s="3"/>
      <c r="I7" s="1"/>
    </row>
    <row r="8" spans="1:9" ht="15.75" x14ac:dyDescent="0.25">
      <c r="A8" s="1"/>
      <c r="B8" s="1"/>
      <c r="C8" s="4"/>
      <c r="D8" s="116" t="s">
        <v>225</v>
      </c>
      <c r="E8" s="116"/>
      <c r="F8" s="116"/>
      <c r="G8" s="116"/>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5" t="s">
        <v>5</v>
      </c>
      <c r="E11" s="115"/>
      <c r="F11" s="115"/>
      <c r="G11" s="115"/>
      <c r="H11" s="5"/>
      <c r="I11" s="1"/>
    </row>
    <row r="12" spans="1:9" x14ac:dyDescent="0.25">
      <c r="A12" s="1"/>
      <c r="B12" s="1"/>
      <c r="C12" s="1"/>
      <c r="D12" s="1"/>
      <c r="E12" s="1"/>
      <c r="F12" s="1"/>
      <c r="G12" s="1"/>
      <c r="H12" s="5"/>
      <c r="I12" s="1"/>
    </row>
    <row r="13" spans="1:9" x14ac:dyDescent="0.25">
      <c r="A13" s="1"/>
      <c r="B13" s="1"/>
      <c r="C13" s="6" t="s">
        <v>6</v>
      </c>
      <c r="D13" s="117" t="s">
        <v>169</v>
      </c>
      <c r="E13" s="118"/>
      <c r="F13" s="118"/>
      <c r="G13" s="119"/>
      <c r="H13" s="5"/>
      <c r="I13" s="1"/>
    </row>
    <row r="14" spans="1:9" x14ac:dyDescent="0.25">
      <c r="A14" s="1"/>
      <c r="B14" s="1"/>
      <c r="C14" s="6" t="s">
        <v>16</v>
      </c>
      <c r="D14" s="108" t="s">
        <v>235</v>
      </c>
      <c r="E14" s="109"/>
      <c r="F14" s="109"/>
      <c r="G14" s="110"/>
      <c r="H14" s="5"/>
      <c r="I14" s="1"/>
    </row>
    <row r="15" spans="1:9" x14ac:dyDescent="0.25">
      <c r="A15" s="1"/>
      <c r="B15" s="1"/>
      <c r="C15" s="6" t="s">
        <v>34</v>
      </c>
      <c r="D15" s="108" t="s">
        <v>170</v>
      </c>
      <c r="E15" s="109"/>
      <c r="F15" s="109"/>
      <c r="G15" s="110"/>
      <c r="H15" s="5"/>
      <c r="I15" s="1"/>
    </row>
    <row r="16" spans="1:9" x14ac:dyDescent="0.25">
      <c r="A16" s="1"/>
      <c r="B16" s="1"/>
      <c r="C16" s="6" t="s">
        <v>35</v>
      </c>
      <c r="D16" s="108" t="s">
        <v>182</v>
      </c>
      <c r="E16" s="109"/>
      <c r="F16" s="109"/>
      <c r="G16" s="110"/>
      <c r="H16" s="5"/>
      <c r="I16" s="1"/>
    </row>
    <row r="17" spans="1:9" x14ac:dyDescent="0.25">
      <c r="A17" s="1"/>
      <c r="B17" s="1"/>
      <c r="C17" s="6" t="s">
        <v>119</v>
      </c>
      <c r="D17" s="108" t="s">
        <v>183</v>
      </c>
      <c r="E17" s="109"/>
      <c r="F17" s="109"/>
      <c r="G17" s="110"/>
      <c r="H17" s="5"/>
      <c r="I17" s="1"/>
    </row>
    <row r="18" spans="1:9" x14ac:dyDescent="0.25">
      <c r="A18" s="1"/>
      <c r="B18" s="1"/>
      <c r="C18" s="6" t="s">
        <v>106</v>
      </c>
      <c r="D18" s="105" t="s">
        <v>95</v>
      </c>
      <c r="E18" s="106"/>
      <c r="F18" s="106"/>
      <c r="G18" s="107"/>
      <c r="H18" s="5"/>
      <c r="I18" s="1"/>
    </row>
    <row r="19" spans="1:9" x14ac:dyDescent="0.25">
      <c r="A19" s="1"/>
      <c r="B19" s="1"/>
      <c r="C19" s="6" t="s">
        <v>107</v>
      </c>
      <c r="D19" s="105" t="s">
        <v>96</v>
      </c>
      <c r="E19" s="106"/>
      <c r="F19" s="106"/>
      <c r="G19" s="107"/>
      <c r="H19" s="5"/>
      <c r="I19" s="1"/>
    </row>
    <row r="20" spans="1:9" x14ac:dyDescent="0.25">
      <c r="A20" s="1"/>
      <c r="B20" s="1"/>
      <c r="C20" s="6" t="s">
        <v>7</v>
      </c>
      <c r="D20" s="105" t="s">
        <v>10</v>
      </c>
      <c r="E20" s="106"/>
      <c r="F20" s="106"/>
      <c r="G20" s="107"/>
      <c r="H20" s="5"/>
      <c r="I20" s="1"/>
    </row>
    <row r="21" spans="1:9" x14ac:dyDescent="0.25">
      <c r="A21" s="1"/>
      <c r="B21" s="1"/>
      <c r="C21" s="6" t="s">
        <v>108</v>
      </c>
      <c r="D21" s="112" t="s">
        <v>12</v>
      </c>
      <c r="E21" s="113"/>
      <c r="F21" s="113"/>
      <c r="G21" s="114"/>
      <c r="H21" s="5"/>
      <c r="I21" s="1"/>
    </row>
    <row r="22" spans="1:9" x14ac:dyDescent="0.25">
      <c r="A22" s="1"/>
      <c r="B22" s="1"/>
      <c r="C22" s="6" t="s">
        <v>83</v>
      </c>
      <c r="D22" s="99" t="s">
        <v>184</v>
      </c>
      <c r="E22" s="100"/>
      <c r="F22" s="100"/>
      <c r="G22" s="101"/>
      <c r="H22" s="5"/>
      <c r="I22" s="1"/>
    </row>
    <row r="23" spans="1:9" x14ac:dyDescent="0.25">
      <c r="A23" s="1"/>
      <c r="B23" s="1"/>
      <c r="C23" s="6" t="s">
        <v>8</v>
      </c>
      <c r="D23" s="99" t="s">
        <v>253</v>
      </c>
      <c r="E23" s="100"/>
      <c r="F23" s="100"/>
      <c r="G23" s="101"/>
      <c r="H23" s="5"/>
      <c r="I23" s="1"/>
    </row>
    <row r="24" spans="1:9" x14ac:dyDescent="0.25">
      <c r="A24" s="1"/>
      <c r="B24" s="1"/>
      <c r="C24" s="6" t="s">
        <v>9</v>
      </c>
      <c r="D24" s="99" t="s">
        <v>185</v>
      </c>
      <c r="E24" s="100"/>
      <c r="F24" s="100"/>
      <c r="G24" s="101"/>
      <c r="H24" s="5"/>
      <c r="I24" s="1"/>
    </row>
    <row r="25" spans="1:9" x14ac:dyDescent="0.25">
      <c r="A25" s="1"/>
      <c r="B25" s="1"/>
      <c r="C25" s="6" t="s">
        <v>246</v>
      </c>
      <c r="D25" s="99" t="s">
        <v>237</v>
      </c>
      <c r="E25" s="100"/>
      <c r="F25" s="100"/>
      <c r="G25" s="101"/>
      <c r="H25" s="1"/>
      <c r="I25" s="1"/>
    </row>
    <row r="26" spans="1:9" x14ac:dyDescent="0.25">
      <c r="A26" s="1"/>
      <c r="B26" s="1"/>
      <c r="C26" s="6" t="s">
        <v>247</v>
      </c>
      <c r="D26" s="99" t="s">
        <v>84</v>
      </c>
      <c r="E26" s="100"/>
      <c r="F26" s="100"/>
      <c r="G26" s="101"/>
      <c r="H26" s="1"/>
      <c r="I26" s="1"/>
    </row>
    <row r="27" spans="1:9" x14ac:dyDescent="0.25">
      <c r="A27" s="1"/>
      <c r="B27" s="1"/>
      <c r="C27" s="6" t="s">
        <v>248</v>
      </c>
      <c r="D27" s="99" t="s">
        <v>85</v>
      </c>
      <c r="E27" s="100"/>
      <c r="F27" s="100"/>
      <c r="G27" s="101"/>
      <c r="H27" s="1"/>
      <c r="I27" s="1"/>
    </row>
    <row r="28" spans="1:9" x14ac:dyDescent="0.25">
      <c r="A28" s="1"/>
      <c r="B28" s="1"/>
      <c r="C28" s="6" t="s">
        <v>15</v>
      </c>
      <c r="D28" s="99" t="s">
        <v>86</v>
      </c>
      <c r="E28" s="100"/>
      <c r="F28" s="100"/>
      <c r="G28" s="101"/>
      <c r="H28" s="1"/>
      <c r="I28" s="1"/>
    </row>
    <row r="29" spans="1:9" x14ac:dyDescent="0.25">
      <c r="A29" s="1"/>
      <c r="B29" s="1"/>
      <c r="C29" s="6" t="s">
        <v>37</v>
      </c>
      <c r="D29" s="99" t="s">
        <v>134</v>
      </c>
      <c r="E29" s="100"/>
      <c r="F29" s="100"/>
      <c r="G29" s="101"/>
      <c r="H29" s="1"/>
      <c r="I29" s="1"/>
    </row>
    <row r="30" spans="1:9" x14ac:dyDescent="0.25">
      <c r="A30" s="1"/>
      <c r="B30" s="1"/>
      <c r="C30" s="6" t="s">
        <v>38</v>
      </c>
      <c r="D30" s="99" t="s">
        <v>36</v>
      </c>
      <c r="E30" s="100"/>
      <c r="F30" s="100"/>
      <c r="G30" s="101"/>
      <c r="H30" s="1"/>
      <c r="I30" s="1"/>
    </row>
    <row r="31" spans="1:9" x14ac:dyDescent="0.25">
      <c r="A31" s="1"/>
      <c r="B31" s="1"/>
      <c r="C31" s="6" t="s">
        <v>249</v>
      </c>
      <c r="D31" s="102" t="s">
        <v>105</v>
      </c>
      <c r="E31" s="103"/>
      <c r="F31" s="103"/>
      <c r="G31" s="104"/>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xUlp9fx/zhJ6gY59T5hzzgms2kIx75047oBM6jFl8W95fLnOocCY7VTkWUUJrIL5Qs9IzAr0+rKdpLdkk54T5g==" saltValue="Bn9yD8BSZztrReIpaAFJ3w=="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0" t="s">
        <v>111</v>
      </c>
      <c r="C3" s="120"/>
      <c r="D3" s="120"/>
      <c r="E3" s="1"/>
      <c r="F3" s="1"/>
    </row>
    <row r="4" spans="1:6" ht="15" customHeight="1" x14ac:dyDescent="0.25">
      <c r="A4" s="1"/>
      <c r="B4" s="120"/>
      <c r="C4" s="120"/>
      <c r="D4" s="12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2" t="s">
        <v>199</v>
      </c>
      <c r="C8" s="133"/>
      <c r="D8" s="134"/>
      <c r="E8" s="1"/>
      <c r="F8" s="1"/>
    </row>
    <row r="9" spans="1:6" ht="15" customHeight="1" x14ac:dyDescent="0.25">
      <c r="A9" s="1"/>
      <c r="B9" s="26" t="s">
        <v>32</v>
      </c>
      <c r="C9" s="58" t="s">
        <v>240</v>
      </c>
      <c r="D9" s="11"/>
      <c r="E9" s="1"/>
      <c r="F9" s="1"/>
    </row>
    <row r="10" spans="1:6" x14ac:dyDescent="0.25">
      <c r="A10" s="1"/>
      <c r="B10" s="95" t="s">
        <v>265</v>
      </c>
      <c r="C10" s="9">
        <v>98835</v>
      </c>
      <c r="D10" s="14" t="s">
        <v>3</v>
      </c>
      <c r="E10" s="1"/>
      <c r="F10" s="1"/>
    </row>
    <row r="11" spans="1:6" x14ac:dyDescent="0.25">
      <c r="A11" s="1"/>
      <c r="B11" s="95" t="s">
        <v>266</v>
      </c>
      <c r="C11" s="9">
        <v>130214</v>
      </c>
      <c r="D11" s="14" t="s">
        <v>3</v>
      </c>
      <c r="E11" s="1"/>
      <c r="F11" s="1"/>
    </row>
    <row r="12" spans="1:6" x14ac:dyDescent="0.25">
      <c r="A12" s="1"/>
      <c r="B12" s="95" t="s">
        <v>267</v>
      </c>
      <c r="C12" s="9">
        <v>596959</v>
      </c>
      <c r="D12" s="14" t="s">
        <v>3</v>
      </c>
      <c r="E12" s="1"/>
      <c r="F12" s="1"/>
    </row>
    <row r="13" spans="1:6" x14ac:dyDescent="0.25">
      <c r="A13" s="1"/>
      <c r="B13" s="32" t="s">
        <v>200</v>
      </c>
      <c r="C13" s="12">
        <f>SUM(C10:C12)</f>
        <v>826008</v>
      </c>
      <c r="D13" s="13" t="s">
        <v>3</v>
      </c>
      <c r="E13" s="1"/>
      <c r="F13" s="1"/>
    </row>
    <row r="14" spans="1:6" x14ac:dyDescent="0.25">
      <c r="A14" s="1"/>
      <c r="B14" s="32" t="s">
        <v>201</v>
      </c>
      <c r="C14" s="12">
        <f>C13*(1+'Fane 15. Nøgletal'!C15)^2</f>
        <v>885866.6190988801</v>
      </c>
      <c r="D14" s="13" t="s">
        <v>3</v>
      </c>
      <c r="E14" s="1"/>
      <c r="F14" s="1"/>
    </row>
    <row r="15" spans="1:6" x14ac:dyDescent="0.25">
      <c r="A15" s="1"/>
      <c r="B15" s="16"/>
      <c r="C15" s="15"/>
      <c r="D15" s="15"/>
      <c r="E15" s="1"/>
      <c r="F15" s="1"/>
    </row>
    <row r="16" spans="1:6" x14ac:dyDescent="0.25">
      <c r="A16" s="1"/>
      <c r="B16" s="16"/>
      <c r="C16" s="15"/>
      <c r="D16" s="15"/>
      <c r="E16" s="1"/>
      <c r="F16" s="1"/>
    </row>
    <row r="17" spans="1:6" x14ac:dyDescent="0.25">
      <c r="A17" s="1"/>
      <c r="B17" s="132" t="s">
        <v>117</v>
      </c>
      <c r="C17" s="133"/>
      <c r="D17" s="134"/>
      <c r="E17" s="1"/>
      <c r="F17" s="1"/>
    </row>
    <row r="18" spans="1:6" x14ac:dyDescent="0.25">
      <c r="A18" s="1"/>
      <c r="B18" s="95" t="s">
        <v>99</v>
      </c>
      <c r="C18" s="9">
        <v>0</v>
      </c>
      <c r="D18" s="14" t="s">
        <v>3</v>
      </c>
      <c r="E18" s="1"/>
      <c r="F18" s="1"/>
    </row>
    <row r="19" spans="1:6" x14ac:dyDescent="0.25">
      <c r="A19" s="1"/>
      <c r="B19" s="95" t="s">
        <v>129</v>
      </c>
      <c r="C19" s="9">
        <v>0</v>
      </c>
      <c r="D19" s="14" t="s">
        <v>3</v>
      </c>
      <c r="E19" s="1"/>
      <c r="F19" s="1"/>
    </row>
    <row r="20" spans="1:6" x14ac:dyDescent="0.25">
      <c r="A20" s="1"/>
      <c r="B20" s="95" t="s">
        <v>155</v>
      </c>
      <c r="C20" s="9">
        <v>0</v>
      </c>
      <c r="D20" s="14" t="s">
        <v>3</v>
      </c>
      <c r="E20" s="1"/>
      <c r="F20" s="1"/>
    </row>
    <row r="21" spans="1:6" x14ac:dyDescent="0.25">
      <c r="A21" s="1"/>
      <c r="B21" s="33" t="s">
        <v>202</v>
      </c>
      <c r="C21" s="9">
        <v>0</v>
      </c>
      <c r="D21" s="40" t="s">
        <v>3</v>
      </c>
      <c r="E21" s="1"/>
      <c r="F21" s="1"/>
    </row>
    <row r="22" spans="1:6" x14ac:dyDescent="0.25">
      <c r="A22" s="1"/>
      <c r="B22" s="132"/>
      <c r="C22" s="133"/>
      <c r="D22" s="134"/>
      <c r="E22" s="1"/>
      <c r="F22" s="1"/>
    </row>
    <row r="23" spans="1:6" x14ac:dyDescent="0.25">
      <c r="A23" s="1"/>
      <c r="B23" s="1"/>
      <c r="C23" s="1"/>
      <c r="D23" s="1"/>
      <c r="E23" s="1"/>
      <c r="F23" s="1"/>
    </row>
    <row r="24" spans="1:6" x14ac:dyDescent="0.25">
      <c r="A24" s="1"/>
      <c r="B24" s="1"/>
      <c r="C24" s="1"/>
      <c r="D24" s="1"/>
      <c r="E24" s="1"/>
      <c r="F24" s="1"/>
    </row>
    <row r="25" spans="1:6" x14ac:dyDescent="0.25">
      <c r="A25" s="1"/>
      <c r="B25" s="132" t="s">
        <v>98</v>
      </c>
      <c r="C25" s="133"/>
      <c r="D25" s="134"/>
      <c r="E25" s="1"/>
      <c r="F25" s="1"/>
    </row>
    <row r="26" spans="1:6" x14ac:dyDescent="0.25">
      <c r="A26" s="1"/>
      <c r="B26" s="95" t="s">
        <v>99</v>
      </c>
      <c r="C26" s="9">
        <v>0</v>
      </c>
      <c r="D26" s="14" t="s">
        <v>3</v>
      </c>
      <c r="E26" s="1"/>
      <c r="F26" s="1"/>
    </row>
    <row r="27" spans="1:6" x14ac:dyDescent="0.25">
      <c r="A27" s="1"/>
      <c r="B27" s="95" t="s">
        <v>129</v>
      </c>
      <c r="C27" s="9">
        <v>0</v>
      </c>
      <c r="D27" s="14" t="s">
        <v>3</v>
      </c>
      <c r="E27" s="1"/>
      <c r="F27" s="1"/>
    </row>
    <row r="28" spans="1:6" x14ac:dyDescent="0.25">
      <c r="A28" s="1"/>
      <c r="B28" s="95" t="s">
        <v>155</v>
      </c>
      <c r="C28" s="9">
        <v>0</v>
      </c>
      <c r="D28" s="14" t="s">
        <v>3</v>
      </c>
      <c r="E28" s="1"/>
      <c r="F28" s="1"/>
    </row>
    <row r="29" spans="1:6" x14ac:dyDescent="0.25">
      <c r="A29" s="1"/>
      <c r="B29" s="33" t="s">
        <v>202</v>
      </c>
      <c r="C29" s="9">
        <v>0</v>
      </c>
      <c r="D29" s="40" t="s">
        <v>3</v>
      </c>
      <c r="E29" s="1"/>
      <c r="F29" s="1"/>
    </row>
    <row r="30" spans="1:6" x14ac:dyDescent="0.25">
      <c r="A30" s="1"/>
      <c r="B30" s="132"/>
      <c r="C30" s="133"/>
      <c r="D30" s="134"/>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49"/>
      <c r="B47" s="49"/>
      <c r="C47" s="49"/>
      <c r="D47" s="49"/>
      <c r="E47" s="49"/>
      <c r="F47" s="49"/>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sheetData>
  <sheetProtection algorithmName="SHA-512" hashValue="rb/18j3GyhPKpLe3ywgOc/S/4E2JCWocZBEOpIClGyjD+3vsQDwRmdFWph2/rjfOV2IRPqhInUiWMkO6kyTKzQ==" saltValue="2YKG9AgLVQ55FTzIUuW7Wg==" spinCount="100000" sheet="1" objects="1" scenarios="1"/>
  <mergeCells count="6">
    <mergeCell ref="B30:D30"/>
    <mergeCell ref="B3:D4"/>
    <mergeCell ref="B8:D8"/>
    <mergeCell ref="B17:D17"/>
    <mergeCell ref="B25:D25"/>
    <mergeCell ref="B22:D22"/>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5" t="s">
        <v>203</v>
      </c>
      <c r="C3" s="125"/>
      <c r="D3" s="125"/>
      <c r="E3" s="125"/>
      <c r="F3" s="125"/>
      <c r="G3" s="1"/>
    </row>
    <row r="4" spans="1:7" ht="15" customHeight="1" x14ac:dyDescent="0.25">
      <c r="A4" s="1"/>
      <c r="B4" s="125"/>
      <c r="C4" s="125"/>
      <c r="D4" s="125"/>
      <c r="E4" s="125"/>
      <c r="F4" s="125"/>
      <c r="G4" s="1"/>
    </row>
    <row r="5" spans="1:7" ht="15" customHeight="1" x14ac:dyDescent="0.25">
      <c r="A5" s="1"/>
      <c r="B5" s="83"/>
      <c r="C5" s="83"/>
      <c r="D5" s="83"/>
      <c r="E5" s="83"/>
      <c r="F5" s="83"/>
      <c r="G5" s="1"/>
    </row>
    <row r="6" spans="1:7" ht="15" customHeight="1" x14ac:dyDescent="0.25">
      <c r="A6" s="1"/>
      <c r="B6" s="83"/>
      <c r="C6" s="83"/>
      <c r="D6" s="83"/>
      <c r="E6" s="83"/>
      <c r="F6" s="83"/>
      <c r="G6" s="1"/>
    </row>
    <row r="7" spans="1:7" x14ac:dyDescent="0.25">
      <c r="A7" s="1"/>
      <c r="B7" s="1"/>
      <c r="C7" s="1"/>
      <c r="D7" s="1"/>
      <c r="E7" s="1"/>
      <c r="F7" s="1"/>
      <c r="G7" s="1"/>
    </row>
    <row r="8" spans="1:7" x14ac:dyDescent="0.25">
      <c r="A8" s="1"/>
      <c r="B8" s="132" t="s">
        <v>178</v>
      </c>
      <c r="C8" s="133"/>
      <c r="D8" s="133"/>
      <c r="E8" s="133"/>
      <c r="F8" s="134"/>
      <c r="G8" s="1"/>
    </row>
    <row r="9" spans="1:7" x14ac:dyDescent="0.25">
      <c r="A9" s="1"/>
      <c r="B9" s="137" t="s">
        <v>204</v>
      </c>
      <c r="C9" s="138"/>
      <c r="D9" s="139"/>
      <c r="E9" s="9">
        <v>2698568.53202115</v>
      </c>
      <c r="F9" s="14" t="s">
        <v>3</v>
      </c>
      <c r="G9" s="1"/>
    </row>
    <row r="10" spans="1:7" x14ac:dyDescent="0.25">
      <c r="A10" s="1"/>
      <c r="B10" s="137" t="s">
        <v>263</v>
      </c>
      <c r="C10" s="138"/>
      <c r="D10" s="139"/>
      <c r="E10" s="9">
        <v>2698568.53202115</v>
      </c>
      <c r="F10" s="14" t="s">
        <v>3</v>
      </c>
      <c r="G10" s="1"/>
    </row>
    <row r="11" spans="1:7" x14ac:dyDescent="0.25">
      <c r="A11" s="1"/>
      <c r="B11" s="32"/>
      <c r="C11" s="27"/>
      <c r="D11" s="27"/>
      <c r="E11" s="27"/>
      <c r="F11" s="19"/>
      <c r="G11" s="1"/>
    </row>
    <row r="12" spans="1:7" ht="79.5" customHeight="1" x14ac:dyDescent="0.25">
      <c r="A12" s="1"/>
      <c r="B12" s="122" t="s">
        <v>284</v>
      </c>
      <c r="C12" s="123"/>
      <c r="D12" s="123"/>
      <c r="E12" s="123"/>
      <c r="F12" s="124"/>
      <c r="G12" s="1"/>
    </row>
    <row r="13" spans="1:7" ht="27" customHeight="1" x14ac:dyDescent="0.25">
      <c r="A13" s="1"/>
      <c r="B13" s="1"/>
      <c r="C13" s="1"/>
      <c r="D13" s="1"/>
      <c r="E13" s="1"/>
      <c r="F13" s="1"/>
      <c r="G13" s="1"/>
    </row>
    <row r="14" spans="1:7" ht="28.5" customHeight="1" x14ac:dyDescent="0.25">
      <c r="A14" s="1"/>
      <c r="B14" s="132" t="s">
        <v>179</v>
      </c>
      <c r="C14" s="133"/>
      <c r="D14" s="133"/>
      <c r="E14" s="133"/>
      <c r="F14" s="134"/>
      <c r="G14" s="1"/>
    </row>
    <row r="15" spans="1:7" x14ac:dyDescent="0.25">
      <c r="A15" s="1"/>
      <c r="B15" s="137" t="s">
        <v>279</v>
      </c>
      <c r="C15" s="138"/>
      <c r="D15" s="139"/>
      <c r="E15" s="9">
        <v>0</v>
      </c>
      <c r="F15" s="14" t="s">
        <v>3</v>
      </c>
      <c r="G15" s="1"/>
    </row>
    <row r="16" spans="1:7" x14ac:dyDescent="0.25">
      <c r="A16" s="1"/>
      <c r="B16" s="137" t="s">
        <v>280</v>
      </c>
      <c r="C16" s="138"/>
      <c r="D16" s="139"/>
      <c r="E16" s="9">
        <v>0</v>
      </c>
      <c r="F16" s="14" t="s">
        <v>3</v>
      </c>
      <c r="G16" s="1"/>
    </row>
    <row r="17" spans="1:7" x14ac:dyDescent="0.25">
      <c r="A17" s="1"/>
      <c r="B17" s="32"/>
      <c r="C17" s="27"/>
      <c r="D17" s="27"/>
      <c r="E17" s="27"/>
      <c r="F17" s="19"/>
      <c r="G17" s="1"/>
    </row>
    <row r="18" spans="1:7" ht="31.5" customHeight="1" x14ac:dyDescent="0.25">
      <c r="A18" s="1"/>
      <c r="B18" s="122" t="s">
        <v>285</v>
      </c>
      <c r="C18" s="123"/>
      <c r="D18" s="123"/>
      <c r="E18" s="123"/>
      <c r="F18" s="124"/>
      <c r="G18" s="1"/>
    </row>
    <row r="19" spans="1:7" ht="28.5" customHeight="1" x14ac:dyDescent="0.25">
      <c r="A19" s="1"/>
      <c r="B19" s="1"/>
      <c r="C19" s="1"/>
      <c r="D19" s="1"/>
      <c r="E19" s="1"/>
      <c r="F19" s="1"/>
      <c r="G19" s="1"/>
    </row>
    <row r="20" spans="1:7" ht="28.5" customHeight="1" x14ac:dyDescent="0.25">
      <c r="A20" s="1"/>
      <c r="B20" s="87" t="s">
        <v>205</v>
      </c>
      <c r="C20" s="88"/>
      <c r="D20" s="88"/>
      <c r="E20" s="88"/>
      <c r="F20" s="89"/>
      <c r="G20" s="1"/>
    </row>
    <row r="21" spans="1:7" x14ac:dyDescent="0.25">
      <c r="A21" s="1"/>
      <c r="B21" s="92" t="s">
        <v>206</v>
      </c>
      <c r="C21" s="93"/>
      <c r="D21" s="94"/>
      <c r="E21" s="9">
        <v>67932478.872598529</v>
      </c>
      <c r="F21" s="14" t="s">
        <v>3</v>
      </c>
      <c r="G21" s="1"/>
    </row>
    <row r="22" spans="1:7" x14ac:dyDescent="0.25">
      <c r="A22" s="1"/>
      <c r="B22" s="92" t="s">
        <v>207</v>
      </c>
      <c r="C22" s="93"/>
      <c r="D22" s="94"/>
      <c r="E22" s="9">
        <v>65430986</v>
      </c>
      <c r="F22" s="14" t="s">
        <v>3</v>
      </c>
      <c r="G22" s="1"/>
    </row>
    <row r="23" spans="1:7" x14ac:dyDescent="0.25">
      <c r="A23" s="1"/>
      <c r="B23" s="92" t="s">
        <v>33</v>
      </c>
      <c r="C23" s="93"/>
      <c r="D23" s="94"/>
      <c r="E23" s="9">
        <v>0</v>
      </c>
      <c r="F23" s="14" t="s">
        <v>3</v>
      </c>
      <c r="G23" s="1"/>
    </row>
    <row r="24" spans="1:7" x14ac:dyDescent="0.25">
      <c r="A24" s="1"/>
      <c r="B24" s="90" t="s">
        <v>268</v>
      </c>
      <c r="C24" s="91"/>
      <c r="D24" s="97"/>
      <c r="E24" s="72">
        <f>E21-(E22-E23)</f>
        <v>2501492.8725985289</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2" t="s">
        <v>281</v>
      </c>
      <c r="C27" s="133"/>
      <c r="D27" s="133"/>
      <c r="E27" s="133"/>
      <c r="F27" s="134"/>
      <c r="G27" s="1"/>
    </row>
    <row r="28" spans="1:7" x14ac:dyDescent="0.25">
      <c r="A28" s="1"/>
      <c r="B28" s="135" t="s">
        <v>282</v>
      </c>
      <c r="C28" s="136"/>
      <c r="D28" s="156"/>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32"/>
      <c r="C29" s="133"/>
      <c r="D29" s="133"/>
      <c r="E29" s="133"/>
      <c r="F29" s="134"/>
      <c r="G29" s="1"/>
    </row>
    <row r="30" spans="1:7" x14ac:dyDescent="0.25">
      <c r="A30" s="1"/>
      <c r="B30" s="1"/>
      <c r="C30" s="1"/>
      <c r="D30" s="1"/>
      <c r="E30" s="1"/>
      <c r="F30" s="1"/>
      <c r="G30" s="1"/>
    </row>
    <row r="31" spans="1:7" ht="28.5" customHeight="1" x14ac:dyDescent="0.25">
      <c r="A31" s="1"/>
      <c r="B31" s="132" t="s">
        <v>264</v>
      </c>
      <c r="C31" s="133"/>
      <c r="D31" s="133"/>
      <c r="E31" s="133"/>
      <c r="F31" s="134"/>
      <c r="G31" s="1"/>
    </row>
    <row r="32" spans="1:7" x14ac:dyDescent="0.25">
      <c r="A32" s="1"/>
      <c r="B32" s="157" t="s">
        <v>143</v>
      </c>
      <c r="C32" s="158"/>
      <c r="D32" s="159"/>
      <c r="E32" s="74">
        <f>IF(AND(E9&gt;0,(E9+E24)&gt;0),0,IF(AND(E9&gt;0,(E9+E24)&lt;0),(E9+E24),IF(AND(E9&lt;0,E24&lt;0),E24,0)))</f>
        <v>0</v>
      </c>
      <c r="F32" s="14" t="s">
        <v>3</v>
      </c>
      <c r="G32" s="1"/>
    </row>
    <row r="33" spans="1:7" x14ac:dyDescent="0.25">
      <c r="A33" s="1"/>
      <c r="B33" s="157" t="s">
        <v>102</v>
      </c>
      <c r="C33" s="158"/>
      <c r="D33" s="159"/>
      <c r="E33" s="9">
        <v>4</v>
      </c>
      <c r="F33" s="14" t="s">
        <v>20</v>
      </c>
      <c r="G33" s="1"/>
    </row>
    <row r="34" spans="1:7" x14ac:dyDescent="0.25">
      <c r="A34" s="1"/>
      <c r="B34" s="152" t="s">
        <v>144</v>
      </c>
      <c r="C34" s="152"/>
      <c r="D34" s="152"/>
      <c r="E34" s="73">
        <f>E32/E33</f>
        <v>0</v>
      </c>
      <c r="F34" s="17" t="s">
        <v>3</v>
      </c>
      <c r="G34" s="1"/>
    </row>
    <row r="35" spans="1:7" x14ac:dyDescent="0.25">
      <c r="A35" s="1"/>
      <c r="B35" s="153"/>
      <c r="C35" s="154"/>
      <c r="D35" s="154"/>
      <c r="E35" s="154"/>
      <c r="F35" s="155"/>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49"/>
      <c r="B40" s="49"/>
      <c r="C40" s="49"/>
      <c r="D40" s="49"/>
      <c r="E40" s="49"/>
      <c r="F40" s="49"/>
      <c r="G40" s="49"/>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ld6aoUUKF9U84qVATAZybVAbSnbN/yPHYfVr+7NDEwdY4YpqnBSm2gHbY2X+8lhnxO6dSxF6W+S4jbA1s1O9og==" saltValue="ntDE7phAT7ylXxkVQ8/QLw==" spinCount="100000" sheet="1" objects="1" scenarios="1"/>
  <mergeCells count="17">
    <mergeCell ref="B15:D15"/>
    <mergeCell ref="B16:D16"/>
    <mergeCell ref="B32:D32"/>
    <mergeCell ref="B29:F29"/>
    <mergeCell ref="B3:F4"/>
    <mergeCell ref="B8:F8"/>
    <mergeCell ref="B9:D9"/>
    <mergeCell ref="B10:D10"/>
    <mergeCell ref="B14:F14"/>
    <mergeCell ref="B12:F12"/>
    <mergeCell ref="B34:D34"/>
    <mergeCell ref="B35:F35"/>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0" t="s">
        <v>250</v>
      </c>
      <c r="C3" s="120"/>
      <c r="D3" s="120"/>
      <c r="E3" s="120"/>
      <c r="F3" s="120"/>
      <c r="G3" s="120"/>
      <c r="H3" s="120"/>
      <c r="I3" s="1"/>
    </row>
    <row r="4" spans="1:9" ht="15" customHeight="1" x14ac:dyDescent="0.25">
      <c r="A4" s="1"/>
      <c r="B4" s="120"/>
      <c r="C4" s="120"/>
      <c r="D4" s="120"/>
      <c r="E4" s="120"/>
      <c r="F4" s="120"/>
      <c r="G4" s="120"/>
      <c r="H4" s="12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2" t="s">
        <v>262</v>
      </c>
      <c r="C8" s="133"/>
      <c r="D8" s="133"/>
      <c r="E8" s="133"/>
      <c r="F8" s="133"/>
      <c r="G8" s="133"/>
      <c r="H8" s="134"/>
      <c r="I8" s="1"/>
    </row>
    <row r="9" spans="1:9" ht="15" customHeight="1" x14ac:dyDescent="0.25">
      <c r="A9" s="1"/>
      <c r="B9" s="129" t="s">
        <v>251</v>
      </c>
      <c r="C9" s="130"/>
      <c r="D9" s="130"/>
      <c r="E9" s="130"/>
      <c r="F9" s="130"/>
      <c r="G9" s="130"/>
      <c r="H9" s="131"/>
      <c r="I9" s="1"/>
    </row>
    <row r="10" spans="1:9" x14ac:dyDescent="0.25">
      <c r="A10" s="1"/>
      <c r="B10" s="160" t="s">
        <v>271</v>
      </c>
      <c r="C10" s="161"/>
      <c r="D10" s="161"/>
      <c r="E10" s="161"/>
      <c r="F10" s="162"/>
      <c r="G10" s="9">
        <v>0</v>
      </c>
      <c r="H10" s="9" t="s">
        <v>3</v>
      </c>
      <c r="I10" s="1"/>
    </row>
    <row r="11" spans="1:9" x14ac:dyDescent="0.25">
      <c r="A11" s="1"/>
      <c r="B11" s="160" t="s">
        <v>272</v>
      </c>
      <c r="C11" s="161"/>
      <c r="D11" s="161"/>
      <c r="E11" s="161"/>
      <c r="F11" s="162"/>
      <c r="G11" s="9">
        <v>0</v>
      </c>
      <c r="H11" s="9" t="s">
        <v>3</v>
      </c>
      <c r="I11" s="1"/>
    </row>
    <row r="12" spans="1:9" x14ac:dyDescent="0.25">
      <c r="A12" s="1"/>
      <c r="B12" s="160" t="s">
        <v>273</v>
      </c>
      <c r="C12" s="161"/>
      <c r="D12" s="161"/>
      <c r="E12" s="161"/>
      <c r="F12" s="162"/>
      <c r="G12" s="9">
        <v>0</v>
      </c>
      <c r="H12" s="9" t="s">
        <v>3</v>
      </c>
      <c r="I12" s="1"/>
    </row>
    <row r="13" spans="1:9" x14ac:dyDescent="0.25">
      <c r="A13" s="1"/>
      <c r="B13" s="160" t="s">
        <v>274</v>
      </c>
      <c r="C13" s="161"/>
      <c r="D13" s="161"/>
      <c r="E13" s="161"/>
      <c r="F13" s="162"/>
      <c r="G13" s="9">
        <v>0</v>
      </c>
      <c r="H13" s="9" t="s">
        <v>3</v>
      </c>
      <c r="I13" s="1"/>
    </row>
    <row r="14" spans="1:9" x14ac:dyDescent="0.25">
      <c r="A14" s="1"/>
      <c r="B14" s="160" t="s">
        <v>275</v>
      </c>
      <c r="C14" s="161"/>
      <c r="D14" s="161"/>
      <c r="E14" s="161"/>
      <c r="F14" s="162"/>
      <c r="G14" s="9">
        <v>0</v>
      </c>
      <c r="H14" s="9" t="s">
        <v>3</v>
      </c>
      <c r="I14" s="1"/>
    </row>
    <row r="15" spans="1:9" x14ac:dyDescent="0.25">
      <c r="A15" s="1"/>
      <c r="B15" s="160" t="s">
        <v>276</v>
      </c>
      <c r="C15" s="161"/>
      <c r="D15" s="161"/>
      <c r="E15" s="161"/>
      <c r="F15" s="162"/>
      <c r="G15" s="9">
        <v>0</v>
      </c>
      <c r="H15" s="9" t="s">
        <v>3</v>
      </c>
      <c r="I15" s="1"/>
    </row>
    <row r="16" spans="1:9" x14ac:dyDescent="0.25">
      <c r="A16" s="1"/>
      <c r="B16" s="160" t="s">
        <v>277</v>
      </c>
      <c r="C16" s="161"/>
      <c r="D16" s="161"/>
      <c r="E16" s="161"/>
      <c r="F16" s="162"/>
      <c r="G16" s="9">
        <v>0</v>
      </c>
      <c r="H16" s="9" t="s">
        <v>3</v>
      </c>
      <c r="I16" s="1"/>
    </row>
    <row r="17" spans="1:9" x14ac:dyDescent="0.25">
      <c r="A17" s="1"/>
      <c r="B17" s="160" t="s">
        <v>278</v>
      </c>
      <c r="C17" s="161"/>
      <c r="D17" s="161"/>
      <c r="E17" s="161"/>
      <c r="F17" s="162"/>
      <c r="G17" s="9">
        <v>0</v>
      </c>
      <c r="H17" s="9" t="s">
        <v>3</v>
      </c>
      <c r="I17" s="1"/>
    </row>
    <row r="18" spans="1:9" x14ac:dyDescent="0.25">
      <c r="A18" s="1"/>
      <c r="B18" s="132" t="s">
        <v>252</v>
      </c>
      <c r="C18" s="133"/>
      <c r="D18" s="133"/>
      <c r="E18" s="133"/>
      <c r="F18" s="134"/>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dxs2PDn9uC6Cdh/F2P9Gn3si8q0a60jSRzMHyUlosUeLkPVzZRG4n14Dv6VgL20/XS2XyNoAe/FWXKEaMVPQ2w==" saltValue="zKsvha0WMygSHMxo4i5Vwg==" spinCount="100000" sheet="1" objects="1" scenarios="1"/>
  <mergeCells count="12">
    <mergeCell ref="B17:F17"/>
    <mergeCell ref="B18:F18"/>
    <mergeCell ref="B12:F12"/>
    <mergeCell ref="B13:F13"/>
    <mergeCell ref="B14:F14"/>
    <mergeCell ref="B15:F15"/>
    <mergeCell ref="B16:F16"/>
    <mergeCell ref="B9:H9"/>
    <mergeCell ref="B3:H4"/>
    <mergeCell ref="B8:H8"/>
    <mergeCell ref="B11:F11"/>
    <mergeCell ref="B10:F10"/>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5" t="s">
        <v>254</v>
      </c>
      <c r="C3" s="125"/>
      <c r="D3" s="125"/>
      <c r="E3" s="125"/>
      <c r="F3" s="125"/>
      <c r="G3" s="1"/>
    </row>
    <row r="4" spans="1:7" ht="15" customHeight="1" x14ac:dyDescent="0.25">
      <c r="A4" s="1"/>
      <c r="B4" s="125"/>
      <c r="C4" s="125"/>
      <c r="D4" s="125"/>
      <c r="E4" s="125"/>
      <c r="F4" s="12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2" t="s">
        <v>208</v>
      </c>
      <c r="C9" s="133"/>
      <c r="D9" s="133"/>
      <c r="E9" s="133"/>
      <c r="F9" s="134"/>
      <c r="G9" s="1"/>
    </row>
    <row r="10" spans="1:7" x14ac:dyDescent="0.25">
      <c r="A10" s="1"/>
      <c r="B10" s="122" t="s">
        <v>100</v>
      </c>
      <c r="C10" s="123"/>
      <c r="D10" s="124"/>
      <c r="E10" s="7">
        <v>0</v>
      </c>
      <c r="F10" s="8" t="s">
        <v>3</v>
      </c>
      <c r="G10" s="1"/>
    </row>
    <row r="11" spans="1:7" x14ac:dyDescent="0.25">
      <c r="A11" s="1"/>
      <c r="B11" s="137" t="s">
        <v>209</v>
      </c>
      <c r="C11" s="138"/>
      <c r="D11" s="139"/>
      <c r="E11" s="7">
        <v>0</v>
      </c>
      <c r="F11" s="8" t="s">
        <v>3</v>
      </c>
      <c r="G11" s="1"/>
    </row>
    <row r="12" spans="1:7" x14ac:dyDescent="0.25">
      <c r="A12" s="1"/>
      <c r="B12" s="135" t="s">
        <v>101</v>
      </c>
      <c r="C12" s="136"/>
      <c r="D12" s="156"/>
      <c r="E12" s="10">
        <f>E11-E10</f>
        <v>0</v>
      </c>
      <c r="F12" s="11" t="s">
        <v>3</v>
      </c>
      <c r="G12" s="1"/>
    </row>
    <row r="13" spans="1:7" x14ac:dyDescent="0.25">
      <c r="A13" s="1"/>
      <c r="B13" s="132" t="s">
        <v>94</v>
      </c>
      <c r="C13" s="133"/>
      <c r="D13" s="133"/>
      <c r="E13" s="133"/>
      <c r="F13" s="134"/>
      <c r="G13" s="1"/>
    </row>
    <row r="14" spans="1:7" x14ac:dyDescent="0.25">
      <c r="A14" s="1"/>
      <c r="B14" s="137" t="s">
        <v>210</v>
      </c>
      <c r="C14" s="138"/>
      <c r="D14" s="139"/>
      <c r="E14" s="9">
        <v>0</v>
      </c>
      <c r="F14" s="8" t="s">
        <v>3</v>
      </c>
      <c r="G14" s="1"/>
    </row>
    <row r="15" spans="1:7" x14ac:dyDescent="0.25">
      <c r="A15" s="1"/>
      <c r="B15" s="122" t="s">
        <v>211</v>
      </c>
      <c r="C15" s="123"/>
      <c r="D15" s="124"/>
      <c r="E15" s="9">
        <v>0</v>
      </c>
      <c r="F15" s="8" t="s">
        <v>3</v>
      </c>
      <c r="G15" s="1"/>
    </row>
    <row r="16" spans="1:7" x14ac:dyDescent="0.25">
      <c r="A16" s="1"/>
      <c r="B16" s="135" t="s">
        <v>101</v>
      </c>
      <c r="C16" s="136"/>
      <c r="D16" s="156"/>
      <c r="E16" s="10">
        <f>E15-E14</f>
        <v>0</v>
      </c>
      <c r="F16" s="11" t="s">
        <v>3</v>
      </c>
      <c r="G16" s="1"/>
    </row>
    <row r="17" spans="1:7" x14ac:dyDescent="0.25">
      <c r="A17" s="1"/>
      <c r="B17" s="32" t="s">
        <v>212</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zViSGC+nLVoXMDVBphwPelSXqc0Bjt/IWPkanBnloHtghEpP2bfNKG6MidpdRgV94zQ1lrJ5++kHvIJECC07iw==" saltValue="ZcE7b9hBIsCg5TwIpHMbg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0" t="s">
        <v>255</v>
      </c>
      <c r="C3" s="120"/>
      <c r="D3" s="120"/>
      <c r="E3" s="120"/>
      <c r="F3" s="120"/>
      <c r="G3" s="120"/>
      <c r="H3" s="120"/>
      <c r="I3" s="120"/>
      <c r="J3" s="120"/>
      <c r="K3" s="120"/>
      <c r="L3" s="1"/>
    </row>
    <row r="4" spans="1:12" ht="15" customHeight="1" x14ac:dyDescent="0.25">
      <c r="A4" s="1"/>
      <c r="B4" s="120"/>
      <c r="C4" s="120"/>
      <c r="D4" s="120"/>
      <c r="E4" s="120"/>
      <c r="F4" s="120"/>
      <c r="G4" s="120"/>
      <c r="H4" s="120"/>
      <c r="I4" s="120"/>
      <c r="J4" s="120"/>
      <c r="K4" s="12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2" t="s">
        <v>219</v>
      </c>
      <c r="C8" s="133"/>
      <c r="D8" s="133"/>
      <c r="E8" s="133"/>
      <c r="F8" s="133"/>
      <c r="G8" s="133"/>
      <c r="H8" s="133"/>
      <c r="I8" s="133"/>
      <c r="J8" s="133"/>
      <c r="K8" s="134"/>
      <c r="L8" s="1"/>
    </row>
    <row r="9" spans="1:12" ht="39.75" customHeight="1" x14ac:dyDescent="0.25">
      <c r="A9" s="1"/>
      <c r="B9" s="18" t="s">
        <v>0</v>
      </c>
      <c r="C9" s="18" t="s">
        <v>1</v>
      </c>
      <c r="D9" s="163" t="s">
        <v>245</v>
      </c>
      <c r="E9" s="164"/>
      <c r="F9" s="163" t="s">
        <v>2</v>
      </c>
      <c r="G9" s="164"/>
      <c r="H9" s="163" t="s">
        <v>244</v>
      </c>
      <c r="I9" s="164"/>
      <c r="J9" s="163" t="s">
        <v>30</v>
      </c>
      <c r="K9" s="164"/>
      <c r="L9" s="1"/>
    </row>
    <row r="10" spans="1:12" x14ac:dyDescent="0.25">
      <c r="A10" s="1"/>
      <c r="B10" s="98" t="s">
        <v>269</v>
      </c>
      <c r="C10" s="41">
        <v>0</v>
      </c>
      <c r="D10" s="9">
        <v>0</v>
      </c>
      <c r="E10" s="14" t="s">
        <v>3</v>
      </c>
      <c r="F10" s="9">
        <f>IFERROR(D10/C10,0)</f>
        <v>0</v>
      </c>
      <c r="G10" s="14" t="s">
        <v>3</v>
      </c>
      <c r="H10" s="44">
        <v>0</v>
      </c>
      <c r="I10" s="14" t="s">
        <v>3</v>
      </c>
      <c r="J10" s="44">
        <v>0</v>
      </c>
      <c r="K10" s="14" t="s">
        <v>3</v>
      </c>
      <c r="L10" s="1"/>
    </row>
    <row r="11" spans="1:12" x14ac:dyDescent="0.25">
      <c r="A11" s="1"/>
      <c r="B11" s="87" t="s">
        <v>220</v>
      </c>
      <c r="C11" s="88"/>
      <c r="D11" s="89"/>
      <c r="E11" s="89"/>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FpzkiOa9VUhk9XGjd7QnM4boANDTSJsBmBLiiW5t3aI0si1qTMTMGXE6jdiKKM3KRpDDzpxKYtD4bQesxOaeag==" saltValue="mJ97pxrjWdOj+z8Mke1y7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256</v>
      </c>
      <c r="C3" s="120"/>
      <c r="D3" s="120"/>
      <c r="E3" s="120"/>
      <c r="F3" s="120"/>
      <c r="G3" s="1"/>
    </row>
    <row r="4" spans="1:7" ht="1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5" t="s">
        <v>17</v>
      </c>
      <c r="C9" s="85" t="s">
        <v>11</v>
      </c>
      <c r="D9" s="86"/>
      <c r="E9" s="85"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286</v>
      </c>
      <c r="C11" s="21">
        <v>139075</v>
      </c>
      <c r="D11" s="14" t="s">
        <v>3</v>
      </c>
      <c r="E11" s="9">
        <v>0</v>
      </c>
      <c r="F11" s="14" t="s">
        <v>3</v>
      </c>
      <c r="G11" s="1"/>
    </row>
    <row r="12" spans="1:7" x14ac:dyDescent="0.25">
      <c r="A12" s="1"/>
      <c r="B12" s="32" t="s">
        <v>156</v>
      </c>
      <c r="C12" s="12">
        <f>SUM(C10:C11)</f>
        <v>139075</v>
      </c>
      <c r="D12" s="13" t="s">
        <v>3</v>
      </c>
      <c r="E12" s="12">
        <f>SUM(E10:E11)</f>
        <v>0</v>
      </c>
      <c r="F12" s="13" t="s">
        <v>3</v>
      </c>
      <c r="G12" s="1"/>
    </row>
    <row r="13" spans="1:7" x14ac:dyDescent="0.25">
      <c r="A13" s="1"/>
      <c r="B13" s="32" t="s">
        <v>213</v>
      </c>
      <c r="C13" s="12">
        <f>C12*(1+'Fane 15. Nøgletal'!C15)</f>
        <v>144026.07</v>
      </c>
      <c r="D13" s="13" t="s">
        <v>3</v>
      </c>
      <c r="E13" s="12">
        <f>E12*(1+'Fane 15. Nøgletal'!C15)</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Y3GU0QztQ2t5YA5b9kvoSLElzRRigtnv4hP4Uqo7Zn+nrvfcU00KA4JZEy6mvFZ0I/plnwTlckRVC2wFOVXlBw==" saltValue="PdlWIdDJXSi0KauHI+6lt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257</v>
      </c>
      <c r="C3" s="120"/>
      <c r="D3" s="120"/>
      <c r="E3" s="120"/>
      <c r="F3" s="120"/>
      <c r="G3" s="1"/>
    </row>
    <row r="4" spans="1:7" ht="1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2" t="s">
        <v>97</v>
      </c>
      <c r="C8" s="133"/>
      <c r="D8" s="133"/>
      <c r="E8" s="133"/>
      <c r="F8" s="134"/>
      <c r="G8" s="1"/>
    </row>
    <row r="9" spans="1:7" x14ac:dyDescent="0.25">
      <c r="A9" s="1"/>
      <c r="B9" s="85" t="s">
        <v>17</v>
      </c>
      <c r="C9" s="85" t="s">
        <v>11</v>
      </c>
      <c r="D9" s="86"/>
      <c r="E9" s="85" t="s">
        <v>31</v>
      </c>
      <c r="F9" s="31"/>
      <c r="G9" s="1"/>
    </row>
    <row r="10" spans="1:7" x14ac:dyDescent="0.25">
      <c r="A10" s="1"/>
      <c r="B10" s="23" t="s">
        <v>286</v>
      </c>
      <c r="C10" s="21">
        <v>2086124</v>
      </c>
      <c r="D10" s="14" t="s">
        <v>3</v>
      </c>
      <c r="E10" s="9">
        <v>0</v>
      </c>
      <c r="F10" s="14" t="s">
        <v>3</v>
      </c>
      <c r="G10" s="1"/>
    </row>
    <row r="11" spans="1:7" x14ac:dyDescent="0.25">
      <c r="A11" s="1"/>
      <c r="B11" s="32" t="s">
        <v>232</v>
      </c>
      <c r="C11" s="12">
        <f>SUM(C10:C10)</f>
        <v>2086124</v>
      </c>
      <c r="D11" s="13" t="s">
        <v>3</v>
      </c>
      <c r="E11" s="12">
        <f>SUM(E10:E10)</f>
        <v>0</v>
      </c>
      <c r="F11" s="13" t="s">
        <v>3</v>
      </c>
      <c r="G11" s="1"/>
    </row>
    <row r="12" spans="1:7" x14ac:dyDescent="0.25">
      <c r="A12" s="1"/>
      <c r="B12" s="32" t="s">
        <v>136</v>
      </c>
      <c r="C12" s="12">
        <f>C11*(1+'Fane 15. Nøgletal'!C15)^2</f>
        <v>2237299.8989126403</v>
      </c>
      <c r="D12" s="13" t="s">
        <v>3</v>
      </c>
      <c r="E12" s="12">
        <f>E11*(1+'Fane 15. Nøgletal'!C15)^2</f>
        <v>0</v>
      </c>
      <c r="F12" s="13" t="s">
        <v>3</v>
      </c>
      <c r="G12" s="1"/>
    </row>
    <row r="13" spans="1:7" x14ac:dyDescent="0.25">
      <c r="A13" s="1"/>
      <c r="B13" s="1"/>
      <c r="C13" s="1"/>
      <c r="D13" s="1"/>
      <c r="E13" s="1"/>
      <c r="F13" s="1"/>
      <c r="G13" s="1"/>
    </row>
    <row r="14" spans="1:7" x14ac:dyDescent="0.25">
      <c r="A14" s="1"/>
      <c r="B14" s="165"/>
      <c r="C14" s="165"/>
      <c r="D14" s="165"/>
      <c r="E14" s="165"/>
      <c r="F14" s="165"/>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5"/>
      <c r="C21" s="165"/>
      <c r="D21" s="165"/>
      <c r="E21" s="165"/>
      <c r="F21" s="165"/>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5"/>
      <c r="C28" s="165"/>
      <c r="D28" s="165"/>
      <c r="E28" s="165"/>
      <c r="F28" s="165"/>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uKvQkg+zN4i+eDWfbLskT6BGqr+xw1coRK7WveswO4Z1yJ+tr6sNbsb/dOh8ah7fbsDEj4TNBDEJ+kW2MzyKDA==" saltValue="Q3gUVbPcifz7U+Xfrr/2nA=="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5" t="s">
        <v>258</v>
      </c>
      <c r="C3" s="125"/>
      <c r="D3" s="125"/>
      <c r="E3" s="125"/>
      <c r="F3" s="125"/>
      <c r="G3" s="1"/>
    </row>
    <row r="4" spans="1:7" ht="15" customHeight="1" x14ac:dyDescent="0.25">
      <c r="A4" s="1"/>
      <c r="B4" s="125"/>
      <c r="C4" s="125"/>
      <c r="D4" s="125"/>
      <c r="E4" s="125"/>
      <c r="F4" s="125"/>
      <c r="G4" s="1"/>
    </row>
    <row r="5" spans="1:7" x14ac:dyDescent="0.25">
      <c r="A5" s="1"/>
      <c r="B5" s="125"/>
      <c r="C5" s="125"/>
      <c r="D5" s="125"/>
      <c r="E5" s="125"/>
      <c r="F5" s="125"/>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2" t="s">
        <v>91</v>
      </c>
      <c r="C9" s="133"/>
      <c r="D9" s="133"/>
      <c r="E9" s="133"/>
      <c r="F9" s="134"/>
      <c r="G9" s="1"/>
    </row>
    <row r="10" spans="1:7" x14ac:dyDescent="0.25">
      <c r="A10" s="1"/>
      <c r="B10" s="160" t="s">
        <v>224</v>
      </c>
      <c r="C10" s="161"/>
      <c r="D10" s="162"/>
      <c r="E10" s="9">
        <v>0</v>
      </c>
      <c r="F10" s="14" t="s">
        <v>3</v>
      </c>
      <c r="G10" s="1"/>
    </row>
    <row r="11" spans="1:7" x14ac:dyDescent="0.25">
      <c r="A11" s="1"/>
      <c r="B11" s="126" t="s">
        <v>10</v>
      </c>
      <c r="C11" s="127"/>
      <c r="D11" s="128"/>
      <c r="E11" s="9">
        <f>-E10*'Fane 5. Individuelt eff. krav'!G9</f>
        <v>0</v>
      </c>
      <c r="F11" s="14" t="s">
        <v>3</v>
      </c>
      <c r="G11" s="1"/>
    </row>
    <row r="12" spans="1:7" x14ac:dyDescent="0.25">
      <c r="A12" s="1"/>
      <c r="B12" s="126" t="s">
        <v>24</v>
      </c>
      <c r="C12" s="127"/>
      <c r="D12" s="128"/>
      <c r="E12" s="9">
        <f>-E10*'Fane 15. Nøgletal'!C31</f>
        <v>0</v>
      </c>
      <c r="F12" s="14" t="s">
        <v>3</v>
      </c>
      <c r="G12" s="1"/>
    </row>
    <row r="13" spans="1:7" x14ac:dyDescent="0.25">
      <c r="A13" s="1"/>
      <c r="B13" s="132" t="s">
        <v>92</v>
      </c>
      <c r="C13" s="133"/>
      <c r="D13" s="134"/>
      <c r="E13" s="12">
        <f>SUM(E10:E12)*(1+'Fane 15. Nøgletal'!C15)^2</f>
        <v>0</v>
      </c>
      <c r="F13" s="13" t="s">
        <v>3</v>
      </c>
      <c r="G13" s="1"/>
    </row>
    <row r="14" spans="1:7" x14ac:dyDescent="0.25">
      <c r="A14" s="1"/>
      <c r="B14" s="1"/>
      <c r="C14" s="1"/>
      <c r="D14" s="1"/>
      <c r="E14" s="1"/>
      <c r="F14" s="1"/>
      <c r="G14" s="1"/>
    </row>
    <row r="15" spans="1:7" ht="15" customHeight="1" x14ac:dyDescent="0.25">
      <c r="A15" s="1"/>
      <c r="B15" s="132" t="s">
        <v>130</v>
      </c>
      <c r="C15" s="133"/>
      <c r="D15" s="133"/>
      <c r="E15" s="133"/>
      <c r="F15" s="134"/>
      <c r="G15" s="1"/>
    </row>
    <row r="16" spans="1:7" x14ac:dyDescent="0.25">
      <c r="A16" s="1"/>
      <c r="B16" s="160" t="s">
        <v>224</v>
      </c>
      <c r="C16" s="161"/>
      <c r="D16" s="162"/>
      <c r="E16" s="9">
        <v>0</v>
      </c>
      <c r="F16" s="14" t="s">
        <v>3</v>
      </c>
      <c r="G16" s="1"/>
    </row>
    <row r="17" spans="1:7" x14ac:dyDescent="0.25">
      <c r="A17" s="1"/>
      <c r="B17" s="126" t="s">
        <v>10</v>
      </c>
      <c r="C17" s="127"/>
      <c r="D17" s="128"/>
      <c r="E17" s="9">
        <f>-E16*'Fane 5. Individuelt eff. krav'!G9</f>
        <v>0</v>
      </c>
      <c r="F17" s="14" t="s">
        <v>3</v>
      </c>
      <c r="G17" s="1"/>
    </row>
    <row r="18" spans="1:7" x14ac:dyDescent="0.25">
      <c r="A18" s="1"/>
      <c r="B18" s="126" t="s">
        <v>24</v>
      </c>
      <c r="C18" s="127"/>
      <c r="D18" s="128"/>
      <c r="E18" s="9">
        <f>-E16*'Fane 15. Nøgletal'!C31</f>
        <v>0</v>
      </c>
      <c r="F18" s="14" t="s">
        <v>3</v>
      </c>
      <c r="G18" s="1"/>
    </row>
    <row r="19" spans="1:7" x14ac:dyDescent="0.25">
      <c r="A19" s="1"/>
      <c r="B19" s="132" t="s">
        <v>131</v>
      </c>
      <c r="C19" s="133"/>
      <c r="D19" s="134"/>
      <c r="E19" s="12">
        <f>SUM(E16:E18)*(1+'Fane 15. Nøgletal'!C15)^3</f>
        <v>0</v>
      </c>
      <c r="F19" s="13" t="s">
        <v>3</v>
      </c>
      <c r="G19" s="1"/>
    </row>
    <row r="20" spans="1:7" x14ac:dyDescent="0.25">
      <c r="A20" s="1"/>
      <c r="B20" s="1"/>
      <c r="C20" s="1"/>
      <c r="D20" s="1"/>
      <c r="E20" s="1"/>
      <c r="F20" s="1"/>
      <c r="G20" s="1"/>
    </row>
    <row r="21" spans="1:7" ht="15" customHeight="1" x14ac:dyDescent="0.25">
      <c r="A21" s="1"/>
      <c r="B21" s="132" t="s">
        <v>157</v>
      </c>
      <c r="C21" s="133"/>
      <c r="D21" s="133"/>
      <c r="E21" s="133"/>
      <c r="F21" s="134"/>
      <c r="G21" s="1"/>
    </row>
    <row r="22" spans="1:7" x14ac:dyDescent="0.25">
      <c r="A22" s="1"/>
      <c r="B22" s="160" t="s">
        <v>224</v>
      </c>
      <c r="C22" s="161"/>
      <c r="D22" s="162"/>
      <c r="E22" s="9">
        <v>0</v>
      </c>
      <c r="F22" s="14" t="s">
        <v>3</v>
      </c>
      <c r="G22" s="1"/>
    </row>
    <row r="23" spans="1:7" x14ac:dyDescent="0.25">
      <c r="A23" s="1"/>
      <c r="B23" s="126" t="s">
        <v>10</v>
      </c>
      <c r="C23" s="127"/>
      <c r="D23" s="128"/>
      <c r="E23" s="9">
        <f>-E22*'Fane 5. Individuelt eff. krav'!G9</f>
        <v>0</v>
      </c>
      <c r="F23" s="14" t="s">
        <v>3</v>
      </c>
      <c r="G23" s="1"/>
    </row>
    <row r="24" spans="1:7" x14ac:dyDescent="0.25">
      <c r="A24" s="1"/>
      <c r="B24" s="126" t="s">
        <v>24</v>
      </c>
      <c r="C24" s="127"/>
      <c r="D24" s="128"/>
      <c r="E24" s="9">
        <f>-E22*'Fane 15. Nøgletal'!C31</f>
        <v>0</v>
      </c>
      <c r="F24" s="14" t="s">
        <v>3</v>
      </c>
      <c r="G24" s="1"/>
    </row>
    <row r="25" spans="1:7" x14ac:dyDescent="0.25">
      <c r="A25" s="1"/>
      <c r="B25" s="132" t="s">
        <v>158</v>
      </c>
      <c r="C25" s="133"/>
      <c r="D25" s="134"/>
      <c r="E25" s="12">
        <f>SUM(E22:E24)*(1+'Fane 15. Nøgletal'!C15)^4</f>
        <v>0</v>
      </c>
      <c r="F25" s="13" t="s">
        <v>3</v>
      </c>
      <c r="G25" s="1"/>
    </row>
    <row r="26" spans="1:7" x14ac:dyDescent="0.25">
      <c r="A26" s="1"/>
      <c r="B26" s="1"/>
      <c r="C26" s="1"/>
      <c r="D26" s="1"/>
      <c r="E26" s="1"/>
      <c r="F26" s="1"/>
      <c r="G26" s="1"/>
    </row>
    <row r="27" spans="1:7" ht="15" customHeight="1" x14ac:dyDescent="0.25">
      <c r="A27" s="1"/>
      <c r="B27" s="132" t="s">
        <v>214</v>
      </c>
      <c r="C27" s="133"/>
      <c r="D27" s="133"/>
      <c r="E27" s="133"/>
      <c r="F27" s="134"/>
      <c r="G27" s="1"/>
    </row>
    <row r="28" spans="1:7" ht="14.25" customHeight="1" x14ac:dyDescent="0.25">
      <c r="A28" s="1"/>
      <c r="B28" s="160" t="s">
        <v>224</v>
      </c>
      <c r="C28" s="161"/>
      <c r="D28" s="162"/>
      <c r="E28" s="9">
        <v>0</v>
      </c>
      <c r="F28" s="14" t="s">
        <v>3</v>
      </c>
      <c r="G28" s="1"/>
    </row>
    <row r="29" spans="1:7" x14ac:dyDescent="0.25">
      <c r="A29" s="1"/>
      <c r="B29" s="126" t="s">
        <v>10</v>
      </c>
      <c r="C29" s="127"/>
      <c r="D29" s="128"/>
      <c r="E29" s="9">
        <f>-E28*'Fane 5. Individuelt eff. krav'!G9</f>
        <v>0</v>
      </c>
      <c r="F29" s="14" t="s">
        <v>3</v>
      </c>
      <c r="G29" s="1"/>
    </row>
    <row r="30" spans="1:7" x14ac:dyDescent="0.25">
      <c r="A30" s="1"/>
      <c r="B30" s="126" t="s">
        <v>24</v>
      </c>
      <c r="C30" s="127"/>
      <c r="D30" s="128"/>
      <c r="E30" s="9">
        <f>-E28*'Fane 15. Nøgletal'!C31</f>
        <v>0</v>
      </c>
      <c r="F30" s="14" t="s">
        <v>3</v>
      </c>
      <c r="G30" s="1"/>
    </row>
    <row r="31" spans="1:7" x14ac:dyDescent="0.25">
      <c r="A31" s="1"/>
      <c r="B31" s="132" t="s">
        <v>215</v>
      </c>
      <c r="C31" s="133"/>
      <c r="D31" s="134"/>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CHjvuAxKKqbWF3arYIvQoVls7+Va5TMZ/JH7uL4Fo1RmaieazCHzqOF1WssNrii6Z4b3kH7IjrpQoxIQLFL2EQ==" saltValue="7UWFDzcg1vOYPodlPfpx8g=="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85546875" style="2" customWidth="1"/>
    <col min="2" max="2" width="41.5703125" style="2" customWidth="1"/>
    <col min="3" max="3" width="15.5703125" style="2" customWidth="1"/>
    <col min="4" max="4" width="3.28515625" style="2" customWidth="1"/>
    <col min="5" max="5" width="17.140625" style="2" customWidth="1"/>
    <col min="6" max="6" width="3.28515625" style="2" customWidth="1"/>
    <col min="7" max="7" width="2.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5" t="s">
        <v>259</v>
      </c>
      <c r="C3" s="125"/>
      <c r="D3" s="125"/>
      <c r="E3" s="125"/>
      <c r="F3" s="125"/>
      <c r="G3" s="1"/>
    </row>
    <row r="4" spans="1:7" ht="25.5" customHeight="1" x14ac:dyDescent="0.25">
      <c r="A4" s="1"/>
      <c r="B4" s="125"/>
      <c r="C4" s="125"/>
      <c r="D4" s="125"/>
      <c r="E4" s="125"/>
      <c r="F4" s="12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2" t="s">
        <v>132</v>
      </c>
      <c r="C8" s="133"/>
      <c r="D8" s="133"/>
      <c r="E8" s="133"/>
      <c r="F8" s="134"/>
      <c r="G8" s="1"/>
    </row>
    <row r="9" spans="1:7" ht="15" customHeight="1" x14ac:dyDescent="0.25">
      <c r="A9" s="1"/>
      <c r="B9" s="30" t="s">
        <v>133</v>
      </c>
      <c r="C9" s="30" t="s">
        <v>11</v>
      </c>
      <c r="D9" s="31"/>
      <c r="E9" s="30" t="s">
        <v>31</v>
      </c>
      <c r="F9" s="31"/>
      <c r="G9" s="1"/>
    </row>
    <row r="10" spans="1:7" x14ac:dyDescent="0.25">
      <c r="A10" s="1"/>
      <c r="B10" s="23" t="s">
        <v>270</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VK2DCqTb6RN/8Bv6VlvT1qAxNoIUeqObP2qQmUCda2Hsv+QFpqH46l68aMpjwXppRzAooX+szQKJBS9s1Mht9g==" saltValue="myXNuLKnM6MokL9MD0Ofwg=="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5" t="s">
        <v>260</v>
      </c>
      <c r="C3" s="125"/>
      <c r="D3" s="125"/>
      <c r="E3" s="125"/>
      <c r="F3" s="125"/>
      <c r="G3" s="1"/>
    </row>
    <row r="4" spans="1:7" ht="25.5" customHeight="1" x14ac:dyDescent="0.25">
      <c r="A4" s="1"/>
      <c r="B4" s="125"/>
      <c r="C4" s="125"/>
      <c r="D4" s="125"/>
      <c r="E4" s="125"/>
      <c r="F4" s="12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2" t="s">
        <v>93</v>
      </c>
      <c r="C9" s="133"/>
      <c r="D9" s="133"/>
      <c r="E9" s="133"/>
      <c r="F9" s="134"/>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5"/>
      <c r="C15" s="165"/>
      <c r="D15" s="165"/>
      <c r="E15" s="165"/>
      <c r="F15" s="165"/>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5"/>
      <c r="C21" s="165"/>
      <c r="D21" s="165"/>
      <c r="E21" s="165"/>
      <c r="F21" s="165"/>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5"/>
      <c r="C27" s="165"/>
      <c r="D27" s="165"/>
      <c r="E27" s="165"/>
      <c r="F27" s="165"/>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ZbY3l9lVjWozrgFUts18iXkFZ9k/QiMnRCx9hTZzFv+aVKVqN2vvBtojjO0qNvx/5gCfCRsmXkQaoFESOkQ4pg==" saltValue="I2zbm+sTXSWtTMNFEEJPKg=="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0" t="s">
        <v>181</v>
      </c>
      <c r="C3" s="120"/>
      <c r="D3" s="120"/>
      <c r="E3" s="1"/>
    </row>
    <row r="4" spans="1:5" ht="15" customHeight="1" x14ac:dyDescent="0.25">
      <c r="A4" s="1"/>
      <c r="B4" s="120"/>
      <c r="C4" s="120"/>
      <c r="D4" s="12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64927595.774453916</v>
      </c>
      <c r="D9" s="8" t="s">
        <v>3</v>
      </c>
      <c r="E9" s="1"/>
    </row>
    <row r="10" spans="1:5" ht="17.25" customHeight="1" x14ac:dyDescent="0.25">
      <c r="A10" s="1"/>
      <c r="B10" s="84" t="s">
        <v>39</v>
      </c>
      <c r="C10" s="7">
        <f>'Fane 11.1. Varige tillæg'!C13</f>
        <v>144026.07</v>
      </c>
      <c r="D10" s="8" t="s">
        <v>3</v>
      </c>
      <c r="E10" s="1"/>
    </row>
    <row r="11" spans="1:5" ht="17.25" customHeight="1" x14ac:dyDescent="0.25">
      <c r="A11" s="1"/>
      <c r="B11" s="84" t="s">
        <v>40</v>
      </c>
      <c r="C11" s="9">
        <f>'Fane 11.1. Varige tillæg'!E13</f>
        <v>0</v>
      </c>
      <c r="D11" s="8" t="s">
        <v>3</v>
      </c>
      <c r="E11" s="1"/>
    </row>
    <row r="12" spans="1:5" ht="17.25" customHeight="1" x14ac:dyDescent="0.25">
      <c r="A12" s="1"/>
      <c r="B12" s="84" t="s">
        <v>27</v>
      </c>
      <c r="C12" s="9">
        <f>-'Fane 14. Bortfald'!C13</f>
        <v>0</v>
      </c>
      <c r="D12" s="8" t="s">
        <v>3</v>
      </c>
      <c r="E12" s="1"/>
    </row>
    <row r="13" spans="1:5" ht="17.25" customHeight="1" x14ac:dyDescent="0.25">
      <c r="A13" s="1"/>
      <c r="B13" s="84" t="s">
        <v>26</v>
      </c>
      <c r="C13" s="9">
        <f>-'Fane 14. Bortfald'!E13</f>
        <v>0</v>
      </c>
      <c r="D13" s="8" t="s">
        <v>3</v>
      </c>
      <c r="E13" s="1"/>
    </row>
    <row r="14" spans="1:5" ht="17.25" customHeight="1" x14ac:dyDescent="0.25">
      <c r="A14" s="1"/>
      <c r="B14" s="84" t="s">
        <v>124</v>
      </c>
      <c r="C14" s="9">
        <f>'Fane 13. Tilknyttet virksomhed'!C12</f>
        <v>0</v>
      </c>
      <c r="D14" s="8" t="s">
        <v>3</v>
      </c>
      <c r="E14" s="1"/>
    </row>
    <row r="15" spans="1:5" ht="17.25" customHeight="1" x14ac:dyDescent="0.25">
      <c r="A15" s="1"/>
      <c r="B15" s="84" t="s">
        <v>125</v>
      </c>
      <c r="C15" s="9">
        <f>'Fane 13. Tilknyttet virksomhed'!E12</f>
        <v>0</v>
      </c>
      <c r="D15" s="8" t="s">
        <v>3</v>
      </c>
      <c r="E15" s="1"/>
    </row>
    <row r="16" spans="1:5" ht="17.25" customHeight="1" x14ac:dyDescent="0.25">
      <c r="A16" s="1"/>
      <c r="B16" s="84" t="s">
        <v>19</v>
      </c>
      <c r="C16" s="44">
        <f>SUM(C9)*'Fane 15. Nøgletal'!C14+SUM(C10:C15)*'Fane 15. Nøgletal'!C15</f>
        <v>219388.39414769792</v>
      </c>
      <c r="D16" s="8" t="s">
        <v>3</v>
      </c>
      <c r="E16" s="1"/>
    </row>
    <row r="17" spans="1:5" ht="17.25" customHeight="1" x14ac:dyDescent="0.25">
      <c r="A17" s="1"/>
      <c r="B17" s="84" t="s">
        <v>10</v>
      </c>
      <c r="C17" s="44">
        <f>-SUM(C9,C10:C16)*'Fane 5. Individuelt eff. krav'!G9</f>
        <v>-412188.46446895041</v>
      </c>
      <c r="D17" s="8" t="s">
        <v>3</v>
      </c>
      <c r="E17" s="1"/>
    </row>
    <row r="18" spans="1:5" ht="17.25" customHeight="1" x14ac:dyDescent="0.25">
      <c r="A18" s="1"/>
      <c r="B18" s="84" t="s">
        <v>24</v>
      </c>
      <c r="C18" s="44">
        <f>-'Fane 4.1. Gen. krav - drift'!G45</f>
        <v>-308950.43898348103</v>
      </c>
      <c r="D18" s="8" t="s">
        <v>3</v>
      </c>
      <c r="E18" s="1"/>
    </row>
    <row r="19" spans="1:5" ht="17.25" customHeight="1" x14ac:dyDescent="0.25">
      <c r="A19" s="1"/>
      <c r="B19" s="84" t="s">
        <v>25</v>
      </c>
      <c r="C19" s="44">
        <f>-'Fane 4.2. Gen. krav - anlæg'!G43</f>
        <v>-751046.33441800857</v>
      </c>
      <c r="D19" s="8" t="s">
        <v>3</v>
      </c>
      <c r="E19" s="48"/>
    </row>
    <row r="20" spans="1:5" ht="17.25" customHeight="1" x14ac:dyDescent="0.25">
      <c r="A20" s="1"/>
      <c r="B20" s="90" t="s">
        <v>21</v>
      </c>
      <c r="C20" s="10">
        <f>SUM(C9:C19)</f>
        <v>63818825.000731185</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omk.'!C14+'Fane 6. Ikke-påvirkelige omk.'!C18+'Fane 6. Ikke-påvirkelige omk.'!C26</f>
        <v>885866.6190988801</v>
      </c>
      <c r="D22" s="11" t="s">
        <v>3</v>
      </c>
      <c r="E22" s="1"/>
    </row>
    <row r="23" spans="1:5" ht="15" customHeight="1" x14ac:dyDescent="0.25">
      <c r="A23" s="1"/>
      <c r="B23" s="32" t="s">
        <v>86</v>
      </c>
      <c r="C23" s="27"/>
      <c r="D23" s="19"/>
      <c r="E23" s="1"/>
    </row>
    <row r="24" spans="1:5" ht="15" customHeight="1" x14ac:dyDescent="0.25">
      <c r="A24" s="1"/>
      <c r="B24" s="90"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4" t="s">
        <v>231</v>
      </c>
      <c r="C26" s="75">
        <f>'Fane 11.2. Engangstillæg'!C12</f>
        <v>2237299.8989126403</v>
      </c>
      <c r="D26" s="8" t="s">
        <v>3</v>
      </c>
      <c r="E26" s="1"/>
    </row>
    <row r="27" spans="1:5" ht="15" customHeight="1" x14ac:dyDescent="0.25">
      <c r="A27" s="1"/>
      <c r="B27" s="84" t="s">
        <v>82</v>
      </c>
      <c r="C27" s="75">
        <f>'Fane 11.2. Engangstillæg'!E12</f>
        <v>0</v>
      </c>
      <c r="D27" s="8" t="s">
        <v>3</v>
      </c>
      <c r="E27" s="1"/>
    </row>
    <row r="28" spans="1:5" ht="15" customHeight="1" x14ac:dyDescent="0.25">
      <c r="A28" s="1"/>
      <c r="B28" s="84" t="s">
        <v>238</v>
      </c>
      <c r="C28" s="75">
        <f>-C26*('Fane 15. Nøgletal'!C31+'Fane 5. Individuelt eff. krav'!G9)</f>
        <v>-58870.288696366377</v>
      </c>
      <c r="D28" s="8" t="s">
        <v>3</v>
      </c>
      <c r="E28" s="1"/>
    </row>
    <row r="29" spans="1:5" ht="15" customHeight="1" x14ac:dyDescent="0.25">
      <c r="A29" s="1"/>
      <c r="B29" s="84" t="s">
        <v>239</v>
      </c>
      <c r="C29" s="75">
        <f>-C27*('Fane 15. Nøgletal'!C26+'Fane 5. Individuelt eff. krav'!G9)</f>
        <v>0</v>
      </c>
      <c r="D29" s="8" t="s">
        <v>3</v>
      </c>
      <c r="E29" s="1"/>
    </row>
    <row r="30" spans="1:5" ht="15" customHeight="1" x14ac:dyDescent="0.25">
      <c r="A30" s="1"/>
      <c r="B30" s="96" t="s">
        <v>87</v>
      </c>
      <c r="C30" s="10">
        <f>SUM(C26:C29)</f>
        <v>2178429.6102162739</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0</v>
      </c>
      <c r="D34" s="11" t="s">
        <v>3</v>
      </c>
      <c r="E34" s="1"/>
    </row>
    <row r="35" spans="1:5" x14ac:dyDescent="0.25">
      <c r="A35" s="1"/>
      <c r="B35" s="29" t="s">
        <v>175</v>
      </c>
      <c r="C35" s="27"/>
      <c r="D35" s="19"/>
      <c r="E35" s="1"/>
    </row>
    <row r="36" spans="1:5" x14ac:dyDescent="0.25">
      <c r="A36" s="1"/>
      <c r="B36" s="96" t="s">
        <v>176</v>
      </c>
      <c r="C36" s="10">
        <f>'Fane 8. Skattesagen'!G12</f>
        <v>0</v>
      </c>
      <c r="D36" s="11" t="s">
        <v>3</v>
      </c>
      <c r="E36" s="1"/>
    </row>
    <row r="37" spans="1:5" x14ac:dyDescent="0.25">
      <c r="A37" s="1"/>
      <c r="B37" s="32" t="s">
        <v>90</v>
      </c>
      <c r="C37" s="57">
        <f>SUM(C34,C32,C24,C30,C22,C20,C36)</f>
        <v>66883121.230046339</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mOXBk1QrkqT2ApBX/TGlbNS3X4CzAEAEg3c/rrzkr9iuShXOqulujZTudQ7GxRSxVsmBcvWJgol1AY6dWSvk0w==" saltValue="Xy+ig8kmFJzXmdFIj9lNM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5" t="s">
        <v>261</v>
      </c>
      <c r="C3" s="125"/>
      <c r="D3" s="1"/>
    </row>
    <row r="4" spans="1:4" ht="25.5" customHeight="1" x14ac:dyDescent="0.25">
      <c r="A4" s="1"/>
      <c r="B4" s="125"/>
      <c r="C4" s="12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5" t="s">
        <v>112</v>
      </c>
      <c r="C9" s="24">
        <v>1.2699999999999999E-2</v>
      </c>
      <c r="D9" s="1"/>
    </row>
    <row r="10" spans="1:4" x14ac:dyDescent="0.25">
      <c r="A10" s="1"/>
      <c r="B10" s="95" t="s">
        <v>113</v>
      </c>
      <c r="C10" s="24">
        <v>1.7500000000000002E-2</v>
      </c>
      <c r="D10" s="1"/>
    </row>
    <row r="11" spans="1:4" x14ac:dyDescent="0.25">
      <c r="A11" s="1"/>
      <c r="B11" s="95"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5"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5" t="s">
        <v>114</v>
      </c>
      <c r="C20" s="22">
        <v>9.1000000000000004E-3</v>
      </c>
      <c r="D20" s="1"/>
    </row>
    <row r="21" spans="1:4" x14ac:dyDescent="0.25">
      <c r="A21" s="1"/>
      <c r="B21" s="95" t="s">
        <v>145</v>
      </c>
      <c r="C21" s="22">
        <v>1.77E-2</v>
      </c>
      <c r="D21" s="1"/>
    </row>
    <row r="22" spans="1:4" x14ac:dyDescent="0.25">
      <c r="A22" s="1"/>
      <c r="B22" s="95" t="s">
        <v>146</v>
      </c>
      <c r="C22" s="22">
        <v>8.6999999999999994E-3</v>
      </c>
      <c r="D22" s="1"/>
    </row>
    <row r="23" spans="1:4" x14ac:dyDescent="0.25">
      <c r="A23" s="1"/>
      <c r="B23" s="95" t="s">
        <v>115</v>
      </c>
      <c r="C23" s="35">
        <v>2.8400000000000002E-2</v>
      </c>
      <c r="D23" s="1"/>
    </row>
    <row r="24" spans="1:4" x14ac:dyDescent="0.25">
      <c r="A24" s="1"/>
      <c r="B24" s="95" t="s">
        <v>147</v>
      </c>
      <c r="C24" s="35">
        <v>2.75E-2</v>
      </c>
      <c r="D24" s="1"/>
    </row>
    <row r="25" spans="1:4" x14ac:dyDescent="0.25">
      <c r="A25" s="1"/>
      <c r="B25" s="95"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5"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IZQM1mytRJW0uQtk8AoaHfGV3GKaiQjOKer/R2SFFI4m5wOlUrV6uGsZKKUZDw/6zIDpGjWFJo5ISsLsREnzgA==" saltValue="QNT3WBtIvs5agy4HOIG8r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0" t="s">
        <v>186</v>
      </c>
      <c r="C3" s="120"/>
      <c r="D3" s="120"/>
      <c r="E3" s="1"/>
    </row>
    <row r="4" spans="1:5" ht="15" customHeight="1" x14ac:dyDescent="0.25">
      <c r="A4" s="1"/>
      <c r="B4" s="120"/>
      <c r="C4" s="120"/>
      <c r="D4" s="120"/>
      <c r="E4" s="1"/>
    </row>
    <row r="5" spans="1:5" x14ac:dyDescent="0.25">
      <c r="A5" s="1"/>
      <c r="B5" s="121" t="s">
        <v>22</v>
      </c>
      <c r="C5" s="121"/>
      <c r="D5" s="12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63818825.000731185</v>
      </c>
      <c r="D9" s="8" t="s">
        <v>3</v>
      </c>
      <c r="E9" s="1"/>
    </row>
    <row r="10" spans="1:5" ht="15" customHeight="1" x14ac:dyDescent="0.25">
      <c r="A10" s="1"/>
      <c r="B10" s="25" t="s">
        <v>19</v>
      </c>
      <c r="C10" s="7">
        <f>SUM(C9:C9)*'Fane 15. Nøgletal'!C15</f>
        <v>2271950.1700260304</v>
      </c>
      <c r="D10" s="8" t="s">
        <v>3</v>
      </c>
      <c r="E10" s="1"/>
    </row>
    <row r="11" spans="1:5" ht="15" customHeight="1" x14ac:dyDescent="0.25">
      <c r="A11" s="1"/>
      <c r="B11" s="25" t="s">
        <v>10</v>
      </c>
      <c r="C11" s="9">
        <f>-SUM(C9:C10)*'Fane 5. Individuelt eff. krav'!G9</f>
        <v>-417237.4578620168</v>
      </c>
      <c r="D11" s="8" t="s">
        <v>3</v>
      </c>
      <c r="E11" s="1"/>
    </row>
    <row r="12" spans="1:5" ht="15" customHeight="1" x14ac:dyDescent="0.25">
      <c r="A12" s="1"/>
      <c r="B12" s="25" t="s">
        <v>24</v>
      </c>
      <c r="C12" s="9">
        <f>-'Fane 4.1. Gen. krav - drift'!G53</f>
        <v>-313550.09311906714</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65359987.61977613</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Nøgletal'!C15)+'Fane 6. Ikke-påvirkelige omk.'!C19+'Fane 6. Ikke-påvirkelige omk.'!C27</f>
        <v>917403.47073880024</v>
      </c>
      <c r="D16" s="11" t="s">
        <v>3</v>
      </c>
      <c r="E16" s="1"/>
    </row>
    <row r="17" spans="1:5" ht="15" customHeight="1" x14ac:dyDescent="0.25">
      <c r="A17" s="1"/>
      <c r="B17" s="32" t="s">
        <v>86</v>
      </c>
      <c r="C17" s="27"/>
      <c r="D17" s="19"/>
      <c r="E17" s="1"/>
    </row>
    <row r="18" spans="1:5" ht="15" customHeight="1" x14ac:dyDescent="0.25">
      <c r="A18" s="1"/>
      <c r="B18" s="90"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6" t="s">
        <v>176</v>
      </c>
      <c r="C22" s="10">
        <f>'Fane 8. Skattesagen'!G13</f>
        <v>0</v>
      </c>
      <c r="D22" s="11" t="s">
        <v>3</v>
      </c>
      <c r="E22" s="1"/>
    </row>
    <row r="23" spans="1:5" x14ac:dyDescent="0.25">
      <c r="A23" s="1"/>
      <c r="B23" s="32" t="s">
        <v>128</v>
      </c>
      <c r="C23" s="12">
        <f>SUM(C14,C16,C18,C20,C22)</f>
        <v>66277391.090514928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nQRml1UhCNlZPAg/UKEt2a0MQMFLaFnRzG2laCQ/vdGEGIZxFpjGP3hSn6N8ahBcM9UJsTF52Al+hE+A1AFcPQ==" saltValue="D/y1XclMsN81ZXEClTVX7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0" t="s">
        <v>187</v>
      </c>
      <c r="C3" s="120"/>
      <c r="D3" s="120"/>
      <c r="E3" s="1"/>
    </row>
    <row r="4" spans="1:5" ht="15" customHeight="1" x14ac:dyDescent="0.25">
      <c r="A4" s="1"/>
      <c r="B4" s="120"/>
      <c r="C4" s="120"/>
      <c r="D4" s="120"/>
      <c r="E4" s="1"/>
    </row>
    <row r="5" spans="1:5" x14ac:dyDescent="0.25">
      <c r="A5" s="1"/>
      <c r="B5" s="121" t="s">
        <v>22</v>
      </c>
      <c r="C5" s="121"/>
      <c r="D5" s="121"/>
      <c r="E5" s="1"/>
    </row>
    <row r="6" spans="1:5" x14ac:dyDescent="0.25">
      <c r="A6" s="1"/>
      <c r="B6" s="82"/>
      <c r="C6" s="82"/>
      <c r="D6" s="82"/>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65359987.61977613</v>
      </c>
      <c r="D9" s="8" t="s">
        <v>3</v>
      </c>
      <c r="E9" s="1"/>
    </row>
    <row r="10" spans="1:5" ht="15" customHeight="1" x14ac:dyDescent="0.25">
      <c r="A10" s="1"/>
      <c r="B10" s="25" t="s">
        <v>19</v>
      </c>
      <c r="C10" s="7">
        <f>SUM(C9:C9)*'Fane 15. Nøgletal'!C15</f>
        <v>2326815.5592640303</v>
      </c>
      <c r="D10" s="8" t="s">
        <v>3</v>
      </c>
      <c r="E10" s="1"/>
    </row>
    <row r="11" spans="1:5" ht="15" customHeight="1" x14ac:dyDescent="0.25">
      <c r="A11" s="1"/>
      <c r="B11" s="25" t="s">
        <v>10</v>
      </c>
      <c r="C11" s="9">
        <f>-SUM(C9:C10)*'Fane 5. Individuelt eff. krav'!G9</f>
        <v>-427313.33709224261</v>
      </c>
      <c r="D11" s="8" t="s">
        <v>3</v>
      </c>
      <c r="E11" s="1"/>
    </row>
    <row r="12" spans="1:5" ht="15" customHeight="1" x14ac:dyDescent="0.25">
      <c r="A12" s="1"/>
      <c r="B12" s="25" t="s">
        <v>24</v>
      </c>
      <c r="C12" s="9">
        <f>-'Fane 4.1. Gen. krav - drift'!G58</f>
        <v>-318218.2269054238</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66941271.615042508</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Nøgletal'!C15)^2+'Fane 6. Ikke-påvirkelige omk.'!C20+'Fane 6. Ikke-påvirkelige omk.'!C28</f>
        <v>950063.03429710155</v>
      </c>
      <c r="D16" s="11" t="s">
        <v>3</v>
      </c>
      <c r="E16" s="1"/>
    </row>
    <row r="17" spans="1:5" ht="15" customHeight="1" x14ac:dyDescent="0.25">
      <c r="A17" s="1"/>
      <c r="B17" s="32" t="s">
        <v>86</v>
      </c>
      <c r="C17" s="27"/>
      <c r="D17" s="19"/>
      <c r="E17" s="1"/>
    </row>
    <row r="18" spans="1:5" ht="15" customHeight="1" x14ac:dyDescent="0.25">
      <c r="A18" s="1"/>
      <c r="B18" s="90"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6" t="s">
        <v>176</v>
      </c>
      <c r="C22" s="10">
        <f>'Fane 8. Skattesagen'!G14</f>
        <v>0</v>
      </c>
      <c r="D22" s="11" t="s">
        <v>3</v>
      </c>
      <c r="E22" s="1"/>
    </row>
    <row r="23" spans="1:5" x14ac:dyDescent="0.25">
      <c r="A23" s="1"/>
      <c r="B23" s="32" t="s">
        <v>149</v>
      </c>
      <c r="C23" s="12">
        <f>SUM(C14,C16,C18,C20,C22)</f>
        <v>67891334.649339616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VfAZXiIoiPv5U5PhWKaHgYkQORkfSKfMBlFslJrchLSfFPFwJt/G23QINY1zhn+AsvyO1jldwsb2+h5XFdoX/g==" saltValue="HDycGFiEWu+1XH2JrPO2h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0" t="s">
        <v>188</v>
      </c>
      <c r="C3" s="120"/>
      <c r="D3" s="120"/>
      <c r="E3" s="1"/>
    </row>
    <row r="4" spans="1:5" ht="15" customHeight="1" x14ac:dyDescent="0.25">
      <c r="A4" s="1"/>
      <c r="B4" s="120"/>
      <c r="C4" s="120"/>
      <c r="D4" s="120"/>
      <c r="E4" s="1"/>
    </row>
    <row r="5" spans="1:5" x14ac:dyDescent="0.25">
      <c r="A5" s="1"/>
      <c r="B5" s="121" t="s">
        <v>22</v>
      </c>
      <c r="C5" s="121"/>
      <c r="D5" s="121"/>
      <c r="E5" s="1"/>
    </row>
    <row r="6" spans="1:5" x14ac:dyDescent="0.25">
      <c r="A6" s="1"/>
      <c r="B6" s="82"/>
      <c r="C6" s="82"/>
      <c r="D6" s="82"/>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66941271.615042508</v>
      </c>
      <c r="D9" s="8" t="s">
        <v>3</v>
      </c>
      <c r="E9" s="1"/>
    </row>
    <row r="10" spans="1:5" ht="15" customHeight="1" x14ac:dyDescent="0.25">
      <c r="A10" s="1"/>
      <c r="B10" s="25" t="s">
        <v>19</v>
      </c>
      <c r="C10" s="7">
        <f>SUM(C9:C9)*'Fane 15. Nøgletal'!C15</f>
        <v>2383109.2694955133</v>
      </c>
      <c r="D10" s="8" t="s">
        <v>3</v>
      </c>
      <c r="E10" s="1"/>
    </row>
    <row r="11" spans="1:5" ht="15" customHeight="1" x14ac:dyDescent="0.25">
      <c r="A11" s="1"/>
      <c r="B11" s="25" t="s">
        <v>10</v>
      </c>
      <c r="C11" s="9">
        <f>-SUM(C9:C10)*'Fane 5. Individuelt eff. krav'!G9</f>
        <v>-437651.52358087315</v>
      </c>
      <c r="D11" s="8" t="s">
        <v>3</v>
      </c>
      <c r="E11" s="1"/>
    </row>
    <row r="12" spans="1:5" ht="15" customHeight="1" x14ac:dyDescent="0.25">
      <c r="A12" s="1"/>
      <c r="B12" s="25" t="s">
        <v>24</v>
      </c>
      <c r="C12" s="9">
        <f>-'Fane 4.1. Gen. krav - drift'!G63</f>
        <v>-322955.85986759182</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68563773.501089558</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Nøgletal'!C15)^3+'Fane 6. Ikke-påvirkelige omk.'!C21+'Fane 6. Ikke-påvirkelige omk.'!C29</f>
        <v>983885.27831807849</v>
      </c>
      <c r="D16" s="11" t="s">
        <v>3</v>
      </c>
      <c r="E16" s="1"/>
    </row>
    <row r="17" spans="1:5" ht="15" customHeight="1" x14ac:dyDescent="0.25">
      <c r="A17" s="1"/>
      <c r="B17" s="32" t="s">
        <v>86</v>
      </c>
      <c r="C17" s="27"/>
      <c r="D17" s="19"/>
      <c r="E17" s="1"/>
    </row>
    <row r="18" spans="1:5" ht="15" customHeight="1" x14ac:dyDescent="0.25">
      <c r="A18" s="1"/>
      <c r="B18" s="90"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6" t="s">
        <v>176</v>
      </c>
      <c r="C22" s="10">
        <f>'Fane 8. Skattesagen'!G15</f>
        <v>0</v>
      </c>
      <c r="D22" s="11" t="s">
        <v>3</v>
      </c>
      <c r="E22" s="1"/>
    </row>
    <row r="23" spans="1:5" x14ac:dyDescent="0.25">
      <c r="A23" s="1"/>
      <c r="B23" s="32" t="s">
        <v>190</v>
      </c>
      <c r="C23" s="12">
        <f>SUM(C14,C16,C18,C20,C22)</f>
        <v>69547658.779407635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FXXx5oJFJlWE3alicI/MduuZDD9eDXejn4DldTKaHZE0+PTBAFCSB5PrCGuUeKQGJDCJ5J4XoxyP4QYhfztAeg==" saltValue="y4E5aZ5zGssnPyHnO0XXf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5" t="s">
        <v>191</v>
      </c>
      <c r="C3" s="125"/>
      <c r="D3" s="125"/>
      <c r="E3" s="125"/>
      <c r="F3" s="125"/>
      <c r="G3" s="1"/>
    </row>
    <row r="4" spans="1:7" ht="29.25" customHeight="1" x14ac:dyDescent="0.25">
      <c r="A4" s="1"/>
      <c r="B4" s="125"/>
      <c r="C4" s="125"/>
      <c r="D4" s="125"/>
      <c r="E4" s="125"/>
      <c r="F4" s="12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283</v>
      </c>
      <c r="C8" s="27"/>
      <c r="D8" s="27"/>
      <c r="E8" s="27"/>
      <c r="F8" s="19"/>
      <c r="G8" s="1"/>
    </row>
    <row r="9" spans="1:7" ht="15" customHeight="1" x14ac:dyDescent="0.25">
      <c r="A9" s="1"/>
      <c r="B9" s="122" t="s">
        <v>192</v>
      </c>
      <c r="C9" s="123"/>
      <c r="D9" s="124"/>
      <c r="E9" s="7">
        <v>65947607.005962364</v>
      </c>
      <c r="F9" s="8" t="s">
        <v>3</v>
      </c>
      <c r="G9" s="1"/>
    </row>
    <row r="10" spans="1:7" ht="15" customHeight="1" x14ac:dyDescent="0.25">
      <c r="A10" s="1"/>
      <c r="B10" s="126" t="s">
        <v>39</v>
      </c>
      <c r="C10" s="127"/>
      <c r="D10" s="128"/>
      <c r="E10" s="7">
        <v>251839.33630000002</v>
      </c>
      <c r="F10" s="8" t="s">
        <v>3</v>
      </c>
      <c r="G10" s="1"/>
    </row>
    <row r="11" spans="1:7" ht="15" customHeight="1" x14ac:dyDescent="0.25">
      <c r="A11" s="1"/>
      <c r="B11" s="126" t="s">
        <v>40</v>
      </c>
      <c r="C11" s="127"/>
      <c r="D11" s="128"/>
      <c r="E11" s="9">
        <v>0</v>
      </c>
      <c r="F11" s="8" t="s">
        <v>3</v>
      </c>
      <c r="G11" s="1"/>
    </row>
    <row r="12" spans="1:7" ht="15" customHeight="1" x14ac:dyDescent="0.25">
      <c r="A12" s="1"/>
      <c r="B12" s="126" t="s">
        <v>27</v>
      </c>
      <c r="C12" s="127"/>
      <c r="D12" s="128"/>
      <c r="E12" s="9">
        <v>0</v>
      </c>
      <c r="F12" s="8" t="s">
        <v>3</v>
      </c>
      <c r="G12" s="1"/>
    </row>
    <row r="13" spans="1:7" ht="15" customHeight="1" x14ac:dyDescent="0.25">
      <c r="A13" s="1"/>
      <c r="B13" s="122" t="s">
        <v>26</v>
      </c>
      <c r="C13" s="123"/>
      <c r="D13" s="124"/>
      <c r="E13" s="9">
        <v>0</v>
      </c>
      <c r="F13" s="8" t="s">
        <v>3</v>
      </c>
      <c r="G13" s="1"/>
    </row>
    <row r="14" spans="1:7" ht="15" customHeight="1" x14ac:dyDescent="0.25">
      <c r="A14" s="1"/>
      <c r="B14" s="122" t="s">
        <v>29</v>
      </c>
      <c r="C14" s="123"/>
      <c r="D14" s="124"/>
      <c r="E14" s="9">
        <v>0</v>
      </c>
      <c r="F14" s="8" t="s">
        <v>3</v>
      </c>
      <c r="G14" s="1"/>
    </row>
    <row r="15" spans="1:7" ht="15" customHeight="1" x14ac:dyDescent="0.25">
      <c r="A15" s="1"/>
      <c r="B15" s="122" t="s">
        <v>28</v>
      </c>
      <c r="C15" s="123"/>
      <c r="D15" s="124"/>
      <c r="E15" s="9">
        <v>0</v>
      </c>
      <c r="F15" s="8" t="s">
        <v>3</v>
      </c>
      <c r="G15" s="1"/>
    </row>
    <row r="16" spans="1:7" ht="15" customHeight="1" x14ac:dyDescent="0.25">
      <c r="A16" s="1"/>
      <c r="B16" s="122" t="s">
        <v>19</v>
      </c>
      <c r="C16" s="123"/>
      <c r="D16" s="124"/>
      <c r="E16" s="9">
        <f>SUM(E9:E15)*'Fane 15. Nøgletal'!C14</f>
        <v>218458.1729294658</v>
      </c>
      <c r="F16" s="8" t="s">
        <v>3</v>
      </c>
      <c r="G16" s="1"/>
    </row>
    <row r="17" spans="1:7" ht="15" customHeight="1" x14ac:dyDescent="0.25">
      <c r="A17" s="1"/>
      <c r="B17" s="122" t="s">
        <v>10</v>
      </c>
      <c r="C17" s="123"/>
      <c r="D17" s="124"/>
      <c r="E17" s="9">
        <v>-419302.65706283296</v>
      </c>
      <c r="F17" s="8" t="s">
        <v>3</v>
      </c>
      <c r="G17" s="1"/>
    </row>
    <row r="18" spans="1:7" ht="15" customHeight="1" x14ac:dyDescent="0.25">
      <c r="A18" s="1"/>
      <c r="B18" s="122" t="s">
        <v>24</v>
      </c>
      <c r="C18" s="123"/>
      <c r="D18" s="124"/>
      <c r="E18" s="9">
        <f>-'Fane 4.1. Gen. krav - drift'!G39</f>
        <v>-311184.69359444553</v>
      </c>
      <c r="F18" s="8" t="s">
        <v>3</v>
      </c>
      <c r="G18" s="1"/>
    </row>
    <row r="19" spans="1:7" ht="15" customHeight="1" x14ac:dyDescent="0.25">
      <c r="A19" s="1"/>
      <c r="B19" s="122" t="s">
        <v>25</v>
      </c>
      <c r="C19" s="123"/>
      <c r="D19" s="124"/>
      <c r="E19" s="9">
        <f>-'Fane 4.2. Gen. krav - anlæg'!G37</f>
        <v>-759821.3900806274</v>
      </c>
      <c r="F19" s="8" t="s">
        <v>3</v>
      </c>
      <c r="G19" s="1"/>
    </row>
    <row r="20" spans="1:7" ht="15" customHeight="1" x14ac:dyDescent="0.25">
      <c r="A20" s="1"/>
      <c r="B20" s="54" t="s">
        <v>21</v>
      </c>
      <c r="C20" s="91"/>
      <c r="D20" s="97"/>
      <c r="E20" s="51">
        <f>SUM(E9:E19)</f>
        <v>64927595.774453916</v>
      </c>
      <c r="F20" s="53" t="s">
        <v>3</v>
      </c>
      <c r="G20" s="1"/>
    </row>
    <row r="21" spans="1:7" ht="15" customHeight="1" x14ac:dyDescent="0.25">
      <c r="A21" s="1"/>
      <c r="B21" s="32" t="s">
        <v>12</v>
      </c>
      <c r="C21" s="27"/>
      <c r="D21" s="27"/>
      <c r="E21" s="27"/>
      <c r="F21" s="19"/>
      <c r="G21" s="1"/>
    </row>
    <row r="22" spans="1:7" ht="15" customHeight="1" x14ac:dyDescent="0.25">
      <c r="A22" s="1"/>
      <c r="B22" s="129" t="s">
        <v>12</v>
      </c>
      <c r="C22" s="130"/>
      <c r="D22" s="131"/>
      <c r="E22" s="10">
        <v>640479.33081297006</v>
      </c>
      <c r="F22" s="11" t="s">
        <v>3</v>
      </c>
      <c r="G22" s="1"/>
    </row>
    <row r="23" spans="1:7" ht="15" customHeight="1" x14ac:dyDescent="0.25">
      <c r="A23" s="1"/>
      <c r="B23" s="132" t="s">
        <v>86</v>
      </c>
      <c r="C23" s="133"/>
      <c r="D23" s="134"/>
      <c r="E23" s="27"/>
      <c r="F23" s="19"/>
      <c r="G23" s="1"/>
    </row>
    <row r="24" spans="1:7" ht="15" customHeight="1" x14ac:dyDescent="0.25">
      <c r="A24" s="1"/>
      <c r="B24" s="90"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6" t="s">
        <v>81</v>
      </c>
      <c r="C26" s="127"/>
      <c r="D26" s="128"/>
      <c r="E26" s="9">
        <v>2526700.0346543402</v>
      </c>
      <c r="F26" s="8" t="s">
        <v>3</v>
      </c>
      <c r="G26" s="1"/>
    </row>
    <row r="27" spans="1:7" ht="15" customHeight="1" x14ac:dyDescent="0.25">
      <c r="A27" s="1"/>
      <c r="B27" s="126" t="s">
        <v>82</v>
      </c>
      <c r="C27" s="127"/>
      <c r="D27" s="127"/>
      <c r="E27" s="9">
        <v>0</v>
      </c>
      <c r="F27" s="8" t="s">
        <v>3</v>
      </c>
      <c r="G27" s="1"/>
    </row>
    <row r="28" spans="1:7" ht="15" customHeight="1" x14ac:dyDescent="0.25">
      <c r="A28" s="1"/>
      <c r="B28" s="135" t="s">
        <v>87</v>
      </c>
      <c r="C28" s="136"/>
      <c r="D28" s="136"/>
      <c r="E28" s="39">
        <v>0</v>
      </c>
      <c r="F28" s="11" t="s">
        <v>3</v>
      </c>
      <c r="G28" s="1"/>
    </row>
    <row r="29" spans="1:7" ht="15" customHeight="1" x14ac:dyDescent="0.25">
      <c r="A29" s="1"/>
      <c r="B29" s="32" t="s">
        <v>143</v>
      </c>
      <c r="C29" s="32"/>
      <c r="D29" s="32"/>
      <c r="E29" s="27"/>
      <c r="F29" s="19"/>
      <c r="G29" s="1"/>
    </row>
    <row r="30" spans="1:7" ht="15" customHeight="1" x14ac:dyDescent="0.25">
      <c r="A30" s="1"/>
      <c r="B30" s="129" t="s">
        <v>142</v>
      </c>
      <c r="C30" s="130"/>
      <c r="D30" s="130"/>
      <c r="E30" s="39">
        <v>0</v>
      </c>
      <c r="F30" s="11" t="s">
        <v>3</v>
      </c>
      <c r="G30" s="1"/>
    </row>
    <row r="31" spans="1:7" x14ac:dyDescent="0.25">
      <c r="A31" s="1"/>
      <c r="B31" s="32" t="s">
        <v>123</v>
      </c>
      <c r="C31" s="27"/>
      <c r="D31" s="27"/>
      <c r="E31" s="27"/>
      <c r="F31" s="19"/>
      <c r="G31" s="1"/>
    </row>
    <row r="32" spans="1:7" ht="15.4" customHeight="1" x14ac:dyDescent="0.25">
      <c r="A32" s="1"/>
      <c r="B32" s="129" t="s">
        <v>123</v>
      </c>
      <c r="C32" s="130"/>
      <c r="D32" s="131"/>
      <c r="E32" s="10">
        <v>0</v>
      </c>
      <c r="F32" s="11" t="s">
        <v>3</v>
      </c>
      <c r="G32" s="1"/>
    </row>
    <row r="33" spans="1:7" ht="15.4" customHeight="1" x14ac:dyDescent="0.25">
      <c r="A33" s="1"/>
      <c r="B33" s="132" t="s">
        <v>175</v>
      </c>
      <c r="C33" s="133"/>
      <c r="D33" s="133"/>
      <c r="E33" s="133"/>
      <c r="F33" s="134"/>
      <c r="G33" s="1"/>
    </row>
    <row r="34" spans="1:7" ht="15.4" customHeight="1" x14ac:dyDescent="0.25">
      <c r="A34" s="1"/>
      <c r="B34" s="96" t="s">
        <v>176</v>
      </c>
      <c r="C34" s="10"/>
      <c r="D34" s="11"/>
      <c r="E34" s="10">
        <f>'Fane 8. Skattesagen'!G11</f>
        <v>0</v>
      </c>
      <c r="F34" s="11" t="s">
        <v>3</v>
      </c>
      <c r="G34" s="1"/>
    </row>
    <row r="35" spans="1:7" x14ac:dyDescent="0.25">
      <c r="A35" s="1"/>
      <c r="B35" s="55" t="s">
        <v>218</v>
      </c>
      <c r="C35" s="56"/>
      <c r="D35" s="19"/>
      <c r="E35" s="45">
        <f>SUM(E32,E30,E28,E24,E22,E20,E34)</f>
        <v>65568075.105266884</v>
      </c>
      <c r="F35" s="52" t="s">
        <v>3</v>
      </c>
      <c r="G35" s="1"/>
    </row>
    <row r="36" spans="1:7" ht="27" customHeight="1" x14ac:dyDescent="0.25">
      <c r="A36" s="1"/>
      <c r="B36" s="122" t="s">
        <v>222</v>
      </c>
      <c r="C36" s="123"/>
      <c r="D36" s="123"/>
      <c r="E36" s="123"/>
      <c r="F36" s="124"/>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aj0ZaCjVybMYLltOMmPd9LVbkiBDWYqK+VtmGiOcQBkFsK+POKGRbWpSwyeii1065ut1ysVWEnjsFQACanIvHg==" saltValue="hmqpnDz52nfnZkxrCtIzmw=="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2" style="2" customWidth="1"/>
    <col min="2" max="5" width="9.140625" style="2"/>
    <col min="6" max="6" width="26.85546875" style="2" customWidth="1"/>
    <col min="7" max="7" width="16.28515625" style="2" customWidth="1"/>
    <col min="8" max="8" width="3.42578125" style="2" customWidth="1"/>
    <col min="9" max="9" width="2.2851562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25" t="s">
        <v>109</v>
      </c>
      <c r="C2" s="125"/>
      <c r="D2" s="125"/>
      <c r="E2" s="125"/>
      <c r="F2" s="125"/>
      <c r="G2" s="125"/>
      <c r="H2" s="125"/>
      <c r="I2" s="1"/>
    </row>
    <row r="3" spans="1:9" ht="28.5" customHeight="1" x14ac:dyDescent="0.25">
      <c r="A3" s="1"/>
      <c r="B3" s="125"/>
      <c r="C3" s="125"/>
      <c r="D3" s="125"/>
      <c r="E3" s="125"/>
      <c r="F3" s="125"/>
      <c r="G3" s="125"/>
      <c r="H3" s="125"/>
      <c r="I3" s="1"/>
    </row>
    <row r="4" spans="1:9" x14ac:dyDescent="0.25">
      <c r="A4" s="1"/>
      <c r="B4" s="132" t="s">
        <v>52</v>
      </c>
      <c r="C4" s="133"/>
      <c r="D4" s="133"/>
      <c r="E4" s="133"/>
      <c r="F4" s="133"/>
      <c r="G4" s="133"/>
      <c r="H4" s="134"/>
      <c r="I4" s="1"/>
    </row>
    <row r="5" spans="1:9" x14ac:dyDescent="0.25">
      <c r="A5" s="1"/>
      <c r="B5" s="137" t="s">
        <v>41</v>
      </c>
      <c r="C5" s="138"/>
      <c r="D5" s="138"/>
      <c r="E5" s="138"/>
      <c r="F5" s="139"/>
      <c r="G5" s="76">
        <v>15039675.0832849</v>
      </c>
      <c r="H5" s="14" t="s">
        <v>3</v>
      </c>
      <c r="I5" s="1"/>
    </row>
    <row r="6" spans="1:9" x14ac:dyDescent="0.25">
      <c r="A6" s="1"/>
      <c r="B6" s="122" t="s">
        <v>120</v>
      </c>
      <c r="C6" s="123"/>
      <c r="D6" s="123"/>
      <c r="E6" s="123"/>
      <c r="F6" s="124"/>
      <c r="G6" s="77">
        <v>0</v>
      </c>
      <c r="H6" s="14" t="s">
        <v>3</v>
      </c>
      <c r="I6" s="1"/>
    </row>
    <row r="7" spans="1:9" x14ac:dyDescent="0.25">
      <c r="A7" s="1"/>
      <c r="B7" s="137" t="s">
        <v>42</v>
      </c>
      <c r="C7" s="138"/>
      <c r="D7" s="138"/>
      <c r="E7" s="138"/>
      <c r="F7" s="139"/>
      <c r="G7" s="76">
        <f>SUM(G5:G6)*'Fane 15. Nøgletal'!C31</f>
        <v>300793.50166569802</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2" t="s">
        <v>53</v>
      </c>
      <c r="C10" s="133"/>
      <c r="D10" s="133"/>
      <c r="E10" s="133"/>
      <c r="F10" s="133"/>
      <c r="G10" s="140"/>
      <c r="H10" s="134"/>
      <c r="I10" s="1"/>
    </row>
    <row r="11" spans="1:9" x14ac:dyDescent="0.25">
      <c r="A11" s="1"/>
      <c r="B11" s="137" t="s">
        <v>43</v>
      </c>
      <c r="C11" s="138"/>
      <c r="D11" s="138"/>
      <c r="E11" s="138"/>
      <c r="F11" s="139"/>
      <c r="G11" s="76">
        <f>(G5-G7)*(1+'Fane 15. Nøgletal'!C10)</f>
        <v>14996812.009297539</v>
      </c>
      <c r="H11" s="14" t="s">
        <v>3</v>
      </c>
      <c r="I11" s="1"/>
    </row>
    <row r="12" spans="1:9" ht="15" customHeight="1" x14ac:dyDescent="0.25">
      <c r="A12" s="1"/>
      <c r="B12" s="137" t="s">
        <v>121</v>
      </c>
      <c r="C12" s="138"/>
      <c r="D12" s="138"/>
      <c r="E12" s="138"/>
      <c r="F12" s="139"/>
      <c r="G12" s="77">
        <v>75094.205963921384</v>
      </c>
      <c r="H12" s="14" t="s">
        <v>3</v>
      </c>
      <c r="I12" s="1"/>
    </row>
    <row r="13" spans="1:9" x14ac:dyDescent="0.25">
      <c r="A13" s="1"/>
      <c r="B13" s="122" t="s">
        <v>118</v>
      </c>
      <c r="C13" s="123"/>
      <c r="D13" s="123"/>
      <c r="E13" s="123"/>
      <c r="F13" s="124"/>
      <c r="G13" s="81">
        <v>1266686.3147125</v>
      </c>
      <c r="H13" s="14" t="s">
        <v>3</v>
      </c>
      <c r="I13" s="1"/>
    </row>
    <row r="14" spans="1:9" x14ac:dyDescent="0.25">
      <c r="A14" s="1"/>
      <c r="B14" s="144" t="s">
        <v>44</v>
      </c>
      <c r="C14" s="145"/>
      <c r="D14" s="145"/>
      <c r="E14" s="145"/>
      <c r="F14" s="146"/>
      <c r="G14" s="81">
        <v>108765.66250000001</v>
      </c>
      <c r="H14" s="14" t="s">
        <v>3</v>
      </c>
      <c r="I14" s="1"/>
    </row>
    <row r="15" spans="1:9" x14ac:dyDescent="0.25">
      <c r="A15" s="1"/>
      <c r="B15" s="137" t="s">
        <v>45</v>
      </c>
      <c r="C15" s="138"/>
      <c r="D15" s="138"/>
      <c r="E15" s="138"/>
      <c r="F15" s="139"/>
      <c r="G15" s="76">
        <f>SUM(G11:G14)*'Fane 15. Nøgletal'!C31</f>
        <v>328947.16384947917</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2" t="s">
        <v>54</v>
      </c>
      <c r="C18" s="133"/>
      <c r="D18" s="133"/>
      <c r="E18" s="133"/>
      <c r="F18" s="133"/>
      <c r="G18" s="140"/>
      <c r="H18" s="134"/>
      <c r="I18" s="1"/>
    </row>
    <row r="19" spans="1:9" x14ac:dyDescent="0.25">
      <c r="A19" s="1"/>
      <c r="B19" s="137" t="s">
        <v>46</v>
      </c>
      <c r="C19" s="138"/>
      <c r="D19" s="138"/>
      <c r="E19" s="138"/>
      <c r="F19" s="139"/>
      <c r="G19" s="76">
        <f>(SUM(G11:G12,G14)-(G15))*(1+'Fane 15. Nøgletal'!C10)</f>
        <v>15111629.896405442</v>
      </c>
      <c r="H19" s="14" t="s">
        <v>3</v>
      </c>
      <c r="I19" s="1"/>
    </row>
    <row r="20" spans="1:9" x14ac:dyDescent="0.25">
      <c r="A20" s="1"/>
      <c r="B20" s="144" t="s">
        <v>47</v>
      </c>
      <c r="C20" s="145"/>
      <c r="D20" s="145"/>
      <c r="E20" s="145"/>
      <c r="F20" s="146"/>
      <c r="G20" s="77">
        <v>1883678.9722342896</v>
      </c>
      <c r="H20" s="14" t="s">
        <v>3</v>
      </c>
      <c r="I20" s="1"/>
    </row>
    <row r="21" spans="1:9" x14ac:dyDescent="0.25">
      <c r="A21" s="1"/>
      <c r="B21" s="137" t="s">
        <v>48</v>
      </c>
      <c r="C21" s="138"/>
      <c r="D21" s="138"/>
      <c r="E21" s="138"/>
      <c r="F21" s="139"/>
      <c r="G21" s="76">
        <f>SUM(G19:G20)*'Fane 15. Nøgletal'!C31</f>
        <v>339906.1773727946</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2" t="s">
        <v>55</v>
      </c>
      <c r="C24" s="133"/>
      <c r="D24" s="133"/>
      <c r="E24" s="133"/>
      <c r="F24" s="133"/>
      <c r="G24" s="140"/>
      <c r="H24" s="134"/>
      <c r="I24" s="1"/>
    </row>
    <row r="25" spans="1:9" x14ac:dyDescent="0.25">
      <c r="A25" s="1"/>
      <c r="B25" s="137" t="s">
        <v>49</v>
      </c>
      <c r="C25" s="138"/>
      <c r="D25" s="138"/>
      <c r="E25" s="138"/>
      <c r="F25" s="139"/>
      <c r="G25" s="76">
        <f>(G19+G20-G21)*(1+'Fane 15. Nøgletal'!C12)</f>
        <v>16983514.124284893</v>
      </c>
      <c r="H25" s="14" t="s">
        <v>3</v>
      </c>
      <c r="I25" s="1"/>
    </row>
    <row r="26" spans="1:9" x14ac:dyDescent="0.25">
      <c r="A26" s="1"/>
      <c r="B26" s="144" t="s">
        <v>50</v>
      </c>
      <c r="C26" s="145"/>
      <c r="D26" s="145"/>
      <c r="E26" s="145"/>
      <c r="F26" s="146"/>
      <c r="G26" s="77">
        <v>-1609625.8798971521</v>
      </c>
      <c r="H26" s="14" t="s">
        <v>3</v>
      </c>
      <c r="I26" s="1"/>
    </row>
    <row r="27" spans="1:9" x14ac:dyDescent="0.25">
      <c r="A27" s="1"/>
      <c r="B27" s="137" t="s">
        <v>51</v>
      </c>
      <c r="C27" s="138"/>
      <c r="D27" s="138"/>
      <c r="E27" s="138"/>
      <c r="F27" s="139"/>
      <c r="G27" s="76">
        <f>(G25+G26)*'Fane 15. Nøgletal'!C31</f>
        <v>307477.76488775486</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2" t="s">
        <v>58</v>
      </c>
      <c r="C30" s="133"/>
      <c r="D30" s="133"/>
      <c r="E30" s="133"/>
      <c r="F30" s="133"/>
      <c r="G30" s="140"/>
      <c r="H30" s="134"/>
      <c r="I30" s="1"/>
    </row>
    <row r="31" spans="1:9" x14ac:dyDescent="0.25">
      <c r="A31" s="1"/>
      <c r="B31" s="137" t="s">
        <v>59</v>
      </c>
      <c r="C31" s="138"/>
      <c r="D31" s="138"/>
      <c r="E31" s="138"/>
      <c r="F31" s="139"/>
      <c r="G31" s="76">
        <f>(G25+G26-G27)*(1+'Fane 15. Nøgletal'!C12)</f>
        <v>15363218.765946137</v>
      </c>
      <c r="H31" s="14" t="s">
        <v>3</v>
      </c>
      <c r="I31" s="1"/>
    </row>
    <row r="32" spans="1:9" x14ac:dyDescent="0.25">
      <c r="A32" s="1"/>
      <c r="B32" s="137" t="s">
        <v>137</v>
      </c>
      <c r="C32" s="138"/>
      <c r="D32" s="138"/>
      <c r="E32" s="138"/>
      <c r="F32" s="139"/>
      <c r="G32" s="76">
        <v>204351.3888822</v>
      </c>
      <c r="H32" s="14" t="s">
        <v>3</v>
      </c>
      <c r="I32" s="1"/>
    </row>
    <row r="33" spans="1:9" x14ac:dyDescent="0.25">
      <c r="A33" s="1"/>
      <c r="B33" s="137" t="s">
        <v>60</v>
      </c>
      <c r="C33" s="138"/>
      <c r="D33" s="138"/>
      <c r="E33" s="138"/>
      <c r="F33" s="139"/>
      <c r="G33" s="76">
        <f>(G31+G32)*'Fane 15. Nøgletal'!C31</f>
        <v>311351.40309656673</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2" t="s">
        <v>160</v>
      </c>
      <c r="C36" s="133"/>
      <c r="D36" s="133"/>
      <c r="E36" s="133"/>
      <c r="F36" s="133"/>
      <c r="G36" s="140"/>
      <c r="H36" s="134"/>
      <c r="I36" s="1"/>
    </row>
    <row r="37" spans="1:9" x14ac:dyDescent="0.25">
      <c r="A37" s="1"/>
      <c r="B37" s="137" t="s">
        <v>79</v>
      </c>
      <c r="C37" s="138"/>
      <c r="D37" s="138"/>
      <c r="E37" s="138"/>
      <c r="F37" s="139"/>
      <c r="G37" s="76">
        <f>(G31+G32-G33)*(1+'Fane 15. Nøgletal'!C14)</f>
        <v>15306564.273612486</v>
      </c>
      <c r="H37" s="14" t="s">
        <v>3</v>
      </c>
      <c r="I37" s="1"/>
    </row>
    <row r="38" spans="1:9" x14ac:dyDescent="0.25">
      <c r="A38" s="1"/>
      <c r="B38" s="137" t="s">
        <v>164</v>
      </c>
      <c r="C38" s="138"/>
      <c r="D38" s="138"/>
      <c r="E38" s="138"/>
      <c r="F38" s="139"/>
      <c r="G38" s="76">
        <v>252670.40610979006</v>
      </c>
      <c r="H38" s="14" t="s">
        <v>3</v>
      </c>
      <c r="I38" s="1"/>
    </row>
    <row r="39" spans="1:9" x14ac:dyDescent="0.25">
      <c r="A39" s="1"/>
      <c r="B39" s="137" t="s">
        <v>162</v>
      </c>
      <c r="C39" s="138"/>
      <c r="D39" s="138"/>
      <c r="E39" s="138"/>
      <c r="F39" s="139"/>
      <c r="G39" s="76">
        <f>(G37+G38)*'Fane 15. Nøgletal'!C31</f>
        <v>311184.69359444553</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2" t="s">
        <v>161</v>
      </c>
      <c r="C42" s="133"/>
      <c r="D42" s="133"/>
      <c r="E42" s="133"/>
      <c r="F42" s="133"/>
      <c r="G42" s="140"/>
      <c r="H42" s="134"/>
      <c r="I42" s="1"/>
    </row>
    <row r="43" spans="1:9" x14ac:dyDescent="0.25">
      <c r="A43" s="1"/>
      <c r="B43" s="137" t="s">
        <v>228</v>
      </c>
      <c r="C43" s="138"/>
      <c r="D43" s="138"/>
      <c r="E43" s="138"/>
      <c r="F43" s="139"/>
      <c r="G43" s="76">
        <f>(G37+G38-G39)*(1+'Fane 15. Nøgletal'!C14)</f>
        <v>15298368.551082052</v>
      </c>
      <c r="H43" s="14" t="s">
        <v>3</v>
      </c>
      <c r="I43" s="1"/>
    </row>
    <row r="44" spans="1:9" x14ac:dyDescent="0.25">
      <c r="A44" s="1"/>
      <c r="B44" s="141" t="s">
        <v>230</v>
      </c>
      <c r="C44" s="142"/>
      <c r="D44" s="142"/>
      <c r="E44" s="142"/>
      <c r="F44" s="143"/>
      <c r="G44" s="80">
        <f>('Fane 2.1. Økonomisk ramme 2023'!C10+'Fane 2.1. Økonomisk ramme 2023'!C12+'Fane 2.1. Økonomisk ramme 2023'!C14)*(1+'Fane 15. Nøgletal'!C15)</f>
        <v>149153.39809200002</v>
      </c>
      <c r="H44" s="14" t="s">
        <v>3</v>
      </c>
      <c r="I44" s="1"/>
    </row>
    <row r="45" spans="1:9" x14ac:dyDescent="0.25">
      <c r="A45" s="1"/>
      <c r="B45" s="137" t="s">
        <v>163</v>
      </c>
      <c r="C45" s="138"/>
      <c r="D45" s="138"/>
      <c r="E45" s="138"/>
      <c r="F45" s="139"/>
      <c r="G45" s="76">
        <f>SUM(G43:G44)*'Fane 15. Nøgletal'!C31</f>
        <v>308950.43898348103</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2" t="s">
        <v>241</v>
      </c>
      <c r="C51" s="133"/>
      <c r="D51" s="133"/>
      <c r="E51" s="133"/>
      <c r="F51" s="133"/>
      <c r="G51" s="140"/>
      <c r="H51" s="134"/>
      <c r="I51" s="1"/>
    </row>
    <row r="52" spans="1:9" x14ac:dyDescent="0.25">
      <c r="A52" s="1"/>
      <c r="B52" s="137" t="s">
        <v>227</v>
      </c>
      <c r="C52" s="138"/>
      <c r="D52" s="138"/>
      <c r="E52" s="138"/>
      <c r="F52" s="139"/>
      <c r="G52" s="76">
        <f>(G43+G44-G45)*(1+'Fane 15. Nøgletal'!C15)</f>
        <v>15677504.655953357</v>
      </c>
      <c r="H52" s="14" t="s">
        <v>3</v>
      </c>
      <c r="I52" s="1"/>
    </row>
    <row r="53" spans="1:9" x14ac:dyDescent="0.25">
      <c r="A53" s="1"/>
      <c r="B53" s="137" t="s">
        <v>138</v>
      </c>
      <c r="C53" s="138"/>
      <c r="D53" s="138"/>
      <c r="E53" s="138"/>
      <c r="F53" s="139"/>
      <c r="G53" s="76">
        <f>(G52)*'Fane 15. Nøgletal'!C31</f>
        <v>313550.09311906714</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2" t="s">
        <v>150</v>
      </c>
      <c r="C56" s="133"/>
      <c r="D56" s="133"/>
      <c r="E56" s="133"/>
      <c r="F56" s="133"/>
      <c r="G56" s="140"/>
      <c r="H56" s="134"/>
      <c r="I56" s="1"/>
    </row>
    <row r="57" spans="1:9" x14ac:dyDescent="0.25">
      <c r="A57" s="1"/>
      <c r="B57" s="92" t="s">
        <v>151</v>
      </c>
      <c r="C57" s="93"/>
      <c r="D57" s="93"/>
      <c r="E57" s="93"/>
      <c r="F57" s="94"/>
      <c r="G57" s="76">
        <f>(G52-G53)*(1+'Fane 15. Nøgletal'!C15)</f>
        <v>15910911.345271191</v>
      </c>
      <c r="H57" s="14" t="s">
        <v>3</v>
      </c>
      <c r="I57" s="1"/>
    </row>
    <row r="58" spans="1:9" x14ac:dyDescent="0.25">
      <c r="A58" s="1"/>
      <c r="B58" s="92" t="s">
        <v>152</v>
      </c>
      <c r="C58" s="93"/>
      <c r="D58" s="93"/>
      <c r="E58" s="93"/>
      <c r="F58" s="94"/>
      <c r="G58" s="76">
        <f>(G57)*'Fane 15. Nøgletal'!C31</f>
        <v>318218.2269054238</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2" t="s">
        <v>193</v>
      </c>
      <c r="C61" s="133"/>
      <c r="D61" s="133"/>
      <c r="E61" s="133"/>
      <c r="F61" s="133"/>
      <c r="G61" s="140"/>
      <c r="H61" s="134"/>
      <c r="I61" s="1"/>
    </row>
    <row r="62" spans="1:9" x14ac:dyDescent="0.25">
      <c r="A62" s="1"/>
      <c r="B62" s="92" t="s">
        <v>194</v>
      </c>
      <c r="C62" s="93"/>
      <c r="D62" s="93"/>
      <c r="E62" s="93"/>
      <c r="F62" s="94"/>
      <c r="G62" s="76">
        <f>(G57-G58)*(1+'Fane 15. Nøgletal'!C15)</f>
        <v>16147792.993379589</v>
      </c>
      <c r="H62" s="14" t="s">
        <v>3</v>
      </c>
      <c r="I62" s="1"/>
    </row>
    <row r="63" spans="1:9" x14ac:dyDescent="0.25">
      <c r="A63" s="1"/>
      <c r="B63" s="92" t="s">
        <v>195</v>
      </c>
      <c r="C63" s="93"/>
      <c r="D63" s="93"/>
      <c r="E63" s="93"/>
      <c r="F63" s="94"/>
      <c r="G63" s="76">
        <f>(G62)*'Fane 15. Nøgletal'!C31</f>
        <v>322955.85986759182</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X42veVcPB3TnBuKHh2Bciye7VZwjCJfS6CVPf8ecdTgybGEEbbi6eRXZum/50B3wRXeHLAK8XLshc8B9OkdOHg==" saltValue="mj4V39YT9k6jsgzhrAbWFQ=="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1.42578125" style="2" customWidth="1"/>
    <col min="2" max="5" width="9.140625" style="2"/>
    <col min="6" max="6" width="29.85546875" style="2" customWidth="1"/>
    <col min="7" max="7" width="14.140625" style="2" customWidth="1"/>
    <col min="8" max="8" width="3.28515625" style="2" customWidth="1"/>
    <col min="9" max="9" width="1.7109375" style="2" customWidth="1"/>
    <col min="10" max="16384" width="9.140625" style="2"/>
  </cols>
  <sheetData>
    <row r="1" spans="1:9" ht="14.25" customHeight="1" x14ac:dyDescent="0.25">
      <c r="A1" s="1"/>
      <c r="B1" s="147" t="s">
        <v>110</v>
      </c>
      <c r="C1" s="147"/>
      <c r="D1" s="147"/>
      <c r="E1" s="147"/>
      <c r="F1" s="147"/>
      <c r="G1" s="147"/>
      <c r="H1" s="147"/>
      <c r="I1" s="1"/>
    </row>
    <row r="2" spans="1:9" ht="15" customHeight="1" x14ac:dyDescent="0.25">
      <c r="A2" s="1"/>
      <c r="B2" s="147"/>
      <c r="C2" s="147"/>
      <c r="D2" s="147"/>
      <c r="E2" s="147"/>
      <c r="F2" s="147"/>
      <c r="G2" s="147"/>
      <c r="H2" s="147"/>
      <c r="I2" s="1"/>
    </row>
    <row r="3" spans="1:9" ht="15" customHeight="1" x14ac:dyDescent="0.25">
      <c r="A3" s="1"/>
      <c r="B3" s="148"/>
      <c r="C3" s="148"/>
      <c r="D3" s="148"/>
      <c r="E3" s="148"/>
      <c r="F3" s="148"/>
      <c r="G3" s="148"/>
      <c r="H3" s="148"/>
      <c r="I3" s="1"/>
    </row>
    <row r="4" spans="1:9" x14ac:dyDescent="0.25">
      <c r="A4" s="1"/>
      <c r="B4" s="132" t="s">
        <v>56</v>
      </c>
      <c r="C4" s="133"/>
      <c r="D4" s="133"/>
      <c r="E4" s="133"/>
      <c r="F4" s="133"/>
      <c r="G4" s="133"/>
      <c r="H4" s="134"/>
      <c r="I4" s="1"/>
    </row>
    <row r="5" spans="1:9" x14ac:dyDescent="0.25">
      <c r="A5" s="1"/>
      <c r="B5" s="137" t="s">
        <v>61</v>
      </c>
      <c r="C5" s="138"/>
      <c r="D5" s="138"/>
      <c r="E5" s="138"/>
      <c r="F5" s="139"/>
      <c r="G5" s="76">
        <v>51122047.933218576</v>
      </c>
      <c r="H5" s="14" t="s">
        <v>3</v>
      </c>
      <c r="I5" s="1"/>
    </row>
    <row r="6" spans="1:9" x14ac:dyDescent="0.25">
      <c r="A6" s="1"/>
      <c r="B6" s="137" t="s">
        <v>57</v>
      </c>
      <c r="C6" s="138"/>
      <c r="D6" s="138"/>
      <c r="E6" s="138"/>
      <c r="F6" s="139"/>
      <c r="G6" s="76">
        <f>G5*'Fane 15. Nøgletal'!C20</f>
        <v>465210.63619228906</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2" t="s">
        <v>62</v>
      </c>
      <c r="C9" s="133"/>
      <c r="D9" s="133"/>
      <c r="E9" s="133"/>
      <c r="F9" s="133"/>
      <c r="G9" s="140"/>
      <c r="H9" s="134"/>
      <c r="I9" s="1"/>
    </row>
    <row r="10" spans="1:9" x14ac:dyDescent="0.25">
      <c r="A10" s="1"/>
      <c r="B10" s="137" t="s">
        <v>63</v>
      </c>
      <c r="C10" s="138"/>
      <c r="D10" s="138"/>
      <c r="E10" s="138"/>
      <c r="F10" s="139"/>
      <c r="G10" s="76">
        <f>(G5-G6)*(1+'Fane 15. Nøgletal'!C10)</f>
        <v>51543331.94972425</v>
      </c>
      <c r="H10" s="14" t="s">
        <v>3</v>
      </c>
      <c r="I10" s="1"/>
    </row>
    <row r="11" spans="1:9" x14ac:dyDescent="0.25">
      <c r="A11" s="1"/>
      <c r="B11" s="137" t="s">
        <v>122</v>
      </c>
      <c r="C11" s="138"/>
      <c r="D11" s="138"/>
      <c r="E11" s="138"/>
      <c r="F11" s="139"/>
      <c r="G11" s="76">
        <v>-227690.76428767131</v>
      </c>
      <c r="H11" s="14" t="s">
        <v>3</v>
      </c>
      <c r="I11" s="1"/>
    </row>
    <row r="12" spans="1:9" x14ac:dyDescent="0.25">
      <c r="A12" s="1"/>
      <c r="B12" s="144" t="s">
        <v>64</v>
      </c>
      <c r="C12" s="145"/>
      <c r="D12" s="145"/>
      <c r="E12" s="145"/>
      <c r="F12" s="146"/>
      <c r="G12" s="77">
        <v>0</v>
      </c>
      <c r="H12" s="14" t="s">
        <v>3</v>
      </c>
      <c r="I12" s="1"/>
    </row>
    <row r="13" spans="1:9" x14ac:dyDescent="0.25">
      <c r="A13" s="1"/>
      <c r="B13" s="137" t="s">
        <v>65</v>
      </c>
      <c r="C13" s="138"/>
      <c r="D13" s="138"/>
      <c r="E13" s="138"/>
      <c r="F13" s="139"/>
      <c r="G13" s="76">
        <f>SUM(G10:G12)*'Fane 15. Nøgletal'!C21</f>
        <v>908286.84898222738</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2" t="s">
        <v>66</v>
      </c>
      <c r="C16" s="133"/>
      <c r="D16" s="133"/>
      <c r="E16" s="133"/>
      <c r="F16" s="133"/>
      <c r="G16" s="140"/>
      <c r="H16" s="134"/>
      <c r="I16" s="1"/>
    </row>
    <row r="17" spans="1:9" x14ac:dyDescent="0.25">
      <c r="A17" s="1"/>
      <c r="B17" s="137" t="s">
        <v>67</v>
      </c>
      <c r="C17" s="138"/>
      <c r="D17" s="138"/>
      <c r="E17" s="138"/>
      <c r="F17" s="139"/>
      <c r="G17" s="76">
        <f>(SUM(G10:G12)-G13)*(1+'Fane 15. Nøgletal'!C10)</f>
        <v>51289483.037342303</v>
      </c>
      <c r="H17" s="14" t="s">
        <v>3</v>
      </c>
      <c r="I17" s="1"/>
    </row>
    <row r="18" spans="1:9" x14ac:dyDescent="0.25">
      <c r="A18" s="1"/>
      <c r="B18" s="144" t="s">
        <v>68</v>
      </c>
      <c r="C18" s="145"/>
      <c r="D18" s="145"/>
      <c r="E18" s="145"/>
      <c r="F18" s="146"/>
      <c r="G18" s="76">
        <v>759874.02653946984</v>
      </c>
      <c r="H18" s="14" t="s">
        <v>3</v>
      </c>
      <c r="I18" s="1"/>
    </row>
    <row r="19" spans="1:9" x14ac:dyDescent="0.25">
      <c r="A19" s="1"/>
      <c r="B19" s="137" t="s">
        <v>69</v>
      </c>
      <c r="C19" s="138"/>
      <c r="D19" s="138"/>
      <c r="E19" s="138"/>
      <c r="F19" s="139"/>
      <c r="G19" s="76">
        <f>G17*'Fane 15. Nøgletal'!C21+G18*'Fane 15. Nøgletal'!C22</f>
        <v>914434.75379185216</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2" t="s">
        <v>70</v>
      </c>
      <c r="C22" s="133"/>
      <c r="D22" s="133"/>
      <c r="E22" s="133"/>
      <c r="F22" s="133"/>
      <c r="G22" s="140"/>
      <c r="H22" s="134"/>
      <c r="I22" s="1"/>
    </row>
    <row r="23" spans="1:9" x14ac:dyDescent="0.25">
      <c r="A23" s="1"/>
      <c r="B23" s="137" t="s">
        <v>71</v>
      </c>
      <c r="C23" s="138"/>
      <c r="D23" s="138"/>
      <c r="E23" s="138"/>
      <c r="F23" s="139"/>
      <c r="G23" s="76">
        <f>(G17+G18-G19)*(1+'Fane 15. Nøgletal'!C12)</f>
        <v>52142280.279598691</v>
      </c>
      <c r="H23" s="14" t="s">
        <v>3</v>
      </c>
      <c r="I23" s="1"/>
    </row>
    <row r="24" spans="1:9" x14ac:dyDescent="0.25">
      <c r="A24" s="1"/>
      <c r="B24" s="144" t="s">
        <v>72</v>
      </c>
      <c r="C24" s="145"/>
      <c r="D24" s="145"/>
      <c r="E24" s="145"/>
      <c r="F24" s="146"/>
      <c r="G24" s="76">
        <v>296480.11342768779</v>
      </c>
      <c r="H24" s="14" t="s">
        <v>3</v>
      </c>
      <c r="I24" s="1"/>
    </row>
    <row r="25" spans="1:9" x14ac:dyDescent="0.25">
      <c r="A25" s="1"/>
      <c r="B25" s="137" t="s">
        <v>73</v>
      </c>
      <c r="C25" s="138"/>
      <c r="D25" s="138"/>
      <c r="E25" s="138"/>
      <c r="F25" s="139"/>
      <c r="G25" s="76">
        <f>(G23+G24)*'Fane 15. Nøgletal'!C23</f>
        <v>1489260.7951619492</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2" t="s">
        <v>74</v>
      </c>
      <c r="C28" s="133"/>
      <c r="D28" s="133"/>
      <c r="E28" s="133"/>
      <c r="F28" s="133"/>
      <c r="G28" s="140"/>
      <c r="H28" s="134"/>
      <c r="I28" s="1"/>
    </row>
    <row r="29" spans="1:9" x14ac:dyDescent="0.25">
      <c r="A29" s="1"/>
      <c r="B29" s="137" t="s">
        <v>75</v>
      </c>
      <c r="C29" s="138"/>
      <c r="D29" s="138"/>
      <c r="E29" s="138"/>
      <c r="F29" s="139"/>
      <c r="G29" s="76">
        <f>(G23+G24-G25)*(1+'Fane 15. Nøgletal'!C12)</f>
        <v>51953204.739942364</v>
      </c>
      <c r="H29" s="14" t="s">
        <v>3</v>
      </c>
      <c r="I29" s="1"/>
    </row>
    <row r="30" spans="1:9" x14ac:dyDescent="0.25">
      <c r="A30" s="1"/>
      <c r="B30" s="137" t="s">
        <v>139</v>
      </c>
      <c r="C30" s="138"/>
      <c r="D30" s="138"/>
      <c r="E30" s="138"/>
      <c r="F30" s="139"/>
      <c r="G30" s="76">
        <v>712274.54995871999</v>
      </c>
      <c r="H30" s="14" t="s">
        <v>3</v>
      </c>
      <c r="I30" s="1"/>
    </row>
    <row r="31" spans="1:9" x14ac:dyDescent="0.25">
      <c r="A31" s="1"/>
      <c r="B31" s="137" t="s">
        <v>76</v>
      </c>
      <c r="C31" s="138"/>
      <c r="D31" s="138"/>
      <c r="E31" s="138"/>
      <c r="F31" s="139"/>
      <c r="G31" s="76">
        <f>G29*'Fane 15. Nøgletal'!C23+G30*'Fane 15. Nøgletal'!C24</f>
        <v>1495058.564738228</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2" t="s">
        <v>165</v>
      </c>
      <c r="C34" s="133"/>
      <c r="D34" s="133"/>
      <c r="E34" s="133"/>
      <c r="F34" s="133"/>
      <c r="G34" s="140"/>
      <c r="H34" s="134"/>
      <c r="I34" s="1"/>
    </row>
    <row r="35" spans="1:9" x14ac:dyDescent="0.25">
      <c r="A35" s="1"/>
      <c r="B35" s="137" t="s">
        <v>78</v>
      </c>
      <c r="C35" s="138"/>
      <c r="D35" s="138"/>
      <c r="E35" s="138"/>
      <c r="F35" s="139"/>
      <c r="G35" s="76">
        <f>(G29+G30-G31)*(1+'Fane 15. Nøgletal'!C14)</f>
        <v>51339283.113555901</v>
      </c>
      <c r="H35" s="14" t="s">
        <v>3</v>
      </c>
      <c r="I35" s="1"/>
    </row>
    <row r="36" spans="1:9" x14ac:dyDescent="0.25">
      <c r="A36" s="1"/>
      <c r="B36" s="137" t="s">
        <v>167</v>
      </c>
      <c r="C36" s="138"/>
      <c r="D36" s="138"/>
      <c r="E36" s="138"/>
      <c r="F36" s="139"/>
      <c r="G36" s="76">
        <v>0</v>
      </c>
      <c r="H36" s="14" t="s">
        <v>3</v>
      </c>
      <c r="I36" s="1"/>
    </row>
    <row r="37" spans="1:9" x14ac:dyDescent="0.25">
      <c r="A37" s="1"/>
      <c r="B37" s="137" t="s">
        <v>166</v>
      </c>
      <c r="C37" s="138"/>
      <c r="D37" s="138"/>
      <c r="E37" s="138"/>
      <c r="F37" s="139"/>
      <c r="G37" s="76">
        <f>(G35+G36)*'Fane 15. Nøgletal'!C25</f>
        <v>759821.3900806274</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2" t="s">
        <v>221</v>
      </c>
      <c r="C40" s="133"/>
      <c r="D40" s="133"/>
      <c r="E40" s="133"/>
      <c r="F40" s="133"/>
      <c r="G40" s="140"/>
      <c r="H40" s="134"/>
      <c r="I40" s="1"/>
    </row>
    <row r="41" spans="1:9" x14ac:dyDescent="0.25">
      <c r="A41" s="1"/>
      <c r="B41" s="137" t="s">
        <v>77</v>
      </c>
      <c r="C41" s="138"/>
      <c r="D41" s="138"/>
      <c r="E41" s="138"/>
      <c r="F41" s="139"/>
      <c r="G41" s="76">
        <f>(G35+G36-G37)*(1+'Fane 15. Nøgletal'!C14)</f>
        <v>50746373.94716274</v>
      </c>
      <c r="H41" s="14" t="s">
        <v>3</v>
      </c>
      <c r="I41" s="1"/>
    </row>
    <row r="42" spans="1:9" x14ac:dyDescent="0.25">
      <c r="A42" s="1"/>
      <c r="B42" s="43" t="s">
        <v>229</v>
      </c>
      <c r="C42" s="93"/>
      <c r="D42" s="93"/>
      <c r="E42" s="93"/>
      <c r="F42" s="94"/>
      <c r="G42" s="80">
        <f>('Fane 2.1. Økonomisk ramme 2023'!C11+'Fane 2.1. Økonomisk ramme 2023'!C13+'Fane 2.1. Økonomisk ramme 2023'!C15)*(1+'Fane 15. Nøgletal'!C15)</f>
        <v>0</v>
      </c>
      <c r="H42" s="14" t="s">
        <v>3</v>
      </c>
      <c r="I42" s="1"/>
    </row>
    <row r="43" spans="1:9" x14ac:dyDescent="0.25">
      <c r="A43" s="1"/>
      <c r="B43" s="137" t="s">
        <v>168</v>
      </c>
      <c r="C43" s="138"/>
      <c r="D43" s="138"/>
      <c r="E43" s="138"/>
      <c r="F43" s="139"/>
      <c r="G43" s="76">
        <f>(G41)*'Fane 15. Nøgletal'!C25+G42*'Fane 15. Nøgletal'!C26</f>
        <v>751046.33441800857</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2" t="s">
        <v>242</v>
      </c>
      <c r="C52" s="133"/>
      <c r="D52" s="133"/>
      <c r="E52" s="133"/>
      <c r="F52" s="133"/>
      <c r="G52" s="140"/>
      <c r="H52" s="134"/>
      <c r="I52" s="1"/>
    </row>
    <row r="53" spans="1:9" x14ac:dyDescent="0.25">
      <c r="A53" s="1"/>
      <c r="B53" s="137" t="s">
        <v>140</v>
      </c>
      <c r="C53" s="138"/>
      <c r="D53" s="138"/>
      <c r="E53" s="138"/>
      <c r="F53" s="139"/>
      <c r="G53" s="76">
        <f>(G41+G42-G43)*(1+'Fane 15. Nøgletal'!C15)</f>
        <v>51775161.275758453</v>
      </c>
      <c r="H53" s="14" t="s">
        <v>3</v>
      </c>
      <c r="I53" s="1"/>
    </row>
    <row r="54" spans="1:9" x14ac:dyDescent="0.25">
      <c r="A54" s="1"/>
      <c r="B54" s="137" t="s">
        <v>141</v>
      </c>
      <c r="C54" s="138"/>
      <c r="D54" s="138"/>
      <c r="E54" s="138"/>
      <c r="F54" s="139"/>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2" t="s">
        <v>153</v>
      </c>
      <c r="C57" s="133"/>
      <c r="D57" s="133"/>
      <c r="E57" s="133"/>
      <c r="F57" s="133"/>
      <c r="G57" s="140"/>
      <c r="H57" s="134"/>
      <c r="I57" s="1"/>
    </row>
    <row r="58" spans="1:9" x14ac:dyDescent="0.25">
      <c r="A58" s="1"/>
      <c r="B58" s="137" t="s">
        <v>173</v>
      </c>
      <c r="C58" s="138"/>
      <c r="D58" s="138"/>
      <c r="E58" s="138"/>
      <c r="F58" s="139"/>
      <c r="G58" s="76">
        <f>(G53-G54)*(1+'Fane 15. Nøgletal'!C15)</f>
        <v>53618357.017175458</v>
      </c>
      <c r="H58" s="14" t="s">
        <v>3</v>
      </c>
      <c r="I58" s="1"/>
    </row>
    <row r="59" spans="1:9" x14ac:dyDescent="0.25">
      <c r="A59" s="1"/>
      <c r="B59" s="137" t="s">
        <v>174</v>
      </c>
      <c r="C59" s="138"/>
      <c r="D59" s="138"/>
      <c r="E59" s="138"/>
      <c r="F59" s="139"/>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2" t="s">
        <v>196</v>
      </c>
      <c r="C62" s="133"/>
      <c r="D62" s="133"/>
      <c r="E62" s="133"/>
      <c r="F62" s="133"/>
      <c r="G62" s="140"/>
      <c r="H62" s="134"/>
      <c r="I62" s="1"/>
    </row>
    <row r="63" spans="1:9" x14ac:dyDescent="0.25">
      <c r="A63" s="1"/>
      <c r="B63" s="137" t="s">
        <v>197</v>
      </c>
      <c r="C63" s="138"/>
      <c r="D63" s="138"/>
      <c r="E63" s="138"/>
      <c r="F63" s="139"/>
      <c r="G63" s="76">
        <f>(G58-G59)*(1+'Fane 15. Nøgletal'!C15)</f>
        <v>55527170.526986912</v>
      </c>
      <c r="H63" s="14" t="s">
        <v>3</v>
      </c>
      <c r="I63" s="1"/>
    </row>
    <row r="64" spans="1:9" x14ac:dyDescent="0.25">
      <c r="A64" s="1"/>
      <c r="B64" s="137" t="s">
        <v>198</v>
      </c>
      <c r="C64" s="138"/>
      <c r="D64" s="138"/>
      <c r="E64" s="138"/>
      <c r="F64" s="139"/>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QzX+VKROFFh208YF6ugh/O/lJ7SclpdZQEwl0SZUYT9VcCK76lmGLjMscig7gF7iQDWTbMnYCJlmXaO6gauJOA==" saltValue="K74GtUJkR6mBhYZg2022Pw=="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0" t="s">
        <v>88</v>
      </c>
      <c r="C3" s="120"/>
      <c r="D3" s="120"/>
      <c r="E3" s="120"/>
      <c r="F3" s="120"/>
      <c r="G3" s="120"/>
      <c r="H3" s="1"/>
    </row>
    <row r="4" spans="1:8" ht="15" customHeight="1" x14ac:dyDescent="0.25">
      <c r="A4" s="1"/>
      <c r="B4" s="120"/>
      <c r="C4" s="120"/>
      <c r="D4" s="120"/>
      <c r="E4" s="120"/>
      <c r="F4" s="120"/>
      <c r="G4" s="12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2" t="s">
        <v>10</v>
      </c>
      <c r="C8" s="133"/>
      <c r="D8" s="133"/>
      <c r="E8" s="133"/>
      <c r="F8" s="133"/>
      <c r="G8" s="134"/>
      <c r="H8" s="1"/>
    </row>
    <row r="9" spans="1:8" x14ac:dyDescent="0.25">
      <c r="A9" s="1"/>
      <c r="B9" s="137" t="s">
        <v>154</v>
      </c>
      <c r="C9" s="138"/>
      <c r="D9" s="138"/>
      <c r="E9" s="138"/>
      <c r="F9" s="139"/>
      <c r="G9" s="35">
        <v>6.3130967488883279E-3</v>
      </c>
      <c r="H9" s="1"/>
    </row>
    <row r="10" spans="1:8" x14ac:dyDescent="0.25">
      <c r="A10" s="1"/>
      <c r="B10" s="32"/>
      <c r="C10" s="27"/>
      <c r="D10" s="27"/>
      <c r="E10" s="27"/>
      <c r="F10" s="27"/>
      <c r="G10" s="19"/>
      <c r="H10" s="1"/>
    </row>
    <row r="11" spans="1:8" ht="29.25" customHeight="1" x14ac:dyDescent="0.25">
      <c r="A11" s="1"/>
      <c r="B11" s="149" t="s">
        <v>236</v>
      </c>
      <c r="C11" s="150"/>
      <c r="D11" s="150"/>
      <c r="E11" s="150"/>
      <c r="F11" s="150"/>
      <c r="G11" s="151"/>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sxhrrB3xBYS411teBbsgSbRAaMYRnGztH1PS4vGbE7BlqLyJty+Co09B+JlrSqhuAS7UpIuUTsh5iwbAdfpoSA==" saltValue="/zAiC3y4tEErOV45Q2XQf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2022-12-01T08:34:43Z</dcterms:modified>
</cp:coreProperties>
</file>