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evns Spildevand AS (S08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8" i="30" s="1"/>
  <c r="E24" i="21"/>
  <c r="G54" i="36" s="1"/>
  <c r="C24" i="21"/>
  <c r="G52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2" i="37" s="1"/>
  <c r="E13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1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3" i="30"/>
  <c r="C12" i="22" l="1"/>
  <c r="C13" i="22" s="1"/>
  <c r="C14" i="22"/>
  <c r="G57" i="30"/>
  <c r="G59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<sst xmlns="http://schemas.openxmlformats.org/spreadsheetml/2006/main" count="707" uniqueCount="286">
  <si>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</si>
  <si>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</si>
  <si>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</si>
  <si>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</si>
  <si>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</si>
  <si>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</si>
  <si>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</si>
  <si>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</si>
  <si>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</si>
  <si>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</si>
  <si>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</si>
  <si>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</si>
  <si>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</si>
  <si>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</si>
  <si>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</si>
  <si>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</si>
  <si>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</si>
  <si>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</si>
  <si>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</si>
  <si>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</si>
  <si>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</si>
  <si>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</si>
  <si>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</si>
  <si>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</si>
  <si>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</si>
  <si>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</si>
  <si>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</si>
  <si>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</si>
  <si>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</si>
  <si>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</si>
  <si>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</si>
  <si>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</si>
  <si>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</si>
  <si>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</si>
  <si>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</si>
  <si>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</si>
  <si>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</si>
  <si>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</si>
  <si>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</si>
  <si>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</si>
  <si>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</si>
  <si>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</si>
  <si>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</si>
  <si>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</si>
  <si>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</si>
  <si>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</si>
  <si>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</si>
  <si>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</si>
  <si>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</si>
  <si>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</si>
  <si>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</si>
  <si>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</si>
  <si>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</si>
  <si>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</si>
  <si>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</si>
  <si>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</si>
  <si>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</si>
  <si>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</si>
  <si>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</si>
  <si>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</si>
  <si>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</si>
  <si>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</si>
  <si>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</si>
  <si>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</si>
  <si>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</si>
  <si>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</si>
  <si>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</si>
  <si>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</si>
  <si>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</si>
  <si>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</si>
  <si>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</si>
  <si>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</si>
  <si>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</si>
  <si>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</si>
  <si>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</si>
  <si>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</si>
  <si>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</si>
  <si>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</si>
  <si>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</si>
  <si>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</si>
  <si>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</si>
  <si>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</si>
  <si>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</si>
  <si>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</si>
  <si>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</si>
  <si>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</si>
  <si>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</si>
  <si>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</si>
  <si>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</si>
  <si>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</si>
  <si>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</si>
  <si>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</si>
  <si>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</si>
  <si>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</si>
  <si>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</si>
  <si>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</si>
  <si>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</si>
  <si>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</si>
  <si>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</si>
  <si>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</si>
  <si>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</si>
  <si>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</si>
  <si>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</si>
  <si>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</si>
  <si>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</si>
  <si>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</si>
  <si>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</si>
  <si>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</si>
  <si>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</si>
  <si>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</si>
  <si>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</si>
  <si>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</si>
  <si>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</si>
  <si>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</si>
  <si>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</si>
  <si>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</si>
  <si>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</si>
  <si>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</si>
  <si>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</si>
  <si>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</si>
  <si>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</si>
  <si>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</si>
  <si>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</si>
  <si>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</si>
  <si>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</si>
  <si>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</si>
  <si>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</si>
  <si>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</si>
  <si>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</si>
  <si>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</si>
  <si>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</si>
  <si>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</si>
  <si>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</si>
  <si>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</si>
  <si>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</si>
  <si>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</si>
  <si>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</si>
  <si>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</si>
  <si>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</si>
  <si>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</si>
  <si>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</si>
  <si>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</si>
  <si>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</si>
  <si>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</si>
  <si>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</si>
  <si>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</si>
  <si>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</si>
  <si>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</si>
  <si>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</si>
  <si>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</si>
  <si>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</si>
  <si>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</si>
  <si>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</si>
  <si>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</si>
  <si>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</si>
  <si>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</si>
  <si>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</si>
  <si>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</si>
  <si>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</si>
  <si>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</si>
  <si>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</si>
  <si>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</si>
  <si>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</si>
  <si>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</si>
  <si>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</si>
  <si>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</si>
  <si>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</si>
  <si>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</si>
  <si>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</si>
  <si>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</si>
  <si>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</si>
  <si>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</si>
  <si>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</si>
  <si>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</si>
  <si>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</si>
  <si>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</si>
  <si>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</si>
  <si>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</si>
  <si>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</si>
  <si>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</si>
  <si>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</si>
  <si>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</si>
  <si>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</si>
  <si>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</si>
  <si>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</si>
  <si>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</si>
  <si>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</si>
  <si>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</si>
  <si>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</si>
  <si>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</si>
  <si>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</si>
  <si>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</si>
  <si>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</si>
  <si>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</si>
  <si>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</si>
  <si>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</si>
  <si>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</si>
  <si>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</si>
  <si>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</si>
  <si>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</si>
  <si>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</si>
  <si>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</si>
  <si>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</si>
  <si>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</si>
  <si>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</si>
  <si>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</si>
  <si>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</si>
  <si>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</si>
  <si>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</si>
  <si>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</si>
  <si>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</si>
  <si>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</si>
  <si>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</si>
  <si>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</si>
  <si>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</si>
  <si>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</si>
  <si>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</si>
  <si>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</si>
  <si>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</si>
  <si>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</si>
  <si>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</si>
  <si>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</si>
  <si>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</si>
  <si>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</si>
  <si>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</si>
  <si>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</si>
  <si>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</si>
  <si>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</si>
  <si>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</si>
  <si>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</si>
  <si>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</si>
  <si>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</si>
  <si>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</si>
  <si>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</si>
  <si>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</si>
  <si>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</si>
  <si>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</si>
  <si>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</si>
  <si>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</si>
  <si>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</si>
  <si>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</si>
  <si>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</si>
  <si>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</si>
  <si>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</si>
  <si>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</si>
  <si>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</si>
  <si>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</si>
  <si>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</si>
  <si>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</si>
  <si>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</si>
  <si>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</si>
  <si>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</si>
  <si>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</si>
  <si>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</si>
  <si>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</si>
  <si>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</si>
  <si>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</si>
  <si>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</si>
  <si>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</si>
  <si>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</si>
  <si>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</si>
  <si>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</si>
  <si>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</si>
  <si>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</si>
  <si>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</si>
  <si>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</si>
  <si>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</si>
  <si>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</si>
  <si>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</si>
  <si>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</si>
  <si>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</si>
  <si>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</si>
  <si>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</si>
  <si>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</si>
  <si>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</si>
  <si>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</si>
  <si>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</si>
  <si>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</si>
  <si>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</si>
  <si>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 xml:space="preserve">Udvidelser af forsyningsområde 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</si>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</sst>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284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yGNtncNlZPD6uvxw/MByJR6SGQ81b5ZoSMrAMpMRWUWJolgA/oWjoM0lR7/7Hh2h6GrjeJsvrQlEt/Uu/6upQ==" saltValue="bMFf4de59qjOxlW9qKyaR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4" t="s">
        <v>262</v>
      </c>
      <c r="C10" s="9">
        <v>388850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52933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34995</v>
      </c>
      <c r="D12" s="14" t="s">
        <v>3</v>
      </c>
      <c r="E12" s="1"/>
      <c r="F12" s="1"/>
    </row>
    <row r="13" spans="1:6" x14ac:dyDescent="0.45">
      <c r="A13" s="1"/>
      <c r="B13" s="64" t="s">
        <v>265</v>
      </c>
      <c r="C13" s="9">
        <v>130095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606873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610884.97064697009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4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4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4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4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4" t="s">
        <v>116</v>
      </c>
      <c r="C27" s="9">
        <v>639876</v>
      </c>
      <c r="D27" s="14" t="s">
        <v>3</v>
      </c>
      <c r="E27" s="1"/>
      <c r="F27" s="1"/>
    </row>
    <row r="28" spans="1:6" x14ac:dyDescent="0.45">
      <c r="A28" s="1"/>
      <c r="B28" s="64" t="s">
        <v>117</v>
      </c>
      <c r="C28" s="9">
        <v>639876</v>
      </c>
      <c r="D28" s="14" t="s">
        <v>3</v>
      </c>
      <c r="E28" s="1"/>
      <c r="F28" s="1"/>
    </row>
    <row r="29" spans="1:6" x14ac:dyDescent="0.45">
      <c r="A29" s="1"/>
      <c r="B29" s="64" t="s">
        <v>154</v>
      </c>
      <c r="C29" s="9">
        <v>639876</v>
      </c>
      <c r="D29" s="14" t="s">
        <v>3</v>
      </c>
      <c r="E29" s="1"/>
      <c r="F29" s="1"/>
    </row>
    <row r="30" spans="1:6" x14ac:dyDescent="0.45">
      <c r="A30" s="1"/>
      <c r="B30" s="64" t="s">
        <v>211</v>
      </c>
      <c r="C30" s="9">
        <v>639876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kXaG0sIEkwNGG1pvTPdSlWTIlRuQJZMDTJy/8rOkQT6Rlh8A9AeF3i/c/Tjg8Nc9tGxfzmE6lT9akqevb6Xbog==" saltValue="Twy8ac8/4PeNx54yDK/TY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8" width="9.86328125" style="2" bestFit="1" customWidth="1"/>
    <col min="9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267</v>
      </c>
      <c r="C8" s="95"/>
      <c r="D8" s="95"/>
      <c r="E8" s="95"/>
      <c r="F8" s="96"/>
      <c r="G8" s="1"/>
    </row>
    <row r="9" spans="1:7" x14ac:dyDescent="0.45">
      <c r="A9" s="1"/>
      <c r="B9" s="103" t="s">
        <v>268</v>
      </c>
      <c r="C9" s="104"/>
      <c r="D9" s="105"/>
      <c r="E9" s="9">
        <v>-8098909.8037270308</v>
      </c>
      <c r="F9" s="14" t="s">
        <v>3</v>
      </c>
      <c r="G9" s="1"/>
    </row>
    <row r="10" spans="1:7" x14ac:dyDescent="0.45">
      <c r="A10" s="1"/>
      <c r="B10" s="103" t="s">
        <v>269</v>
      </c>
      <c r="C10" s="104"/>
      <c r="D10" s="105"/>
      <c r="E10" s="9">
        <v>2512294.1505606547</v>
      </c>
      <c r="F10" s="14" t="s">
        <v>3</v>
      </c>
      <c r="G10" s="1"/>
    </row>
    <row r="11" spans="1:7" x14ac:dyDescent="0.45">
      <c r="A11" s="1"/>
      <c r="B11" s="103" t="s">
        <v>270</v>
      </c>
      <c r="C11" s="104"/>
      <c r="D11" s="105"/>
      <c r="E11" s="9">
        <v>2512294.1505606547</v>
      </c>
      <c r="F11" s="14" t="s">
        <v>3</v>
      </c>
      <c r="G11" s="1"/>
    </row>
    <row r="12" spans="1:7" x14ac:dyDescent="0.45">
      <c r="A12" s="1"/>
      <c r="B12" s="103" t="s">
        <v>271</v>
      </c>
      <c r="C12" s="104"/>
      <c r="D12" s="105"/>
      <c r="E12" s="9">
        <v>6425851.4677143916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272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273</v>
      </c>
      <c r="C16" s="95"/>
      <c r="D16" s="95"/>
      <c r="E16" s="95"/>
      <c r="F16" s="96"/>
      <c r="G16" s="1"/>
    </row>
    <row r="17" spans="1:8" x14ac:dyDescent="0.4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8" x14ac:dyDescent="0.4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8" x14ac:dyDescent="0.45">
      <c r="A19" s="1"/>
      <c r="B19" s="38"/>
      <c r="C19" s="32"/>
      <c r="D19" s="32"/>
      <c r="E19" s="32"/>
      <c r="F19" s="20"/>
      <c r="G19" s="1"/>
    </row>
    <row r="20" spans="1:8" ht="29.25" customHeight="1" x14ac:dyDescent="0.45">
      <c r="A20" s="1"/>
      <c r="B20" s="97" t="s">
        <v>276</v>
      </c>
      <c r="C20" s="98"/>
      <c r="D20" s="98"/>
      <c r="E20" s="98"/>
      <c r="F20" s="99"/>
      <c r="G20" s="1"/>
    </row>
    <row r="21" spans="1:8" x14ac:dyDescent="0.45">
      <c r="A21" s="1"/>
      <c r="B21" s="1"/>
      <c r="C21" s="1"/>
      <c r="D21" s="1"/>
      <c r="E21" s="1"/>
      <c r="F21" s="1"/>
      <c r="G21" s="1"/>
    </row>
    <row r="22" spans="1:8" x14ac:dyDescent="0.45">
      <c r="A22" s="1"/>
      <c r="B22" s="56" t="s">
        <v>213</v>
      </c>
      <c r="C22" s="57"/>
      <c r="D22" s="57"/>
      <c r="E22" s="57"/>
      <c r="F22" s="58"/>
      <c r="G22" s="1"/>
    </row>
    <row r="23" spans="1:8" x14ac:dyDescent="0.45">
      <c r="A23" s="1"/>
      <c r="B23" s="61" t="s">
        <v>214</v>
      </c>
      <c r="C23" s="62"/>
      <c r="D23" s="63"/>
      <c r="E23" s="9">
        <v>44647551.690775089</v>
      </c>
      <c r="F23" s="14" t="s">
        <v>3</v>
      </c>
      <c r="G23" s="1"/>
      <c r="H23" s="48"/>
    </row>
    <row r="24" spans="1:8" x14ac:dyDescent="0.45">
      <c r="A24" s="1"/>
      <c r="B24" s="61" t="s">
        <v>215</v>
      </c>
      <c r="C24" s="62"/>
      <c r="D24" s="63"/>
      <c r="E24" s="9">
        <v>50416468</v>
      </c>
      <c r="F24" s="14" t="s">
        <v>3</v>
      </c>
      <c r="G24" s="1"/>
    </row>
    <row r="25" spans="1:8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8" x14ac:dyDescent="0.45">
      <c r="A26" s="1"/>
      <c r="B26" s="59" t="s">
        <v>277</v>
      </c>
      <c r="C26" s="60"/>
      <c r="D26" s="66"/>
      <c r="E26" s="47">
        <f>E23-(E24-E25)</f>
        <v>-5768916.309224911</v>
      </c>
      <c r="F26" s="17" t="s">
        <v>3</v>
      </c>
      <c r="G26" s="1"/>
    </row>
    <row r="27" spans="1:8" x14ac:dyDescent="0.45">
      <c r="A27" s="1"/>
      <c r="B27" s="38"/>
      <c r="C27" s="32"/>
      <c r="D27" s="32"/>
      <c r="E27" s="32"/>
      <c r="F27" s="20"/>
      <c r="G27" s="1"/>
    </row>
    <row r="28" spans="1:8" x14ac:dyDescent="0.45">
      <c r="A28" s="1"/>
      <c r="B28" s="1"/>
      <c r="C28" s="1"/>
      <c r="D28" s="1"/>
      <c r="E28" s="1"/>
      <c r="F28" s="1"/>
      <c r="G28" s="1"/>
    </row>
    <row r="29" spans="1:8" x14ac:dyDescent="0.45">
      <c r="A29" s="1"/>
      <c r="B29" s="1"/>
      <c r="C29" s="1"/>
      <c r="D29" s="1"/>
      <c r="E29" s="1"/>
      <c r="F29" s="1"/>
      <c r="G29" s="1"/>
    </row>
    <row r="30" spans="1:8" x14ac:dyDescent="0.45">
      <c r="A30" s="1"/>
      <c r="B30" s="94" t="s">
        <v>186</v>
      </c>
      <c r="C30" s="95"/>
      <c r="D30" s="95"/>
      <c r="E30" s="95"/>
      <c r="F30" s="96"/>
      <c r="G30" s="1"/>
    </row>
    <row r="31" spans="1:8" x14ac:dyDescent="0.45">
      <c r="A31" s="1"/>
      <c r="B31" s="119" t="s">
        <v>282</v>
      </c>
      <c r="C31" s="120"/>
      <c r="D31" s="121"/>
      <c r="E31" s="9">
        <v>2</v>
      </c>
      <c r="F31" s="14"/>
      <c r="G31" s="1"/>
    </row>
    <row r="32" spans="1:8" x14ac:dyDescent="0.4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4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45">
      <c r="A35" s="1"/>
      <c r="B35" s="116"/>
      <c r="C35" s="117"/>
      <c r="D35" s="117"/>
      <c r="E35" s="117"/>
      <c r="F35" s="118"/>
      <c r="G35" s="1"/>
    </row>
    <row r="36" spans="1:7" ht="75" customHeight="1" x14ac:dyDescent="0.45">
      <c r="A36" s="1"/>
      <c r="B36" s="97" t="s">
        <v>281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btkEcMQNw7WsJeeRXp3skl4MlWMtilr0jSm3e5ssDwRCJGdzmDl/e/+W8GPqlxAGZbHqJZPTJo5qrseC82R3Mw==" saltValue="2+8OzMeTYdC09pFBrY3OoA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950772.3904140899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870907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-79865.390414089896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-79865.390414089896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nUYbzVrNkh4zp5YAddTwL/XYxp8NWdD/QhAdhpywQUs4OmOaAPHDIe55pfZuinFzS7HB1XodaNJQz5tqP0J7/g==" saltValue="dWi95EbM71vQ4p+OvbRJk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283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rSItrpVOzFhZNWv6XV25sShB4rzG19Q9ghh5nDF9m+FGQAe0QghoC4V+k/YV10SgaAiByM45cNGTNyLtz/NFA==" saltValue="0CpIAQq9S6TKBicVLr4z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6" t="s">
        <v>279</v>
      </c>
      <c r="C11" s="22">
        <v>77337</v>
      </c>
      <c r="D11" s="14" t="s">
        <v>3</v>
      </c>
      <c r="E11" s="9">
        <v>140229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77337</v>
      </c>
      <c r="D12" s="13" t="s">
        <v>3</v>
      </c>
      <c r="E12" s="12">
        <f>SUM(E10:E11)</f>
        <v>140229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77592.212100000004</v>
      </c>
      <c r="D13" s="13" t="s">
        <v>3</v>
      </c>
      <c r="E13" s="12">
        <f>E12*(1+'Fane 14. Nøgletal'!C14)</f>
        <v>140691.75570000001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agANEALBxRKAHj2dfJQ5v/G0WcZuKcxP9TsbztWtSqxfF0iO2EYP0xj+RuRxUwVnMxjoPQ3z7AnNe+vWxF1ew==" saltValue="DTZ2b7vpohrnp8VxgqCO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wSDCuDRhNhhuFOHi9P6Z1DHGs+eC0VDRoP9NbJ79WQQSJCGko3N6oo1nrS8B5iOTstpErUvgBlNyC8OeZoOygQ==" saltValue="uDWgiN3/Ng3ngmQhbUhUw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1208037.2823781695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-16546.827612060406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-24160.745647563392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1175046.7974192607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1208037.2823781695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-16546.827612060406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-24160.745647563392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1178924.4518507442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1208037.2823781695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-16546.827612060406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-24160.745647563392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1182814.9025418519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1208037.2823781695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-16546.827612060406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-24160.745647563392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1186718.1917202401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L+bq6jcd6urD9pjp/Uzb/66PhmJ6JMdoe8kBc1UqgEgXU8hGEjDFpxr1im0FaIad00yBKrqMongWx+8KtLjPaA==" saltValue="t/bISmo8VD/MwdL508jHC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LfZ/PcebQI9GtrSt45Xj8+k9aEEnRpwmujPq+bM3uiEuw86/FYVcqB13a0wAJinHFkJe3HHGRCmJyph4zInMw==" saltValue="6gTCYoN+RRqZNNiXk31Ge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6KYpF/E/Ky72QWcj5cBQughA5gnsx/LXVNVaICyx/ZwBPUAFmLR2otUQZ9dfzsmreide2RBkrFaKGrhjWKEAg==" saltValue="VQkqUjg5gxoPhFHAF5O//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/AyENfvC1VIAONrZa8sqy4vzfpPSz1NcaE3el+owYTGmCnLfyzGF39+q+iqYS3vTS+3ypKtj5NA9Tn648L9BhA==" saltValue="f/8YaB6yIVcP2oIgOztCg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47029987.44047907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tillæg'!C13</f>
        <v>77592.212100000004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tillæg'!E13</f>
        <v>140691.75570000001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155919.29564732092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-649308.57938667305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drift'!G38</f>
        <v>-257054.54363798947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-556306.24154593935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45941521.339355789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1250760.97064697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1175046.7974192607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-79865.390414089896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48287463.717007928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MNUCxnL6uhrOHLa+ftn1AU37UhUF6d7e+mA4Ha5sRmBptIvXKQmRY4bG5wXdof0GEyAnYBie1HWsep6Ww8c4oA==" saltValue="f+ONgOPLrIKpxL1msOQv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45941521.339355789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151607.02041987411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-631350.58842581557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drift'!G45</f>
        <v>-252744.76715935496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-549881.54977132403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44659151.454419166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1252776.891050105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1178924.4518507442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47090852.797320016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6DI/Tn/ADPh3hKQyYtt6y+M7Dx+gZ/rBxf9g0Tk/DZEO+cBDdmwwESKPBRKeEC7/rgMldFYqKGQ6dsLDeAjCeQ==" saltValue="8oBocn5Voz6ITTX/QeOE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44659151.454419166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147375.19979958324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-613727.64173552569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drift'!G53</f>
        <v>-248507.24839316122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-543531.05573406303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43400760.708356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1254799.4639905705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1182814.9025418519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45838375.074888423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EVI1opLeIcYRABMjEnX3Aqgm5+TR8VybApnqJWImr0JukfroHRHcPx+5YY2KDdk9r6cHaYgz4CwipLNB0didA==" saltValue="fDk4xUzT1dz+CCdmO79h/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43400760.708356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143222.51033757481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-596434.22796004452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drift'!G59</f>
        <v>-244340.7758666015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-537253.90253635938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42165954.312330574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1256828.7114217393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1186718.1917202401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44609501.215472557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oLZQqTzVwbCEcP388JlZW9TMzcIvOxUjTqbrYdWnAxPzrWJxI0BvibY7UVs6eGsIHJR7T//KTR9Es3cF57+OcQ==" saltValue="oUSWR4yEga5dNOEMxnGN8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48116881.703204602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94857.310799999992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204697.20600000001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951557.13465809065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-987359.86709325388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drift'!G32</f>
        <v>-259854.29542712198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-1090791.7516632478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6"/>
      <c r="E20" s="10">
        <f>SUM(E9:E19)</f>
        <v>47029987.44047907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1268003.32918068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9" t="s">
        <v>94</v>
      </c>
      <c r="C24" s="42"/>
      <c r="D24" s="43"/>
      <c r="E24" s="10">
        <v>1185818.3374501681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4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4">
        <v>-4049454.9018635154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228375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45662729.205246404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U74nTQ2taanb2VC4F94b2mZCosbU6J7juEo1Xs6rpMNPQQZDmLPV0qo8w5k/og8QlHuxqS03KYAxR6OclFaOA==" saltValue="jZHj136jRL6MwcMBZy0Yn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2" t="s">
        <v>130</v>
      </c>
      <c r="C1" s="102"/>
      <c r="D1" s="102"/>
      <c r="E1" s="102"/>
      <c r="F1" s="102"/>
      <c r="G1" s="102"/>
      <c r="H1" s="102"/>
      <c r="I1" s="1"/>
    </row>
    <row r="2" spans="1:9" ht="28.5" customHeight="1" x14ac:dyDescent="0.45">
      <c r="A2" s="1"/>
      <c r="B2" s="102"/>
      <c r="C2" s="102"/>
      <c r="D2" s="102"/>
      <c r="E2" s="102"/>
      <c r="F2" s="102"/>
      <c r="G2" s="102"/>
      <c r="H2" s="102"/>
      <c r="I2" s="1"/>
    </row>
    <row r="3" spans="1:9" x14ac:dyDescent="0.45">
      <c r="A3" s="1"/>
      <c r="B3" s="94" t="s">
        <v>56</v>
      </c>
      <c r="C3" s="95"/>
      <c r="D3" s="95"/>
      <c r="E3" s="95"/>
      <c r="F3" s="95"/>
      <c r="G3" s="95"/>
      <c r="H3" s="96"/>
      <c r="I3" s="1"/>
    </row>
    <row r="4" spans="1:9" x14ac:dyDescent="0.45">
      <c r="A4" s="1"/>
      <c r="B4" s="103" t="s">
        <v>45</v>
      </c>
      <c r="C4" s="104"/>
      <c r="D4" s="104"/>
      <c r="E4" s="104"/>
      <c r="F4" s="105"/>
      <c r="G4" s="24">
        <v>13036459</v>
      </c>
      <c r="H4" s="14" t="s">
        <v>3</v>
      </c>
      <c r="I4" s="1"/>
    </row>
    <row r="5" spans="1:9" x14ac:dyDescent="0.45">
      <c r="A5" s="1"/>
      <c r="B5" s="97" t="s">
        <v>145</v>
      </c>
      <c r="C5" s="98"/>
      <c r="D5" s="98"/>
      <c r="E5" s="98"/>
      <c r="F5" s="99"/>
      <c r="G5" s="24">
        <v>1161954</v>
      </c>
      <c r="H5" s="14" t="s">
        <v>3</v>
      </c>
      <c r="I5" s="1"/>
    </row>
    <row r="6" spans="1:9" x14ac:dyDescent="0.45">
      <c r="A6" s="1"/>
      <c r="B6" s="103" t="s">
        <v>46</v>
      </c>
      <c r="C6" s="104"/>
      <c r="D6" s="104"/>
      <c r="E6" s="104"/>
      <c r="F6" s="105"/>
      <c r="G6" s="24">
        <f>SUM(G4:G5)*'Fane 14. Nøgletal'!C29</f>
        <v>283968.26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57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47</v>
      </c>
      <c r="C10" s="104"/>
      <c r="D10" s="104"/>
      <c r="E10" s="104"/>
      <c r="F10" s="105"/>
      <c r="G10" s="24">
        <f>(G4-G6)*(1+'Fane 14. Nøgletal'!C10)</f>
        <v>12975659.327950001</v>
      </c>
      <c r="H10" s="14" t="s">
        <v>3</v>
      </c>
      <c r="I10" s="1"/>
    </row>
    <row r="11" spans="1:9" ht="15" customHeight="1" x14ac:dyDescent="0.45">
      <c r="A11" s="1"/>
      <c r="B11" s="103" t="s">
        <v>146</v>
      </c>
      <c r="C11" s="104"/>
      <c r="D11" s="104"/>
      <c r="E11" s="104"/>
      <c r="F11" s="105"/>
      <c r="G11" s="24">
        <v>0.33991893790196631</v>
      </c>
      <c r="H11" s="14" t="s">
        <v>3</v>
      </c>
      <c r="I11" s="1"/>
    </row>
    <row r="12" spans="1:9" x14ac:dyDescent="0.45">
      <c r="A12" s="1"/>
      <c r="B12" s="97" t="s">
        <v>143</v>
      </c>
      <c r="C12" s="98"/>
      <c r="D12" s="98"/>
      <c r="E12" s="98"/>
      <c r="F12" s="99"/>
      <c r="G12" s="24">
        <v>1182288.1950000001</v>
      </c>
      <c r="H12" s="14" t="s">
        <v>3</v>
      </c>
      <c r="I12" s="1"/>
    </row>
    <row r="13" spans="1:9" x14ac:dyDescent="0.45">
      <c r="A13" s="1"/>
      <c r="B13" s="106" t="s">
        <v>48</v>
      </c>
      <c r="C13" s="107"/>
      <c r="D13" s="107"/>
      <c r="E13" s="107"/>
      <c r="F13" s="108"/>
      <c r="G13" s="9">
        <v>0</v>
      </c>
      <c r="H13" s="14" t="s">
        <v>3</v>
      </c>
      <c r="I13" s="1"/>
    </row>
    <row r="14" spans="1:9" x14ac:dyDescent="0.45">
      <c r="A14" s="1"/>
      <c r="B14" s="103" t="s">
        <v>49</v>
      </c>
      <c r="C14" s="104"/>
      <c r="D14" s="104"/>
      <c r="E14" s="104"/>
      <c r="F14" s="105"/>
      <c r="G14" s="24">
        <f>SUM(G10:G13)*'Fane 14. Nøgletal'!C29</f>
        <v>283158.95725737879</v>
      </c>
      <c r="H14" s="14" t="s">
        <v>3</v>
      </c>
      <c r="I14" s="1"/>
    </row>
    <row r="15" spans="1:9" x14ac:dyDescent="0.4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4" t="s">
        <v>58</v>
      </c>
      <c r="C17" s="95"/>
      <c r="D17" s="95"/>
      <c r="E17" s="95"/>
      <c r="F17" s="95"/>
      <c r="G17" s="95"/>
      <c r="H17" s="96"/>
      <c r="I17" s="1"/>
    </row>
    <row r="18" spans="1:9" x14ac:dyDescent="0.45">
      <c r="A18" s="1"/>
      <c r="B18" s="103" t="s">
        <v>50</v>
      </c>
      <c r="C18" s="104"/>
      <c r="D18" s="104"/>
      <c r="E18" s="104"/>
      <c r="F18" s="105"/>
      <c r="G18" s="24">
        <f>(SUM(G10:G11,G13)-(G14))*(1+'Fane 14. Nøgletal'!C10)</f>
        <v>12914619.473047262</v>
      </c>
      <c r="H18" s="14" t="s">
        <v>3</v>
      </c>
      <c r="I18" s="1"/>
    </row>
    <row r="19" spans="1:9" x14ac:dyDescent="0.45">
      <c r="A19" s="1"/>
      <c r="B19" s="106" t="s">
        <v>51</v>
      </c>
      <c r="C19" s="107"/>
      <c r="D19" s="107"/>
      <c r="E19" s="107"/>
      <c r="F19" s="108"/>
      <c r="G19" s="9">
        <v>0</v>
      </c>
      <c r="H19" s="14" t="s">
        <v>3</v>
      </c>
      <c r="I19" s="1"/>
    </row>
    <row r="20" spans="1:9" x14ac:dyDescent="0.45">
      <c r="A20" s="1"/>
      <c r="B20" s="103" t="s">
        <v>52</v>
      </c>
      <c r="C20" s="104"/>
      <c r="D20" s="104"/>
      <c r="E20" s="104"/>
      <c r="F20" s="105"/>
      <c r="G20" s="24">
        <f>SUM(G18:G19)*'Fane 14. Nøgletal'!C29</f>
        <v>258292.38946094524</v>
      </c>
      <c r="H20" s="14" t="s">
        <v>3</v>
      </c>
      <c r="I20" s="1"/>
    </row>
    <row r="21" spans="1:9" x14ac:dyDescent="0.4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4" t="s">
        <v>59</v>
      </c>
      <c r="C23" s="95"/>
      <c r="D23" s="95"/>
      <c r="E23" s="95"/>
      <c r="F23" s="95"/>
      <c r="G23" s="95"/>
      <c r="H23" s="96"/>
      <c r="I23" s="1"/>
    </row>
    <row r="24" spans="1:9" x14ac:dyDescent="0.45">
      <c r="A24" s="1"/>
      <c r="B24" s="103" t="s">
        <v>53</v>
      </c>
      <c r="C24" s="104"/>
      <c r="D24" s="104"/>
      <c r="E24" s="104"/>
      <c r="F24" s="105"/>
      <c r="G24" s="24">
        <f>(G18+G19-G20)*(1+'Fane 14. Nøgletal'!C12)</f>
        <v>12905656.727132967</v>
      </c>
      <c r="H24" s="14" t="s">
        <v>3</v>
      </c>
      <c r="I24" s="1"/>
    </row>
    <row r="25" spans="1:9" x14ac:dyDescent="0.45">
      <c r="A25" s="1"/>
      <c r="B25" s="106" t="s">
        <v>54</v>
      </c>
      <c r="C25" s="107"/>
      <c r="D25" s="107"/>
      <c r="E25" s="107"/>
      <c r="F25" s="108"/>
      <c r="G25" s="9">
        <v>0</v>
      </c>
      <c r="H25" s="14" t="s">
        <v>3</v>
      </c>
      <c r="I25" s="1"/>
    </row>
    <row r="26" spans="1:9" x14ac:dyDescent="0.45">
      <c r="A26" s="1"/>
      <c r="B26" s="103" t="s">
        <v>55</v>
      </c>
      <c r="C26" s="104"/>
      <c r="D26" s="104"/>
      <c r="E26" s="104"/>
      <c r="F26" s="105"/>
      <c r="G26" s="24">
        <f>(G24+G25)*'Fane 14. Nøgletal'!C29</f>
        <v>258113.13454265933</v>
      </c>
      <c r="H26" s="14" t="s">
        <v>3</v>
      </c>
      <c r="I26" s="1"/>
    </row>
    <row r="27" spans="1:9" x14ac:dyDescent="0.4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4" t="s">
        <v>62</v>
      </c>
      <c r="C29" s="95"/>
      <c r="D29" s="95"/>
      <c r="E29" s="95"/>
      <c r="F29" s="95"/>
      <c r="G29" s="95"/>
      <c r="H29" s="96"/>
      <c r="I29" s="1"/>
    </row>
    <row r="30" spans="1:9" x14ac:dyDescent="0.45">
      <c r="A30" s="1"/>
      <c r="B30" s="103" t="s">
        <v>63</v>
      </c>
      <c r="C30" s="104"/>
      <c r="D30" s="104"/>
      <c r="E30" s="104"/>
      <c r="F30" s="105"/>
      <c r="G30" s="24">
        <f>(G24+G25-G26)*(1+'Fane 14. Nøgletal'!C12)</f>
        <v>12896700.201364338</v>
      </c>
      <c r="H30" s="14" t="s">
        <v>3</v>
      </c>
      <c r="I30" s="1"/>
    </row>
    <row r="31" spans="1:9" x14ac:dyDescent="0.45">
      <c r="A31" s="1"/>
      <c r="B31" s="103" t="s">
        <v>171</v>
      </c>
      <c r="C31" s="104"/>
      <c r="D31" s="104"/>
      <c r="E31" s="104"/>
      <c r="F31" s="105"/>
      <c r="G31" s="24">
        <v>96014.569991759985</v>
      </c>
      <c r="H31" s="14" t="s">
        <v>3</v>
      </c>
      <c r="I31" s="1"/>
    </row>
    <row r="32" spans="1:9" x14ac:dyDescent="0.45">
      <c r="A32" s="1"/>
      <c r="B32" s="103" t="s">
        <v>64</v>
      </c>
      <c r="C32" s="104"/>
      <c r="D32" s="104"/>
      <c r="E32" s="104"/>
      <c r="F32" s="105"/>
      <c r="G32" s="24">
        <f>(G30+G31)*'Fane 14. Nøgletal'!C29</f>
        <v>259854.29542712198</v>
      </c>
      <c r="H32" s="14" t="s">
        <v>3</v>
      </c>
      <c r="I32" s="1"/>
    </row>
    <row r="33" spans="1:9" x14ac:dyDescent="0.4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4" t="s">
        <v>232</v>
      </c>
      <c r="C35" s="95"/>
      <c r="D35" s="95"/>
      <c r="E35" s="95"/>
      <c r="F35" s="95"/>
      <c r="G35" s="95"/>
      <c r="H35" s="96"/>
      <c r="I35" s="1"/>
    </row>
    <row r="36" spans="1:9" x14ac:dyDescent="0.45">
      <c r="A36" s="1"/>
      <c r="B36" s="103" t="s">
        <v>84</v>
      </c>
      <c r="C36" s="104"/>
      <c r="D36" s="104"/>
      <c r="E36" s="104"/>
      <c r="F36" s="105"/>
      <c r="G36" s="24">
        <f>(G30+G31-G32)*(1+'Fane 14. Nøgletal'!C14)</f>
        <v>12774878.915499544</v>
      </c>
      <c r="H36" s="14" t="s">
        <v>3</v>
      </c>
      <c r="I36" s="1"/>
    </row>
    <row r="37" spans="1:9" x14ac:dyDescent="0.45">
      <c r="A37" s="1"/>
      <c r="B37" s="103" t="s">
        <v>236</v>
      </c>
      <c r="C37" s="104"/>
      <c r="D37" s="104"/>
      <c r="E37" s="104"/>
      <c r="F37" s="105"/>
      <c r="G37" s="24">
        <f>SUM('Fane 2.1. Økonomisk ramme 2022'!C10,'Fane 2.1. Økonomisk ramme 2022'!C12,'Fane 2.1. Økonomisk ramme 2022'!C14)*(1+'Fane 14. Nøgletal'!C14)</f>
        <v>77848.266399930013</v>
      </c>
      <c r="H37" s="14" t="s">
        <v>3</v>
      </c>
      <c r="I37" s="1"/>
    </row>
    <row r="38" spans="1:9" x14ac:dyDescent="0.45">
      <c r="A38" s="1"/>
      <c r="B38" s="103" t="s">
        <v>234</v>
      </c>
      <c r="C38" s="104"/>
      <c r="D38" s="104"/>
      <c r="E38" s="104"/>
      <c r="F38" s="105"/>
      <c r="G38" s="24">
        <f>(G36+G37)*'Fane 14. Nøgletal'!C29</f>
        <v>257054.54363798947</v>
      </c>
      <c r="H38" s="14" t="s">
        <v>3</v>
      </c>
      <c r="I38" s="1"/>
    </row>
    <row r="39" spans="1:9" x14ac:dyDescent="0.4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4" t="s">
        <v>233</v>
      </c>
      <c r="C41" s="95"/>
      <c r="D41" s="95"/>
      <c r="E41" s="95"/>
      <c r="F41" s="95"/>
      <c r="G41" s="95"/>
      <c r="H41" s="96"/>
      <c r="I41" s="1"/>
    </row>
    <row r="42" spans="1:9" x14ac:dyDescent="0.45">
      <c r="A42" s="1"/>
      <c r="B42" s="103" t="s">
        <v>83</v>
      </c>
      <c r="C42" s="104"/>
      <c r="D42" s="104"/>
      <c r="E42" s="104"/>
      <c r="F42" s="105"/>
      <c r="G42" s="24">
        <f>(G36+G37-G38)*(1+'Fane 14. Nøgletal'!C14)</f>
        <v>12637238.357967747</v>
      </c>
      <c r="H42" s="14" t="s">
        <v>3</v>
      </c>
      <c r="I42" s="1"/>
    </row>
    <row r="43" spans="1:9" x14ac:dyDescent="0.45">
      <c r="A43" s="1"/>
      <c r="B43" s="109" t="s">
        <v>237</v>
      </c>
      <c r="C43" s="110"/>
      <c r="D43" s="110"/>
      <c r="E43" s="110"/>
      <c r="F43" s="111"/>
      <c r="G43" s="24">
        <f>G37*(1+'Fane 14. Nøgletal'!C14)</f>
        <v>78105.165679049795</v>
      </c>
      <c r="H43" s="14" t="s">
        <v>3</v>
      </c>
      <c r="I43" s="1"/>
    </row>
    <row r="44" spans="1:9" x14ac:dyDescent="0.45">
      <c r="A44" s="1"/>
      <c r="B44" s="103" t="s">
        <v>97</v>
      </c>
      <c r="C44" s="104"/>
      <c r="D44" s="104"/>
      <c r="E44" s="104"/>
      <c r="F44" s="105"/>
      <c r="G44" s="9">
        <f>-'Fane 13. Bortfald'!C18*(1+'Fane 14. Nøgletal'!C14)</f>
        <v>0</v>
      </c>
      <c r="H44" s="14" t="s">
        <v>3</v>
      </c>
      <c r="I44" s="1"/>
    </row>
    <row r="45" spans="1:9" x14ac:dyDescent="0.45">
      <c r="A45" s="1"/>
      <c r="B45" s="103" t="s">
        <v>235</v>
      </c>
      <c r="C45" s="104"/>
      <c r="D45" s="104"/>
      <c r="E45" s="104"/>
      <c r="F45" s="105"/>
      <c r="G45" s="24">
        <f>(G42+G44)*'Fane 14. Nøgletal'!C29</f>
        <v>252744.76715935496</v>
      </c>
      <c r="H45" s="14" t="s">
        <v>3</v>
      </c>
      <c r="I45" s="1"/>
    </row>
    <row r="46" spans="1:9" x14ac:dyDescent="0.4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94" t="s">
        <v>172</v>
      </c>
      <c r="C50" s="95"/>
      <c r="D50" s="95"/>
      <c r="E50" s="95"/>
      <c r="F50" s="95"/>
      <c r="G50" s="95"/>
      <c r="H50" s="96"/>
      <c r="I50" s="1"/>
    </row>
    <row r="51" spans="1:9" x14ac:dyDescent="0.45">
      <c r="A51" s="1"/>
      <c r="B51" s="103" t="s">
        <v>173</v>
      </c>
      <c r="C51" s="104"/>
      <c r="D51" s="104"/>
      <c r="E51" s="104"/>
      <c r="F51" s="105"/>
      <c r="G51" s="24">
        <f>(G42+G44-G45)*(1+'Fane 14. Nøgletal'!C14)</f>
        <v>12425362.419658061</v>
      </c>
      <c r="H51" s="14" t="s">
        <v>3</v>
      </c>
      <c r="I51" s="1"/>
    </row>
    <row r="52" spans="1:9" x14ac:dyDescent="0.45">
      <c r="A52" s="1"/>
      <c r="B52" s="103" t="s">
        <v>174</v>
      </c>
      <c r="C52" s="104"/>
      <c r="D52" s="104"/>
      <c r="E52" s="104"/>
      <c r="F52" s="105"/>
      <c r="G52" s="9">
        <f>-'Fane 13. Bortfald'!C24*(1+'Fane 14. Nøgletal'!C14)</f>
        <v>0</v>
      </c>
      <c r="H52" s="14" t="s">
        <v>3</v>
      </c>
      <c r="I52" s="1"/>
    </row>
    <row r="53" spans="1:9" x14ac:dyDescent="0.45">
      <c r="A53" s="1"/>
      <c r="B53" s="103" t="s">
        <v>175</v>
      </c>
      <c r="C53" s="104"/>
      <c r="D53" s="104"/>
      <c r="E53" s="104"/>
      <c r="F53" s="105"/>
      <c r="G53" s="24">
        <f>(G51+G52)*'Fane 14. Nøgletal'!C29</f>
        <v>248507.24839316122</v>
      </c>
      <c r="H53" s="14" t="s">
        <v>3</v>
      </c>
      <c r="I53" s="1"/>
    </row>
    <row r="54" spans="1:9" x14ac:dyDescent="0.45">
      <c r="A54" s="1"/>
      <c r="B54" s="38"/>
      <c r="C54" s="32"/>
      <c r="D54" s="32"/>
      <c r="E54" s="32"/>
      <c r="F54" s="32"/>
      <c r="G54" s="32"/>
      <c r="H54" s="20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56" t="s">
        <v>201</v>
      </c>
      <c r="C56" s="57"/>
      <c r="D56" s="57"/>
      <c r="E56" s="57"/>
      <c r="F56" s="57"/>
      <c r="G56" s="57"/>
      <c r="H56" s="58"/>
      <c r="I56" s="1"/>
    </row>
    <row r="57" spans="1:9" x14ac:dyDescent="0.45">
      <c r="A57" s="1"/>
      <c r="B57" s="61" t="s">
        <v>202</v>
      </c>
      <c r="C57" s="62"/>
      <c r="D57" s="62"/>
      <c r="E57" s="62"/>
      <c r="F57" s="63"/>
      <c r="G57" s="24">
        <f>(G51+G52-G53)*(1+'Fane 14. Nøgletal'!C14)</f>
        <v>12217038.793330075</v>
      </c>
      <c r="H57" s="14" t="s">
        <v>3</v>
      </c>
      <c r="I57" s="1"/>
    </row>
    <row r="58" spans="1:9" x14ac:dyDescent="0.45">
      <c r="A58" s="1"/>
      <c r="B58" s="61" t="s">
        <v>203</v>
      </c>
      <c r="C58" s="62"/>
      <c r="D58" s="62"/>
      <c r="E58" s="62"/>
      <c r="F58" s="63"/>
      <c r="G58" s="9">
        <f>-'Fane 13. Bortfald'!C30*(1+'Fane 14. Nøgletal'!C14)</f>
        <v>0</v>
      </c>
      <c r="H58" s="14" t="s">
        <v>3</v>
      </c>
      <c r="I58" s="1"/>
    </row>
    <row r="59" spans="1:9" x14ac:dyDescent="0.45">
      <c r="A59" s="1"/>
      <c r="B59" s="61" t="s">
        <v>204</v>
      </c>
      <c r="C59" s="62"/>
      <c r="D59" s="62"/>
      <c r="E59" s="62"/>
      <c r="F59" s="63"/>
      <c r="G59" s="24">
        <f>(G57+G58)*'Fane 14. Nøgletal'!C29</f>
        <v>244340.7758666015</v>
      </c>
      <c r="H59" s="14" t="s">
        <v>3</v>
      </c>
      <c r="I59" s="1"/>
    </row>
    <row r="60" spans="1:9" x14ac:dyDescent="0.45">
      <c r="A60" s="1"/>
      <c r="B60" s="38"/>
      <c r="C60" s="32"/>
      <c r="D60" s="32"/>
      <c r="E60" s="32"/>
      <c r="F60" s="32"/>
      <c r="G60" s="32"/>
      <c r="H60" s="20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4g3Wh3XD06TTjUq8tUjj/EyvySo+g5Oii6GSiDcLlpN2Db8cCOel/hPeD73J9z8W7L+OGS2SX8krjkW6kfaFsg==" saltValue="lZTW+aTndwyyqws1PWStHg==" spinCount="100000" sheet="1" objects="1" scenarios="1"/>
  <mergeCells count="36">
    <mergeCell ref="B50:H50"/>
    <mergeCell ref="B51:F51"/>
    <mergeCell ref="B52:F52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3:F53"/>
    <mergeCell ref="B11:F11"/>
    <mergeCell ref="B12:F12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36:F36"/>
    <mergeCell ref="B10:F10"/>
    <mergeCell ref="B9:H9"/>
    <mergeCell ref="B5:F5"/>
    <mergeCell ref="B1:H2"/>
    <mergeCell ref="B23:H23"/>
    <mergeCell ref="B3:H3"/>
    <mergeCell ref="B4:F4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37785686.545511924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343849.74756415852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38097068.941911854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-48912.905639961027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673452.3618420125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38028760.988732405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319624.48710928991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675889.80253841437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38414643.838067353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149976.27173124091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1095235.2111182802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38207531.781184316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207194.5119132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1090791.7516632478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37447103.525421008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141156.03849381002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556306.24154593935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37154158.768332705</v>
      </c>
      <c r="H41" s="14" t="s">
        <v>3</v>
      </c>
      <c r="I41" s="1"/>
    </row>
    <row r="42" spans="1:9" x14ac:dyDescent="0.45">
      <c r="A42" s="1"/>
      <c r="B42" s="46" t="s">
        <v>242</v>
      </c>
      <c r="C42" s="62"/>
      <c r="D42" s="62"/>
      <c r="E42" s="62"/>
      <c r="F42" s="63"/>
      <c r="G42" s="24">
        <f>G36*(1+'Fane 14. Nøgletal'!C14)</f>
        <v>141621.85342083962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549881.54977132403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36725071.333382636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543531.05573406303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36300939.36056482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537253.90253635938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A9fpaSC6k7APHHOW9nUv5/PvBvStzJWfF04NYvr0sVYcbYKoOdgvbKBP/PFL2oClTC1BGLsLoQ03ZAYRz+U/fg==" saltValue="XlmOIS8h85u9Ja1u5dPnE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3.4049838479992731E-3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7.9299785640742915E-3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0.02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1.369728223907622E-2</v>
      </c>
      <c r="H12" s="45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N09merlK/wKi4cSdP1voIHHzGN+QaFKWDMSAQh46HPkLC4SV1A+YtmbYXKYZd9x5Hth5EMsztK6c19N2ebztA==" saltValue="qgSm+wuyQY6roTaZ59zwq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2021-09-13T00:56:43Z</dcterms:modified>
</cp:coreProperties>
</file>