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Hvidovre AS (V090)\ØR2024\"/>
    </mc:Choice>
  </mc:AlternateContent>
  <xr:revisionPtr revIDLastSave="0" documentId="13_ncr:1_{537EFD48-25D1-4BDE-B29D-069E669453F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37" l="1"/>
  <c r="C18" i="37" s="1"/>
  <c r="E23" i="41" l="1"/>
  <c r="E27" i="41" l="1"/>
  <c r="C29" i="2" s="1"/>
  <c r="E31" i="41"/>
  <c r="E33" i="41" s="1"/>
  <c r="C8" i="2"/>
  <c r="C17" i="15" l="1"/>
  <c r="C17" i="22"/>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<sst xmlns="http://schemas.openxmlformats.org/spreadsheetml/2006/main" count="551" uniqueCount="264">
  <si>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</si>
  <si>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</si>
  <si>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</si>
  <si>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</si>
  <si>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</si>
  <si>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</si>
  <si>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</si>
  <si>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</si>
  <si>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</si>
  <si>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</si>
  <si>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</si>
  <si>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</si>
  <si>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</si>
  <si>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</si>
  <si>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</si>
  <si>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</si>
  <si>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</si>
  <si>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</si>
  <si>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</si>
  <si>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</si>
  <si>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</si>
  <si>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</si>
  <si>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</si>
  <si>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</si>
  <si>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</si>
  <si>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</si>
  <si>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</si>
  <si>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</si>
  <si>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</si>
  <si>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</si>
  <si>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</si>
  <si>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</si>
  <si>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</si>
  <si>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</si>
  <si>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</si>
  <si>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</si>
  <si>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</si>
  <si>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</si>
  <si>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</si>
  <si>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</si>
  <si>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</si>
  <si>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</si>
  <si>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</si>
  <si>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</si>
  <si>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</si>
  <si>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</si>
  <si>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</si>
  <si>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</si>
  <si>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</si>
  <si>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</si>
  <si>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</si>
  <si>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</si>
  <si>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</si>
  <si>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</si>
  <si>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</si>
  <si>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</si>
  <si>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</si>
  <si>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</si>
  <si>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</si>
  <si>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</si>
  <si>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</si>
  <si>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</si>
  <si>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</si>
  <si>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</si>
  <si>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</si>
  <si>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</si>
  <si>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</si>
  <si>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</si>
  <si>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</si>
  <si>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</si>
  <si>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</si>
  <si>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</si>
  <si>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</si>
  <si>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</si>
  <si>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</si>
  <si>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</si>
  <si>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</si>
  <si>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</si>
  <si>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</si>
  <si>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</si>
  <si>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</si>
  <si>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</si>
  <si>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</si>
  <si>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</si>
  <si>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</si>
  <si>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</si>
  <si>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</si>
  <si>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</si>
  <si>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</si>
  <si>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</si>
  <si>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</si>
  <si>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</si>
  <si>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</si>
  <si>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</si>
  <si>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</si>
  <si>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</si>
  <si>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</si>
  <si>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</si>
  <si>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</si>
  <si>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</si>
  <si>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</si>
  <si>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</si>
  <si>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</si>
  <si>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</si>
  <si>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</si>
  <si>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</si>
  <si>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</si>
  <si>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</si>
  <si>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</si>
  <si>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</si>
  <si>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</si>
  <si>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</si>
  <si>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</si>
  <si>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</si>
  <si>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</si>
  <si>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</si>
  <si>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</si>
  <si>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</si>
  <si>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</si>
  <si>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</si>
  <si>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</si>
  <si>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</si>
  <si>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</si>
  <si>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</si>
  <si>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</si>
  <si>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</si>
  <si>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</si>
  <si>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</si>
  <si>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</si>
  <si>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</si>
  <si>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</si>
  <si>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</si>
  <si>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</si>
  <si>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</si>
  <si>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</si>
  <si>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</si>
  <si>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</si>
  <si>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</si>
  <si>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</si>
  <si>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</si>
  <si>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</si>
  <si>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</si>
  <si>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</si>
  <si>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</si>
  <si>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</si>
  <si>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</si>
  <si>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</si>
  <si>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</si>
  <si>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</si>
  <si>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</si>
  <si>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</si>
  <si>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</si>
  <si>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</si>
  <si>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</si>
  <si>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</si>
  <si>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</si>
  <si>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</si>
  <si>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</si>
  <si>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</si>
  <si>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</si>
  <si>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</si>
  <si>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</si>
  <si>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</si>
  <si>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</si>
  <si>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</si>
  <si>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</si>
  <si>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</si>
  <si>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</si>
  <si>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</si>
  <si>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</si>
  <si>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</si>
  <si>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</si>
  <si>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</si>
  <si>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</si>
  <si>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</si>
  <si>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</si>
  <si>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</si>
  <si>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</si>
  <si>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</si>
  <si>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</si>
  <si>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</si>
  <si>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</si>
  <si>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</si>
  <si>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</si>
  <si>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</si>
  <si>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</si>
  <si>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</si>
  <si>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</si>
  <si>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</si>
  <si>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</si>
  <si>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</si>
  <si>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</si>
  <si>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</si>
  <si>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</si>
  <si>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</si>
  <si>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</si>
  <si>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</si>
  <si>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</si>
  <si>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</si>
  <si>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</si>
  <si>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</si>
  <si>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</si>
  <si>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</si>
  <si>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</si>
  <si>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</si>
  <si>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</si>
  <si>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</si>
  <si>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</si>
  <si>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</si>
  <si>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</si>
  <si>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</si>
  <si>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</si>
  <si>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</si>
  <si>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</si>
  <si>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</si>
  <si>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</si>
  <si>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</si>
  <si>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</si>
  <si>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</si>
  <si>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</si>
  <si>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</si>
  <si>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</si>
  <si>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</si>
  <si>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</si>
  <si>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</si>
  <si>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</si>
  <si>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</si>
  <si>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</si>
  <si>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</si>
  <si>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</si>
  <si>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</si>
  <si>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</si>
  <si>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</si>
  <si>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</si>
  <si>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</si>
  <si>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</si>
  <si>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</si>
  <si>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</si>
  <si>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</si>
  <si>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</si>
  <si>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</si>
  <si>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</si>
  <si>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</si>
  <si>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 xml:space="preserve"> Catherine Boothsvej</t>
  </si>
  <si>
    <t>Øget antal forbrugere</t>
  </si>
  <si>
    <t>Afgift for ledningsført vand</t>
  </si>
  <si>
    <t>Afgift til Forsyningssekretariatet</t>
  </si>
  <si>
    <t>Køb af ydelser og produkter fra andre vandselskaber reguleret af vandsektorloven</t>
  </si>
  <si>
    <t>Ejendomsskat</t>
  </si>
  <si>
    <t>Tjenestemandspensioner</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</si>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</sst>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0" fontId="8" fillId="8" borderId="1" xfId="0" applyNumberFormat="1" applyFont="1" applyFill="1" applyBorder="1" applyProtection="1"/>
    <xf numFmtId="0" fontId="8" fillId="8" borderId="1" xfId="1" applyNumberFormat="1" applyFont="1" applyFill="1" applyBorder="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5" xfId="4" applyNumberFormat="1"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row r="3">
          <cell r="A3" t="str">
            <v>S016</v>
          </cell>
        </row>
      </sheetData>
      <sheetData sheetId="5">
        <row r="1">
          <cell r="A1" t="str">
            <v>ØR 2020-2023 samt statusmeddelelser</v>
          </cell>
        </row>
      </sheetData>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0" t="s">
        <v>4</v>
      </c>
      <c r="E6" s="90"/>
      <c r="F6" s="90"/>
      <c r="G6" s="90"/>
      <c r="H6" s="3"/>
      <c r="I6" s="1"/>
    </row>
    <row r="7" spans="1:9" ht="15" customHeight="1" x14ac:dyDescent="0.25">
      <c r="A7" s="1"/>
      <c r="B7" s="1"/>
      <c r="C7" s="3"/>
      <c r="D7" s="90"/>
      <c r="E7" s="90"/>
      <c r="F7" s="90"/>
      <c r="G7" s="90"/>
      <c r="H7" s="3"/>
      <c r="I7" s="1"/>
    </row>
    <row r="8" spans="1:9" ht="15.75" x14ac:dyDescent="0.25">
      <c r="A8" s="1"/>
      <c r="B8" s="1"/>
      <c r="C8" s="4"/>
      <c r="D8" s="92" t="s">
        <v>235</v>
      </c>
      <c r="E8" s="92"/>
      <c r="F8" s="92"/>
      <c r="G8" s="92"/>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1" t="s">
        <v>5</v>
      </c>
      <c r="E11" s="91"/>
      <c r="F11" s="91"/>
      <c r="G11" s="91"/>
      <c r="H11" s="5"/>
      <c r="I11" s="1"/>
    </row>
    <row r="12" spans="1:9" x14ac:dyDescent="0.25">
      <c r="A12" s="1"/>
      <c r="B12" s="1"/>
      <c r="C12" s="1"/>
      <c r="D12" s="1"/>
      <c r="E12" s="1"/>
      <c r="F12" s="1"/>
      <c r="G12" s="1"/>
      <c r="H12" s="1"/>
      <c r="I12" s="1"/>
    </row>
    <row r="13" spans="1:9" x14ac:dyDescent="0.25">
      <c r="A13" s="1"/>
      <c r="B13" s="1"/>
      <c r="C13" s="6" t="s">
        <v>6</v>
      </c>
      <c r="D13" s="87" t="s">
        <v>162</v>
      </c>
      <c r="E13" s="88"/>
      <c r="F13" s="88"/>
      <c r="G13" s="89"/>
      <c r="H13" s="1"/>
      <c r="I13" s="1"/>
    </row>
    <row r="14" spans="1:9" x14ac:dyDescent="0.25">
      <c r="A14" s="1"/>
      <c r="B14" s="1"/>
      <c r="C14" s="6" t="s">
        <v>14</v>
      </c>
      <c r="D14" s="87" t="s">
        <v>197</v>
      </c>
      <c r="E14" s="88"/>
      <c r="F14" s="88"/>
      <c r="G14" s="89"/>
      <c r="H14" s="1"/>
      <c r="I14" s="1"/>
    </row>
    <row r="15" spans="1:9" x14ac:dyDescent="0.25">
      <c r="A15" s="1"/>
      <c r="B15" s="1"/>
      <c r="C15" s="6" t="s">
        <v>30</v>
      </c>
      <c r="D15" s="87" t="s">
        <v>141</v>
      </c>
      <c r="E15" s="88"/>
      <c r="F15" s="88"/>
      <c r="G15" s="89"/>
      <c r="H15" s="1"/>
      <c r="I15" s="1"/>
    </row>
    <row r="16" spans="1:9" x14ac:dyDescent="0.25">
      <c r="A16" s="1"/>
      <c r="B16" s="1"/>
      <c r="C16" s="6" t="s">
        <v>31</v>
      </c>
      <c r="D16" s="87" t="s">
        <v>194</v>
      </c>
      <c r="E16" s="88"/>
      <c r="F16" s="88"/>
      <c r="G16" s="89"/>
      <c r="H16" s="1"/>
      <c r="I16" s="1"/>
    </row>
    <row r="17" spans="1:9" x14ac:dyDescent="0.25">
      <c r="A17" s="1"/>
      <c r="B17" s="1"/>
      <c r="C17" s="6" t="s">
        <v>102</v>
      </c>
      <c r="D17" s="87" t="s">
        <v>195</v>
      </c>
      <c r="E17" s="88"/>
      <c r="F17" s="88"/>
      <c r="G17" s="89"/>
      <c r="H17" s="1"/>
      <c r="I17" s="1"/>
    </row>
    <row r="18" spans="1:9" x14ac:dyDescent="0.25">
      <c r="A18" s="1"/>
      <c r="B18" s="1"/>
      <c r="C18" s="6" t="s">
        <v>86</v>
      </c>
      <c r="D18" s="93" t="s">
        <v>79</v>
      </c>
      <c r="E18" s="94"/>
      <c r="F18" s="94"/>
      <c r="G18" s="95"/>
      <c r="H18" s="1"/>
      <c r="I18" s="1"/>
    </row>
    <row r="19" spans="1:9" x14ac:dyDescent="0.25">
      <c r="A19" s="1"/>
      <c r="B19" s="1"/>
      <c r="C19" s="6" t="s">
        <v>87</v>
      </c>
      <c r="D19" s="93" t="s">
        <v>80</v>
      </c>
      <c r="E19" s="94"/>
      <c r="F19" s="94"/>
      <c r="G19" s="95"/>
      <c r="H19" s="1"/>
      <c r="I19" s="1"/>
    </row>
    <row r="20" spans="1:9" x14ac:dyDescent="0.25">
      <c r="A20" s="1"/>
      <c r="B20" s="1"/>
      <c r="C20" s="6" t="s">
        <v>7</v>
      </c>
      <c r="D20" s="93" t="s">
        <v>9</v>
      </c>
      <c r="E20" s="94"/>
      <c r="F20" s="94"/>
      <c r="G20" s="95"/>
      <c r="H20" s="1"/>
      <c r="I20" s="1"/>
    </row>
    <row r="21" spans="1:9" x14ac:dyDescent="0.25">
      <c r="A21" s="1"/>
      <c r="B21" s="1"/>
      <c r="C21" s="6" t="s">
        <v>88</v>
      </c>
      <c r="D21" s="84" t="s">
        <v>11</v>
      </c>
      <c r="E21" s="85"/>
      <c r="F21" s="85"/>
      <c r="G21" s="86"/>
      <c r="H21" s="1"/>
      <c r="I21" s="1"/>
    </row>
    <row r="22" spans="1:9" x14ac:dyDescent="0.25">
      <c r="A22" s="1"/>
      <c r="B22" s="1"/>
      <c r="C22" s="6" t="s">
        <v>73</v>
      </c>
      <c r="D22" s="78" t="s">
        <v>196</v>
      </c>
      <c r="E22" s="79"/>
      <c r="F22" s="79"/>
      <c r="G22" s="80"/>
      <c r="H22" s="1"/>
      <c r="I22" s="1"/>
    </row>
    <row r="23" spans="1:9" x14ac:dyDescent="0.25">
      <c r="A23" s="1"/>
      <c r="B23" s="1"/>
      <c r="C23" s="6" t="s">
        <v>8</v>
      </c>
      <c r="D23" s="78" t="s">
        <v>176</v>
      </c>
      <c r="E23" s="79"/>
      <c r="F23" s="79"/>
      <c r="G23" s="80"/>
      <c r="H23" s="1"/>
      <c r="I23" s="1"/>
    </row>
    <row r="24" spans="1:9" x14ac:dyDescent="0.25">
      <c r="A24" s="1"/>
      <c r="B24" s="1"/>
      <c r="C24" s="6" t="s">
        <v>172</v>
      </c>
      <c r="D24" s="78" t="s">
        <v>163</v>
      </c>
      <c r="E24" s="79"/>
      <c r="F24" s="79"/>
      <c r="G24" s="80"/>
      <c r="H24" s="1"/>
      <c r="I24" s="1"/>
    </row>
    <row r="25" spans="1:9" x14ac:dyDescent="0.25">
      <c r="A25" s="1"/>
      <c r="B25" s="1"/>
      <c r="C25" s="6" t="s">
        <v>173</v>
      </c>
      <c r="D25" s="78" t="s">
        <v>74</v>
      </c>
      <c r="E25" s="79"/>
      <c r="F25" s="79"/>
      <c r="G25" s="80"/>
      <c r="H25" s="1"/>
      <c r="I25" s="1"/>
    </row>
    <row r="26" spans="1:9" x14ac:dyDescent="0.25">
      <c r="A26" s="1"/>
      <c r="B26" s="1"/>
      <c r="C26" s="6" t="s">
        <v>174</v>
      </c>
      <c r="D26" s="78" t="s">
        <v>75</v>
      </c>
      <c r="E26" s="79"/>
      <c r="F26" s="79"/>
      <c r="G26" s="80"/>
      <c r="H26" s="1"/>
      <c r="I26" s="1"/>
    </row>
    <row r="27" spans="1:9" x14ac:dyDescent="0.25">
      <c r="A27" s="1"/>
      <c r="B27" s="1"/>
      <c r="C27" s="6" t="s">
        <v>89</v>
      </c>
      <c r="D27" s="78" t="s">
        <v>103</v>
      </c>
      <c r="E27" s="79"/>
      <c r="F27" s="79"/>
      <c r="G27" s="80"/>
      <c r="H27" s="1"/>
      <c r="I27" s="1"/>
    </row>
    <row r="28" spans="1:9" x14ac:dyDescent="0.25">
      <c r="A28" s="1"/>
      <c r="B28" s="1"/>
      <c r="C28" s="6" t="s">
        <v>83</v>
      </c>
      <c r="D28" s="78" t="s">
        <v>32</v>
      </c>
      <c r="E28" s="79"/>
      <c r="F28" s="79"/>
      <c r="G28" s="80"/>
      <c r="H28" s="1"/>
      <c r="I28" s="1"/>
    </row>
    <row r="29" spans="1:9" x14ac:dyDescent="0.25">
      <c r="A29" s="1"/>
      <c r="B29" s="1"/>
      <c r="C29" s="6" t="s">
        <v>175</v>
      </c>
      <c r="D29" s="81" t="s">
        <v>84</v>
      </c>
      <c r="E29" s="82"/>
      <c r="F29" s="82"/>
      <c r="G29" s="8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mLGIBMEW8zKIeSnHGmCKWkKXvkqKQxEkCmxWSLcJfM1lWqSaKarH5rSerIylWzaPeITg0NINBFPdSKmBW3YIDA==" saltValue="8UDHiMR5HYbA7mpxIO/X2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6" t="s">
        <v>92</v>
      </c>
      <c r="C3" s="96"/>
      <c r="D3" s="96"/>
      <c r="E3" s="1"/>
      <c r="F3" s="1"/>
    </row>
    <row r="4" spans="1:6" ht="15" customHeight="1" x14ac:dyDescent="0.25">
      <c r="A4" s="1"/>
      <c r="B4" s="96"/>
      <c r="C4" s="96"/>
      <c r="D4" s="9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0" t="s">
        <v>226</v>
      </c>
      <c r="C8" s="101"/>
      <c r="D8" s="102"/>
      <c r="E8" s="1"/>
      <c r="F8" s="1"/>
    </row>
    <row r="9" spans="1:6" ht="15" customHeight="1" x14ac:dyDescent="0.25">
      <c r="A9" s="1"/>
      <c r="B9" s="32" t="s">
        <v>28</v>
      </c>
      <c r="C9" s="11" t="s">
        <v>212</v>
      </c>
      <c r="D9" s="11"/>
      <c r="E9" s="1"/>
      <c r="F9" s="1"/>
    </row>
    <row r="10" spans="1:6" ht="15" customHeight="1" x14ac:dyDescent="0.25">
      <c r="A10" s="1"/>
      <c r="B10" s="67" t="s">
        <v>245</v>
      </c>
      <c r="C10" s="9">
        <v>19486797</v>
      </c>
      <c r="D10" s="14" t="s">
        <v>3</v>
      </c>
      <c r="E10" s="1"/>
      <c r="F10" s="1"/>
    </row>
    <row r="11" spans="1:6" x14ac:dyDescent="0.25">
      <c r="A11" s="1"/>
      <c r="B11" s="67" t="s">
        <v>246</v>
      </c>
      <c r="C11" s="9">
        <v>128598</v>
      </c>
      <c r="D11" s="14" t="s">
        <v>3</v>
      </c>
      <c r="E11" s="1"/>
      <c r="F11" s="1"/>
    </row>
    <row r="12" spans="1:6" ht="26.25" x14ac:dyDescent="0.25">
      <c r="A12" s="1"/>
      <c r="B12" s="54" t="s">
        <v>247</v>
      </c>
      <c r="C12" s="9">
        <v>11815739</v>
      </c>
      <c r="D12" s="14" t="s">
        <v>3</v>
      </c>
      <c r="E12" s="1"/>
      <c r="F12" s="1"/>
    </row>
    <row r="13" spans="1:6" x14ac:dyDescent="0.25">
      <c r="A13" s="1"/>
      <c r="B13" s="67" t="s">
        <v>248</v>
      </c>
      <c r="C13" s="9">
        <v>73228</v>
      </c>
      <c r="D13" s="14" t="s">
        <v>3</v>
      </c>
      <c r="E13" s="1"/>
      <c r="F13" s="1"/>
    </row>
    <row r="14" spans="1:6" x14ac:dyDescent="0.25">
      <c r="A14" s="1"/>
      <c r="B14" s="67" t="s">
        <v>249</v>
      </c>
      <c r="C14" s="9">
        <v>452256</v>
      </c>
      <c r="D14" s="14" t="s">
        <v>3</v>
      </c>
      <c r="E14" s="1"/>
      <c r="F14" s="1"/>
    </row>
    <row r="15" spans="1:6" x14ac:dyDescent="0.25">
      <c r="A15" s="1"/>
      <c r="B15" s="67"/>
      <c r="C15" s="9"/>
      <c r="D15" s="14" t="s">
        <v>3</v>
      </c>
      <c r="E15" s="1"/>
      <c r="F15" s="1"/>
    </row>
    <row r="16" spans="1:6" x14ac:dyDescent="0.25">
      <c r="A16" s="1"/>
      <c r="B16" s="67"/>
      <c r="C16" s="9"/>
      <c r="D16" s="14" t="s">
        <v>3</v>
      </c>
      <c r="E16" s="1"/>
      <c r="F16" s="1"/>
    </row>
    <row r="17" spans="1:6" x14ac:dyDescent="0.25">
      <c r="A17" s="1"/>
      <c r="B17" s="67"/>
      <c r="C17" s="9"/>
      <c r="D17" s="14" t="s">
        <v>3</v>
      </c>
      <c r="E17" s="1"/>
      <c r="F17" s="1"/>
    </row>
    <row r="18" spans="1:6" x14ac:dyDescent="0.25">
      <c r="A18" s="1"/>
      <c r="B18" s="67"/>
      <c r="C18" s="9"/>
      <c r="D18" s="14" t="s">
        <v>3</v>
      </c>
      <c r="E18" s="1"/>
      <c r="F18" s="1"/>
    </row>
    <row r="19" spans="1:6" x14ac:dyDescent="0.25">
      <c r="A19" s="1"/>
      <c r="B19" s="51" t="s">
        <v>213</v>
      </c>
      <c r="C19" s="12">
        <f>SUM(C10:C18)</f>
        <v>31956618</v>
      </c>
      <c r="D19" s="13" t="s">
        <v>3</v>
      </c>
      <c r="E19" s="1"/>
      <c r="F19" s="1"/>
    </row>
    <row r="20" spans="1:6" x14ac:dyDescent="0.25">
      <c r="A20" s="1"/>
      <c r="B20" s="51" t="s">
        <v>214</v>
      </c>
      <c r="C20" s="12">
        <f>C19*(1+'Fane 13. Nøgletal'!C16)^2</f>
        <v>37329440.72333952</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Qi4/3xrC5ZoxHInZ4pNa37auhEKFY7gJ+28at5YdqrxWNiEraa9ptAQ8hG+cyS4Bzw13YdXgHrd4O/KSKeBLoA==" saltValue="9uZO+p9zk+4wlSO++mKKr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9" t="s">
        <v>227</v>
      </c>
      <c r="C3" s="99"/>
      <c r="D3" s="99"/>
      <c r="E3" s="99"/>
      <c r="F3" s="99"/>
      <c r="G3" s="1"/>
    </row>
    <row r="4" spans="1:7" ht="15" customHeight="1" x14ac:dyDescent="0.25">
      <c r="A4" s="1"/>
      <c r="B4" s="99"/>
      <c r="C4" s="99"/>
      <c r="D4" s="99"/>
      <c r="E4" s="99"/>
      <c r="F4" s="99"/>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00" t="s">
        <v>251</v>
      </c>
      <c r="C8" s="101"/>
      <c r="D8" s="101"/>
      <c r="E8" s="101"/>
      <c r="F8" s="102"/>
      <c r="G8" s="1"/>
    </row>
    <row r="9" spans="1:7" x14ac:dyDescent="0.25">
      <c r="A9" s="1"/>
      <c r="B9" s="103" t="s">
        <v>252</v>
      </c>
      <c r="C9" s="104"/>
      <c r="D9" s="105"/>
      <c r="E9" s="28">
        <v>-2546877.7825149</v>
      </c>
      <c r="F9" s="14" t="s">
        <v>3</v>
      </c>
      <c r="G9" s="1"/>
    </row>
    <row r="10" spans="1:7" x14ac:dyDescent="0.25">
      <c r="A10" s="1"/>
      <c r="B10" s="51"/>
      <c r="C10" s="52"/>
      <c r="D10" s="52"/>
      <c r="E10" s="52"/>
      <c r="F10" s="19"/>
      <c r="G10" s="1"/>
    </row>
    <row r="11" spans="1:7" ht="53.25" customHeight="1" x14ac:dyDescent="0.25">
      <c r="A11" s="1"/>
      <c r="B11" s="118" t="s">
        <v>253</v>
      </c>
      <c r="C11" s="119"/>
      <c r="D11" s="119"/>
      <c r="E11" s="119"/>
      <c r="F11" s="120"/>
      <c r="G11" s="1"/>
    </row>
    <row r="12" spans="1:7" x14ac:dyDescent="0.25">
      <c r="A12" s="1"/>
      <c r="B12" s="1"/>
      <c r="C12" s="1"/>
      <c r="D12" s="1"/>
      <c r="E12" s="1"/>
      <c r="F12" s="1"/>
      <c r="G12" s="1"/>
    </row>
    <row r="13" spans="1:7" x14ac:dyDescent="0.25">
      <c r="A13" s="1"/>
      <c r="B13" s="100" t="s">
        <v>140</v>
      </c>
      <c r="C13" s="101"/>
      <c r="D13" s="101"/>
      <c r="E13" s="101"/>
      <c r="F13" s="102"/>
      <c r="G13" s="1"/>
    </row>
    <row r="14" spans="1:7" x14ac:dyDescent="0.25">
      <c r="A14" s="1"/>
      <c r="B14" s="103" t="s">
        <v>254</v>
      </c>
      <c r="C14" s="104"/>
      <c r="D14" s="105"/>
      <c r="E14" s="9">
        <v>-1273438.89125745</v>
      </c>
      <c r="F14" s="14" t="s">
        <v>3</v>
      </c>
      <c r="G14" s="1"/>
    </row>
    <row r="15" spans="1:7" x14ac:dyDescent="0.25">
      <c r="A15" s="1"/>
      <c r="B15" s="103" t="s">
        <v>255</v>
      </c>
      <c r="C15" s="104"/>
      <c r="D15" s="105"/>
      <c r="E15" s="9">
        <v>-1273438.89125745</v>
      </c>
      <c r="F15" s="14" t="s">
        <v>3</v>
      </c>
      <c r="G15" s="1"/>
    </row>
    <row r="16" spans="1:7" x14ac:dyDescent="0.25">
      <c r="A16" s="1"/>
      <c r="B16" s="51"/>
      <c r="C16" s="52"/>
      <c r="D16" s="52"/>
      <c r="E16" s="52"/>
      <c r="F16" s="19"/>
      <c r="G16" s="1"/>
    </row>
    <row r="17" spans="1:7" ht="27" customHeight="1" x14ac:dyDescent="0.25">
      <c r="A17" s="1"/>
      <c r="B17" s="118" t="s">
        <v>256</v>
      </c>
      <c r="C17" s="119"/>
      <c r="D17" s="119"/>
      <c r="E17" s="119"/>
      <c r="F17" s="120"/>
      <c r="G17" s="1"/>
    </row>
    <row r="18" spans="1:7" x14ac:dyDescent="0.25">
      <c r="A18" s="1"/>
      <c r="B18" s="1"/>
      <c r="C18" s="1"/>
      <c r="D18" s="1"/>
      <c r="E18" s="1"/>
      <c r="F18" s="1"/>
      <c r="G18" s="1"/>
    </row>
    <row r="19" spans="1:7" x14ac:dyDescent="0.25">
      <c r="A19" s="1"/>
      <c r="B19" s="68" t="s">
        <v>257</v>
      </c>
      <c r="C19" s="69"/>
      <c r="D19" s="69"/>
      <c r="E19" s="69"/>
      <c r="F19" s="70"/>
      <c r="G19" s="1"/>
    </row>
    <row r="20" spans="1:7" x14ac:dyDescent="0.25">
      <c r="A20" s="1"/>
      <c r="B20" s="64" t="s">
        <v>258</v>
      </c>
      <c r="C20" s="65"/>
      <c r="D20" s="66"/>
      <c r="E20" s="9">
        <v>48539538.088529468</v>
      </c>
      <c r="F20" s="14" t="s">
        <v>3</v>
      </c>
      <c r="G20" s="1"/>
    </row>
    <row r="21" spans="1:7" x14ac:dyDescent="0.25">
      <c r="A21" s="1"/>
      <c r="B21" s="64" t="s">
        <v>259</v>
      </c>
      <c r="C21" s="65"/>
      <c r="D21" s="66"/>
      <c r="E21" s="9">
        <v>48467151</v>
      </c>
      <c r="F21" s="14" t="s">
        <v>3</v>
      </c>
      <c r="G21" s="1"/>
    </row>
    <row r="22" spans="1:7" x14ac:dyDescent="0.25">
      <c r="A22" s="1"/>
      <c r="B22" s="64" t="s">
        <v>29</v>
      </c>
      <c r="C22" s="65"/>
      <c r="D22" s="66"/>
      <c r="E22" s="9">
        <v>0</v>
      </c>
      <c r="F22" s="14" t="s">
        <v>3</v>
      </c>
      <c r="G22" s="1"/>
    </row>
    <row r="23" spans="1:7" x14ac:dyDescent="0.25">
      <c r="A23" s="1"/>
      <c r="B23" s="72" t="s">
        <v>260</v>
      </c>
      <c r="C23" s="73"/>
      <c r="D23" s="74"/>
      <c r="E23" s="10">
        <f>E20-(E21-E22)</f>
        <v>72387.088529467583</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0" t="s">
        <v>261</v>
      </c>
      <c r="C26" s="101"/>
      <c r="D26" s="101"/>
      <c r="E26" s="101"/>
      <c r="F26" s="102"/>
      <c r="G26" s="1"/>
    </row>
    <row r="27" spans="1:7" x14ac:dyDescent="0.25">
      <c r="A27" s="1"/>
      <c r="B27" s="125" t="s">
        <v>262</v>
      </c>
      <c r="C27" s="126"/>
      <c r="D27" s="127"/>
      <c r="E27" s="60">
        <f>IF(AND(E15&lt;0,E23&gt;0,ABS(SUM(E14:E15))&lt;E23),ABS(E14),IF(AND(E15&lt;0,E23&gt;0,ABS(SUM(E14:E15))&gt;E23),SUM(E14,E23),0))</f>
        <v>-1201051.8027279824</v>
      </c>
      <c r="F27" s="17" t="s">
        <v>3</v>
      </c>
      <c r="G27" s="1"/>
    </row>
    <row r="28" spans="1:7" x14ac:dyDescent="0.25">
      <c r="A28" s="1"/>
      <c r="B28" s="100"/>
      <c r="C28" s="101"/>
      <c r="D28" s="101"/>
      <c r="E28" s="101"/>
      <c r="F28" s="102"/>
      <c r="G28" s="1"/>
    </row>
    <row r="29" spans="1:7" x14ac:dyDescent="0.25">
      <c r="A29" s="1"/>
      <c r="B29" s="1"/>
      <c r="C29" s="1"/>
      <c r="D29" s="1"/>
      <c r="E29" s="1"/>
      <c r="F29" s="1"/>
      <c r="G29" s="1"/>
    </row>
    <row r="30" spans="1:7" x14ac:dyDescent="0.25">
      <c r="A30" s="1"/>
      <c r="B30" s="100" t="s">
        <v>263</v>
      </c>
      <c r="C30" s="101"/>
      <c r="D30" s="101"/>
      <c r="E30" s="101"/>
      <c r="F30" s="102"/>
      <c r="G30" s="1"/>
    </row>
    <row r="31" spans="1:7" x14ac:dyDescent="0.25">
      <c r="A31" s="1"/>
      <c r="B31" s="128" t="s">
        <v>117</v>
      </c>
      <c r="C31" s="129"/>
      <c r="D31" s="130"/>
      <c r="E31" s="61">
        <f>IF(AND(E9&gt;0,(E9+E23)&gt;0),0,IF(AND(E9&gt;0,(E9+E23)&lt;0),(E9+E23),IF(AND(E9&lt;0,E23&lt;0),E23,0)))</f>
        <v>0</v>
      </c>
      <c r="F31" s="14" t="s">
        <v>3</v>
      </c>
      <c r="G31" s="1"/>
    </row>
    <row r="32" spans="1:7" x14ac:dyDescent="0.25">
      <c r="A32" s="1"/>
      <c r="B32" s="128" t="s">
        <v>85</v>
      </c>
      <c r="C32" s="129"/>
      <c r="D32" s="130"/>
      <c r="E32" s="9">
        <v>2</v>
      </c>
      <c r="F32" s="14" t="s">
        <v>18</v>
      </c>
      <c r="G32" s="1"/>
    </row>
    <row r="33" spans="1:7" x14ac:dyDescent="0.25">
      <c r="A33" s="1"/>
      <c r="B33" s="121" t="s">
        <v>116</v>
      </c>
      <c r="C33" s="121"/>
      <c r="D33" s="121"/>
      <c r="E33" s="60">
        <f>E31/E32</f>
        <v>0</v>
      </c>
      <c r="F33" s="17" t="s">
        <v>3</v>
      </c>
      <c r="G33" s="1"/>
    </row>
    <row r="34" spans="1:7" x14ac:dyDescent="0.25">
      <c r="A34" s="1"/>
      <c r="B34" s="122"/>
      <c r="C34" s="123"/>
      <c r="D34" s="123"/>
      <c r="E34" s="123"/>
      <c r="F34" s="12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VCHUNa+KJzdVqKCI3pO8AxmqRI9NrdqpUtSPpyZf9LbUw8Fy6stGZmb9EedfLEgH0uvUCQK/5o21H75YRS0PgQ==" saltValue="N8/nkpCRjLigjzz0vTSF/w=="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6" t="s">
        <v>183</v>
      </c>
      <c r="C3" s="96"/>
      <c r="D3" s="96"/>
      <c r="E3" s="96"/>
      <c r="F3" s="96"/>
      <c r="G3" s="96"/>
      <c r="H3" s="96"/>
      <c r="I3" s="1"/>
    </row>
    <row r="4" spans="1:9" ht="15" customHeight="1" x14ac:dyDescent="0.25">
      <c r="A4" s="1"/>
      <c r="B4" s="96"/>
      <c r="C4" s="96"/>
      <c r="D4" s="96"/>
      <c r="E4" s="96"/>
      <c r="F4" s="96"/>
      <c r="G4" s="96"/>
      <c r="H4" s="9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0" t="s">
        <v>184</v>
      </c>
      <c r="C8" s="101"/>
      <c r="D8" s="101"/>
      <c r="E8" s="101"/>
      <c r="F8" s="101"/>
      <c r="G8" s="101"/>
      <c r="H8" s="102"/>
      <c r="I8" s="1"/>
    </row>
    <row r="9" spans="1:9" ht="15" customHeight="1" x14ac:dyDescent="0.25">
      <c r="A9" s="1"/>
      <c r="B9" s="131" t="s">
        <v>234</v>
      </c>
      <c r="C9" s="132"/>
      <c r="D9" s="132"/>
      <c r="E9" s="132"/>
      <c r="F9" s="132"/>
      <c r="G9" s="132"/>
      <c r="H9" s="133"/>
      <c r="I9" s="1"/>
    </row>
    <row r="10" spans="1:9" x14ac:dyDescent="0.25">
      <c r="A10" s="1"/>
      <c r="B10" s="134" t="s">
        <v>185</v>
      </c>
      <c r="C10" s="135"/>
      <c r="D10" s="135"/>
      <c r="E10" s="135"/>
      <c r="F10" s="136"/>
      <c r="G10" s="45"/>
      <c r="H10" s="9" t="s">
        <v>3</v>
      </c>
      <c r="I10" s="1"/>
    </row>
    <row r="11" spans="1:9" x14ac:dyDescent="0.25">
      <c r="A11" s="1"/>
      <c r="B11" s="134" t="s">
        <v>186</v>
      </c>
      <c r="C11" s="135"/>
      <c r="D11" s="135"/>
      <c r="E11" s="135"/>
      <c r="F11" s="136"/>
      <c r="G11" s="45"/>
      <c r="H11" s="9" t="s">
        <v>3</v>
      </c>
      <c r="I11" s="1"/>
    </row>
    <row r="12" spans="1:9" x14ac:dyDescent="0.25">
      <c r="A12" s="1"/>
      <c r="B12" s="134" t="s">
        <v>187</v>
      </c>
      <c r="C12" s="135"/>
      <c r="D12" s="135"/>
      <c r="E12" s="135"/>
      <c r="F12" s="136"/>
      <c r="G12" s="9"/>
      <c r="H12" s="9" t="s">
        <v>3</v>
      </c>
      <c r="I12" s="1"/>
    </row>
    <row r="13" spans="1:9" x14ac:dyDescent="0.25">
      <c r="A13" s="1"/>
      <c r="B13" s="134" t="s">
        <v>188</v>
      </c>
      <c r="C13" s="135"/>
      <c r="D13" s="135"/>
      <c r="E13" s="135"/>
      <c r="F13" s="136"/>
      <c r="G13" s="9"/>
      <c r="H13" s="9" t="s">
        <v>3</v>
      </c>
      <c r="I13" s="1"/>
    </row>
    <row r="14" spans="1:9" x14ac:dyDescent="0.25">
      <c r="A14" s="1"/>
      <c r="B14" s="134" t="s">
        <v>189</v>
      </c>
      <c r="C14" s="135"/>
      <c r="D14" s="135"/>
      <c r="E14" s="135"/>
      <c r="F14" s="136"/>
      <c r="G14" s="9"/>
      <c r="H14" s="9" t="s">
        <v>3</v>
      </c>
      <c r="I14" s="1"/>
    </row>
    <row r="15" spans="1:9" x14ac:dyDescent="0.25">
      <c r="A15" s="1"/>
      <c r="B15" s="134" t="s">
        <v>190</v>
      </c>
      <c r="C15" s="135"/>
      <c r="D15" s="135"/>
      <c r="E15" s="135"/>
      <c r="F15" s="136"/>
      <c r="G15" s="9"/>
      <c r="H15" s="9" t="s">
        <v>3</v>
      </c>
      <c r="I15" s="1"/>
    </row>
    <row r="16" spans="1:9" x14ac:dyDescent="0.25">
      <c r="A16" s="1"/>
      <c r="B16" s="134" t="s">
        <v>191</v>
      </c>
      <c r="C16" s="135"/>
      <c r="D16" s="135"/>
      <c r="E16" s="135"/>
      <c r="F16" s="136"/>
      <c r="G16" s="9"/>
      <c r="H16" s="9" t="s">
        <v>3</v>
      </c>
      <c r="I16" s="1"/>
    </row>
    <row r="17" spans="1:9" x14ac:dyDescent="0.25">
      <c r="A17" s="1"/>
      <c r="B17" s="134" t="s">
        <v>192</v>
      </c>
      <c r="C17" s="135"/>
      <c r="D17" s="135"/>
      <c r="E17" s="135"/>
      <c r="F17" s="136"/>
      <c r="G17" s="9"/>
      <c r="H17" s="9" t="s">
        <v>3</v>
      </c>
      <c r="I17" s="1"/>
    </row>
    <row r="18" spans="1:9" x14ac:dyDescent="0.25">
      <c r="A18" s="1"/>
      <c r="B18" s="100" t="s">
        <v>193</v>
      </c>
      <c r="C18" s="101"/>
      <c r="D18" s="101"/>
      <c r="E18" s="101"/>
      <c r="F18" s="10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QVm32PnTKiB+82vrqX8GllduUZPjoOPZsWk1w1Ewfm17pD2CfQMY6mxiNr8Cw09DzcGmAKvQ3rCyu0SeIQguA==" saltValue="eiLeozoREwtdpbKS5S/T0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6" t="s">
        <v>177</v>
      </c>
      <c r="C3" s="96"/>
      <c r="D3" s="96"/>
      <c r="E3" s="96"/>
      <c r="F3" s="96"/>
      <c r="G3" s="96"/>
      <c r="H3" s="96"/>
      <c r="I3" s="96"/>
      <c r="J3" s="96"/>
      <c r="K3" s="96"/>
      <c r="L3" s="1"/>
    </row>
    <row r="4" spans="1:12" ht="15" customHeight="1" x14ac:dyDescent="0.25">
      <c r="A4" s="1"/>
      <c r="B4" s="96"/>
      <c r="C4" s="96"/>
      <c r="D4" s="96"/>
      <c r="E4" s="96"/>
      <c r="F4" s="96"/>
      <c r="G4" s="96"/>
      <c r="H4" s="96"/>
      <c r="I4" s="96"/>
      <c r="J4" s="96"/>
      <c r="K4" s="9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0" t="s">
        <v>155</v>
      </c>
      <c r="C8" s="101"/>
      <c r="D8" s="101"/>
      <c r="E8" s="101"/>
      <c r="F8" s="101"/>
      <c r="G8" s="101"/>
      <c r="H8" s="101"/>
      <c r="I8" s="101"/>
      <c r="J8" s="101"/>
      <c r="K8" s="102"/>
      <c r="L8" s="1"/>
    </row>
    <row r="9" spans="1:12" ht="39.75" customHeight="1" x14ac:dyDescent="0.25">
      <c r="A9" s="1"/>
      <c r="B9" s="18" t="s">
        <v>0</v>
      </c>
      <c r="C9" s="18" t="s">
        <v>1</v>
      </c>
      <c r="D9" s="137" t="s">
        <v>170</v>
      </c>
      <c r="E9" s="138"/>
      <c r="F9" s="137" t="s">
        <v>2</v>
      </c>
      <c r="G9" s="138"/>
      <c r="H9" s="137" t="s">
        <v>171</v>
      </c>
      <c r="I9" s="138"/>
      <c r="J9" s="137" t="s">
        <v>26</v>
      </c>
      <c r="K9" s="138"/>
      <c r="L9" s="1"/>
    </row>
    <row r="10" spans="1:12" x14ac:dyDescent="0.25">
      <c r="A10" s="1"/>
      <c r="B10" s="77"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kr5XG0UobCd7Leqev1cUsK3WqU8BIfWad8uz8UN2fXjppf4gBAc/8YMni4KagB6eLfvlzPplIZFk/GOV1N90jQ==" saltValue="+8R2go4fAuTtKuPghRB3B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178</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5" t="s">
        <v>15</v>
      </c>
      <c r="C9" s="75" t="s">
        <v>10</v>
      </c>
      <c r="D9" s="76"/>
      <c r="E9" s="75"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0</v>
      </c>
      <c r="D11" s="14" t="s">
        <v>3</v>
      </c>
      <c r="E11" s="9">
        <v>11245</v>
      </c>
      <c r="F11" s="14" t="s">
        <v>3</v>
      </c>
      <c r="G11" s="1"/>
    </row>
    <row r="12" spans="1:7" x14ac:dyDescent="0.25">
      <c r="A12" s="1"/>
      <c r="B12" s="27" t="s">
        <v>244</v>
      </c>
      <c r="C12" s="21">
        <v>359900</v>
      </c>
      <c r="D12" s="14" t="s">
        <v>3</v>
      </c>
      <c r="E12" s="9">
        <v>0</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359900</v>
      </c>
      <c r="D17" s="13" t="s">
        <v>3</v>
      </c>
      <c r="E17" s="12">
        <f>SUM(E10:E16)</f>
        <v>11245</v>
      </c>
      <c r="F17" s="13" t="s">
        <v>3</v>
      </c>
      <c r="G17" s="1"/>
    </row>
    <row r="18" spans="1:7" x14ac:dyDescent="0.25">
      <c r="A18" s="1"/>
      <c r="B18" s="51" t="s">
        <v>209</v>
      </c>
      <c r="C18" s="12">
        <f>C17*(1+'Fane 13. Nøgletal'!C16)</f>
        <v>388979.92</v>
      </c>
      <c r="D18" s="13" t="s">
        <v>3</v>
      </c>
      <c r="E18" s="12">
        <f>E17*(1+'Fane 13. Nøgletal'!C16)</f>
        <v>12153.596</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E63M+OPEsLe/lP5fNQPzErmpyAJ5JWR0BAJDxVnwmXMSEA+Fl1UN12mIwDRXa2yXsX7hd9C48gxpboS7bHvuIQ==" saltValue="dqnE79Br4ImypC5aO98Z5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179</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0" t="s">
        <v>217</v>
      </c>
      <c r="C9" s="101"/>
      <c r="D9" s="101"/>
      <c r="E9" s="101"/>
      <c r="F9" s="102"/>
      <c r="G9" s="1"/>
    </row>
    <row r="10" spans="1:7" ht="26.25" x14ac:dyDescent="0.25">
      <c r="A10" s="1"/>
      <c r="B10" s="75" t="s">
        <v>15</v>
      </c>
      <c r="C10" s="75" t="s">
        <v>10</v>
      </c>
      <c r="D10" s="76"/>
      <c r="E10" s="75" t="s">
        <v>27</v>
      </c>
      <c r="F10" s="30"/>
      <c r="G10" s="1"/>
    </row>
    <row r="11" spans="1:7" x14ac:dyDescent="0.25">
      <c r="A11" s="1"/>
      <c r="B11" s="23" t="s">
        <v>250</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L4XmKzoW4N8WGCwZV2y4G/zczYiqbmh/vhRpm174Kx7o7V8FXFKDWD7Ld1Ehhzmo00UBk9gjjbOgsQ3kTek7A==" saltValue="TRWSpjvrsW1bQ7b+Zhct7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180</v>
      </c>
      <c r="C3" s="99"/>
      <c r="D3" s="99"/>
      <c r="E3" s="99"/>
      <c r="F3" s="99"/>
      <c r="G3" s="1"/>
    </row>
    <row r="4" spans="1:7" ht="25.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0" t="s">
        <v>104</v>
      </c>
      <c r="C8" s="101"/>
      <c r="D8" s="101"/>
      <c r="E8" s="101"/>
      <c r="F8" s="102"/>
      <c r="G8" s="1"/>
    </row>
    <row r="9" spans="1:7" ht="15" customHeight="1" x14ac:dyDescent="0.25">
      <c r="A9" s="1"/>
      <c r="B9" s="53" t="s">
        <v>105</v>
      </c>
      <c r="C9" s="131" t="s">
        <v>10</v>
      </c>
      <c r="D9" s="133"/>
      <c r="E9" s="131" t="s">
        <v>27</v>
      </c>
      <c r="F9" s="133"/>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44"/>
      <c r="B48" s="44"/>
      <c r="C48" s="44"/>
      <c r="D48" s="44"/>
      <c r="E48" s="44"/>
      <c r="F48" s="44"/>
      <c r="G48" s="44"/>
    </row>
  </sheetData>
  <sheetProtection algorithmName="SHA-512" hashValue="JFNEto2LptPoYM6OZRYivWPtfVnccJTeu7ICW/dGKEdt77CVtRGG/tsmdLvlRzBV5w22YEkbwgrBVoSHUUgjlA==" saltValue="8c0B8+tnMrjQcq9zi3EG5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181</v>
      </c>
      <c r="C3" s="99"/>
      <c r="D3" s="99"/>
      <c r="E3" s="99"/>
      <c r="F3" s="99"/>
      <c r="G3" s="1"/>
    </row>
    <row r="4" spans="1:7" ht="25.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0" t="s">
        <v>237</v>
      </c>
      <c r="C10" s="101"/>
      <c r="D10" s="101"/>
      <c r="E10" s="101"/>
      <c r="F10" s="102"/>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JbXH7fTss7o+/2q9RDdU+vtCcanBCpwbOrIDEpUWKv15YL4X9TCS/7nCWt/YmQx+xgEOy5pj3997vrbTi4lJw==" saltValue="JzGL9DkjmW92T9rUPJJCg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9" t="s">
        <v>182</v>
      </c>
      <c r="C3" s="99"/>
      <c r="D3" s="1"/>
    </row>
    <row r="4" spans="1:4" ht="25.5" customHeight="1" x14ac:dyDescent="0.25">
      <c r="A4" s="1"/>
      <c r="B4" s="99"/>
      <c r="C4" s="99"/>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7" t="s">
        <v>93</v>
      </c>
      <c r="C9" s="40">
        <v>1.2699999999999999E-2</v>
      </c>
      <c r="D9" s="1"/>
    </row>
    <row r="10" spans="1:4" x14ac:dyDescent="0.25">
      <c r="A10" s="1"/>
      <c r="B10" s="67" t="s">
        <v>21</v>
      </c>
      <c r="C10" s="40">
        <v>1.7500000000000002E-2</v>
      </c>
      <c r="D10" s="1"/>
    </row>
    <row r="11" spans="1:4" x14ac:dyDescent="0.25">
      <c r="A11" s="1"/>
      <c r="B11" s="67"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0"/>
      <c r="C17" s="102"/>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7" t="s">
        <v>95</v>
      </c>
      <c r="C21" s="42">
        <v>9.1000000000000004E-3</v>
      </c>
      <c r="D21" s="1"/>
    </row>
    <row r="22" spans="1:4" x14ac:dyDescent="0.25">
      <c r="A22" s="1"/>
      <c r="B22" s="67" t="s">
        <v>96</v>
      </c>
      <c r="C22" s="42">
        <v>1.77E-2</v>
      </c>
      <c r="D22" s="1"/>
    </row>
    <row r="23" spans="1:4" x14ac:dyDescent="0.25">
      <c r="A23" s="1"/>
      <c r="B23" s="67" t="s">
        <v>97</v>
      </c>
      <c r="C23" s="42">
        <v>8.6999999999999994E-3</v>
      </c>
      <c r="D23" s="1"/>
    </row>
    <row r="24" spans="1:4" x14ac:dyDescent="0.25">
      <c r="A24" s="1"/>
      <c r="B24" s="67" t="s">
        <v>98</v>
      </c>
      <c r="C24" s="42">
        <v>2.8400000000000002E-2</v>
      </c>
      <c r="D24" s="1"/>
    </row>
    <row r="25" spans="1:4" x14ac:dyDescent="0.25">
      <c r="A25" s="1"/>
      <c r="B25" s="67" t="s">
        <v>111</v>
      </c>
      <c r="C25" s="42">
        <v>2.75E-2</v>
      </c>
      <c r="D25" s="1"/>
    </row>
    <row r="26" spans="1:4" x14ac:dyDescent="0.25">
      <c r="A26" s="1"/>
      <c r="B26" s="67"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7"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W+EQyi8xFrQjW5AtaRm0a56hcJLO6/+O5P7jdLTK9mRItM7rc4eM2G51Y10Lr1+hM1/Wk7GzZB4UsGTQaobXRQ==" saltValue="HwLMS74SFThb1z/p3F3Cng=="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6" t="s">
        <v>198</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17643160.887756422</v>
      </c>
      <c r="D8" s="8" t="s">
        <v>3</v>
      </c>
      <c r="E8" s="1"/>
    </row>
    <row r="9" spans="1:5" ht="17.100000000000001" customHeight="1" x14ac:dyDescent="0.25">
      <c r="A9" s="1"/>
      <c r="B9" s="24" t="s">
        <v>33</v>
      </c>
      <c r="C9" s="7">
        <f>'Fane 10.1. Varige tillæg'!C18</f>
        <v>388979.92</v>
      </c>
      <c r="D9" s="8" t="s">
        <v>3</v>
      </c>
      <c r="E9" s="1"/>
    </row>
    <row r="10" spans="1:5" ht="17.100000000000001" customHeight="1" x14ac:dyDescent="0.25">
      <c r="A10" s="1"/>
      <c r="B10" s="24" t="s">
        <v>34</v>
      </c>
      <c r="C10" s="9">
        <f>'Fane 10.1. Varige tillæg'!E18</f>
        <v>12153.596</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660508.11569692858</v>
      </c>
      <c r="D15" s="8" t="s">
        <v>3</v>
      </c>
      <c r="E15" s="1"/>
    </row>
    <row r="16" spans="1:5" ht="17.100000000000001" customHeight="1" x14ac:dyDescent="0.25">
      <c r="A16" s="1"/>
      <c r="B16" s="24" t="s">
        <v>9</v>
      </c>
      <c r="C16" s="9">
        <f>-SUM(C8,C9:C15)*'Fane 5. Individuelt eff. krav'!G9</f>
        <v>-167033.50070536803</v>
      </c>
      <c r="D16" s="8" t="s">
        <v>3</v>
      </c>
      <c r="E16" s="1"/>
    </row>
    <row r="17" spans="1:5" ht="17.100000000000001" customHeight="1" x14ac:dyDescent="0.25">
      <c r="A17" s="1"/>
      <c r="B17" s="24" t="s">
        <v>22</v>
      </c>
      <c r="C17" s="9">
        <f>-'Fane 4.1. Gen. krav - drift'!G49</f>
        <v>-244572.49474985764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2" t="s">
        <v>19</v>
      </c>
      <c r="C19" s="10">
        <f>SUM(C8:C18)</f>
        <v>18293196.523998126</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37329440.72333952</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2" t="s">
        <v>76</v>
      </c>
      <c r="C27" s="10">
        <f>SUM(C23:C26)</f>
        <v>0</v>
      </c>
      <c r="D27" s="11" t="s">
        <v>3</v>
      </c>
      <c r="E27" s="1"/>
    </row>
    <row r="28" spans="1:5" ht="15" customHeight="1" x14ac:dyDescent="0.25">
      <c r="A28" s="1"/>
      <c r="B28" s="26" t="s">
        <v>117</v>
      </c>
      <c r="C28" s="52"/>
      <c r="D28" s="19"/>
      <c r="E28" s="1"/>
    </row>
    <row r="29" spans="1:5" x14ac:dyDescent="0.25">
      <c r="A29" s="1"/>
      <c r="B29" s="71" t="s">
        <v>118</v>
      </c>
      <c r="C29" s="10">
        <f>'Fane 7. Kontrol af ØR2022'!E27</f>
        <v>-1201051.8027279824</v>
      </c>
      <c r="D29" s="11" t="s">
        <v>3</v>
      </c>
      <c r="E29" s="1"/>
    </row>
    <row r="30" spans="1:5" x14ac:dyDescent="0.25">
      <c r="A30" s="1"/>
      <c r="B30" s="26" t="s">
        <v>138</v>
      </c>
      <c r="C30" s="52"/>
      <c r="D30" s="19"/>
      <c r="E30" s="1"/>
    </row>
    <row r="31" spans="1:5" x14ac:dyDescent="0.25">
      <c r="A31" s="1"/>
      <c r="B31" s="71" t="s">
        <v>139</v>
      </c>
      <c r="C31" s="10">
        <f>'Fane 8. Skattesagen'!G13</f>
        <v>0</v>
      </c>
      <c r="D31" s="11" t="s">
        <v>3</v>
      </c>
      <c r="E31" s="1"/>
    </row>
    <row r="32" spans="1:5" x14ac:dyDescent="0.25">
      <c r="A32" s="1"/>
      <c r="B32" s="51" t="s">
        <v>126</v>
      </c>
      <c r="C32" s="33">
        <f>SUM(C19,C21,C27,C29,C31)</f>
        <v>54421585.444609664</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vVSX5jHX6x7xtUr1KXdp9bFEYYO2bEdP7yzDesKaSMlQkdUc4mpFPrYEnxNVytKHMOqgsgXHCH3g7hxochE8Q==" saltValue="DepgUNOajn+dWMiZaV9ip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6" t="s">
        <v>199</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18293196.523998126</v>
      </c>
      <c r="D8" s="8" t="s">
        <v>3</v>
      </c>
      <c r="E8" s="1"/>
    </row>
    <row r="9" spans="1:5" ht="15" customHeight="1" x14ac:dyDescent="0.25">
      <c r="A9" s="1"/>
      <c r="B9" s="29" t="s">
        <v>17</v>
      </c>
      <c r="C9" s="9">
        <f>SUM(C8:C8)*'Fane 13. Nøgletal'!C16</f>
        <v>1478090.2791390487</v>
      </c>
      <c r="D9" s="8" t="s">
        <v>3</v>
      </c>
      <c r="E9" s="1"/>
    </row>
    <row r="10" spans="1:5" ht="15" customHeight="1" x14ac:dyDescent="0.25">
      <c r="A10" s="1"/>
      <c r="B10" s="29" t="s">
        <v>9</v>
      </c>
      <c r="C10" s="9">
        <f>-SUM(C8:C9)*'Fane 5. Individuelt eff. krav'!G9</f>
        <v>-176557.1833620386</v>
      </c>
      <c r="D10" s="8" t="s">
        <v>3</v>
      </c>
      <c r="E10" s="1"/>
    </row>
    <row r="11" spans="1:5" ht="15" customHeight="1" x14ac:dyDescent="0.25">
      <c r="A11" s="1"/>
      <c r="B11" s="29" t="s">
        <v>22</v>
      </c>
      <c r="C11" s="9">
        <f>-'Fane 4.1. Gen. krav - drift'!G54</f>
        <v>-259047.27327913322</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19335682.346496005</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40345659.533785351</v>
      </c>
      <c r="D15" s="11" t="s">
        <v>3</v>
      </c>
      <c r="E15" s="1"/>
    </row>
    <row r="16" spans="1:5" x14ac:dyDescent="0.25">
      <c r="A16" s="1"/>
      <c r="B16" s="26" t="s">
        <v>117</v>
      </c>
      <c r="C16" s="52"/>
      <c r="D16" s="19"/>
      <c r="E16" s="1"/>
    </row>
    <row r="17" spans="1:5" ht="15" customHeight="1" x14ac:dyDescent="0.25">
      <c r="A17" s="1"/>
      <c r="B17" s="71" t="s">
        <v>118</v>
      </c>
      <c r="C17" s="10">
        <f>'Fane 7. Kontrol af ØR2022'!E33</f>
        <v>0</v>
      </c>
      <c r="D17" s="11" t="s">
        <v>3</v>
      </c>
      <c r="E17" s="1"/>
    </row>
    <row r="18" spans="1:5" x14ac:dyDescent="0.25">
      <c r="A18" s="1"/>
      <c r="B18" s="26" t="s">
        <v>138</v>
      </c>
      <c r="C18" s="52"/>
      <c r="D18" s="19"/>
      <c r="E18" s="1"/>
    </row>
    <row r="19" spans="1:5" x14ac:dyDescent="0.25">
      <c r="A19" s="1"/>
      <c r="B19" s="71" t="s">
        <v>139</v>
      </c>
      <c r="C19" s="10">
        <f>'Fane 8. Skattesagen'!G13</f>
        <v>0</v>
      </c>
      <c r="D19" s="11" t="s">
        <v>3</v>
      </c>
      <c r="E19" s="1"/>
    </row>
    <row r="20" spans="1:5" x14ac:dyDescent="0.25">
      <c r="A20" s="1"/>
      <c r="B20" s="51" t="s">
        <v>128</v>
      </c>
      <c r="C20" s="12">
        <f>SUM(C13,C15,C17,C19)</f>
        <v>59681341.880281359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Dc39SLbpd7vLjpgO/SMDkB2f8cOfhyPWTYEWk098hDDKU8CZaUAQGx1gMoeb/4KkqR615g3Q+i6m9f9WDvmLA==" saltValue="ZxtOpoYyIV2V0j0RiS7s7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6" t="s">
        <v>200</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19335682.346496005</v>
      </c>
      <c r="D8" s="8" t="s">
        <v>3</v>
      </c>
      <c r="E8" s="1"/>
    </row>
    <row r="9" spans="1:5" ht="15" customHeight="1" x14ac:dyDescent="0.25">
      <c r="A9" s="1"/>
      <c r="B9" s="29" t="s">
        <v>17</v>
      </c>
      <c r="C9" s="9">
        <f>SUM(C8:C8)*'Fane 13. Nøgletal'!C16</f>
        <v>1562323.1335968771</v>
      </c>
      <c r="D9" s="8" t="s">
        <v>3</v>
      </c>
      <c r="E9" s="1"/>
    </row>
    <row r="10" spans="1:5" ht="15" customHeight="1" x14ac:dyDescent="0.25">
      <c r="A10" s="1"/>
      <c r="B10" s="29" t="s">
        <v>9</v>
      </c>
      <c r="C10" s="9">
        <f>-SUM(C8:C9)*'Fane 5. Individuelt eff. krav'!G9</f>
        <v>-186618.75790827084</v>
      </c>
      <c r="D10" s="8" t="s">
        <v>3</v>
      </c>
      <c r="E10" s="1"/>
    </row>
    <row r="11" spans="1:5" ht="15" customHeight="1" x14ac:dyDescent="0.25">
      <c r="A11" s="1"/>
      <c r="B11" s="29" t="s">
        <v>22</v>
      </c>
      <c r="C11" s="9">
        <f>-'Fane 4.1. Gen. krav - drift'!G59</f>
        <v>-274378.72710088541</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20437007.995083727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43605588.824115209</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71" t="s">
        <v>139</v>
      </c>
      <c r="C19" s="10">
        <f>'Fane 8. Skattesagen'!G14</f>
        <v>0</v>
      </c>
      <c r="D19" s="11" t="s">
        <v>3</v>
      </c>
      <c r="E19" s="1"/>
    </row>
    <row r="20" spans="1:5" x14ac:dyDescent="0.25">
      <c r="A20" s="1"/>
      <c r="B20" s="51" t="s">
        <v>143</v>
      </c>
      <c r="C20" s="12">
        <f>SUM(C13,C15,C17,C19)</f>
        <v>64042596.819198936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Cy3PnMV/QmPe8ho5Mu2W27kZABoRBRKojGI5GhnDziI512baUrKXeLfcrwCqLmr50HInEpYCzV2fyO34trVjA==" saltValue="tpTTBk5zRvONmElYff/bt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6" t="s">
        <v>204</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20437007.995083727</v>
      </c>
      <c r="D8" s="8" t="s">
        <v>3</v>
      </c>
      <c r="E8" s="1"/>
    </row>
    <row r="9" spans="1:5" ht="15" customHeight="1" x14ac:dyDescent="0.25">
      <c r="A9" s="1"/>
      <c r="B9" s="29" t="s">
        <v>17</v>
      </c>
      <c r="C9" s="9">
        <f>SUM(C8:C8)*'Fane 13. Nøgletal'!C16</f>
        <v>1651310.2460027651</v>
      </c>
      <c r="D9" s="8" t="s">
        <v>3</v>
      </c>
      <c r="E9" s="1"/>
    </row>
    <row r="10" spans="1:5" ht="15" customHeight="1" x14ac:dyDescent="0.25">
      <c r="A10" s="1"/>
      <c r="B10" s="29" t="s">
        <v>9</v>
      </c>
      <c r="C10" s="9">
        <f>-SUM(C8:C9)*'Fane 5. Individuelt eff. krav'!G9</f>
        <v>-197248.22631331041</v>
      </c>
      <c r="D10" s="8" t="s">
        <v>3</v>
      </c>
      <c r="E10" s="1"/>
    </row>
    <row r="11" spans="1:5" ht="15" customHeight="1" x14ac:dyDescent="0.25">
      <c r="A11" s="1"/>
      <c r="B11" s="29" t="s">
        <v>22</v>
      </c>
      <c r="C11" s="9">
        <f>-'Fane 4.1. Gen. krav - drift'!G64</f>
        <v>-290617.55768562428</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21600452.457087554</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47128920.401103713</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1" t="s">
        <v>139</v>
      </c>
      <c r="C19" s="10">
        <f>'Fane 8. Skattesagen'!G15</f>
        <v>0</v>
      </c>
      <c r="D19" s="11" t="s">
        <v>3</v>
      </c>
      <c r="E19" s="1"/>
    </row>
    <row r="20" spans="1:5" x14ac:dyDescent="0.25">
      <c r="A20" s="1"/>
      <c r="B20" s="51" t="s">
        <v>205</v>
      </c>
      <c r="C20" s="12">
        <f>SUM(C13,C15,C17,C19)</f>
        <v>68729372.858191267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btUQ79W5FYLXrzvBTeAC+6Gl9seZyqUgcn1++j8Nf5z6w4fqT7GXc4m0OTmFtrk01I5+fJBzhNzFsHfdrU2iA==" saltValue="iyH/MtKw47n9v4DjmdyrD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9" t="s">
        <v>201</v>
      </c>
      <c r="C3" s="99"/>
      <c r="D3" s="99"/>
      <c r="E3" s="1"/>
    </row>
    <row r="4" spans="1:5"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17416888.925565179</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620041.24575012038</v>
      </c>
      <c r="D15" s="8" t="s">
        <v>3</v>
      </c>
      <c r="E15" s="1"/>
    </row>
    <row r="16" spans="1:5" x14ac:dyDescent="0.25">
      <c r="A16" s="1"/>
      <c r="B16" s="24" t="s">
        <v>9</v>
      </c>
      <c r="C16" s="9">
        <v>-161069.41441160516</v>
      </c>
      <c r="D16" s="8" t="s">
        <v>3</v>
      </c>
      <c r="E16" s="1"/>
    </row>
    <row r="17" spans="1:5" x14ac:dyDescent="0.25">
      <c r="A17" s="1"/>
      <c r="B17" s="24" t="s">
        <v>22</v>
      </c>
      <c r="C17" s="9">
        <v>-232699.86914727301</v>
      </c>
      <c r="D17" s="8" t="s">
        <v>3</v>
      </c>
      <c r="E17" s="1"/>
    </row>
    <row r="18" spans="1:5" x14ac:dyDescent="0.25">
      <c r="A18" s="1"/>
      <c r="B18" s="24" t="s">
        <v>23</v>
      </c>
      <c r="C18" s="9">
        <v>0</v>
      </c>
      <c r="D18" s="8" t="s">
        <v>3</v>
      </c>
      <c r="E18" s="1"/>
    </row>
    <row r="19" spans="1:5" x14ac:dyDescent="0.25">
      <c r="A19" s="1"/>
      <c r="B19" s="72" t="s">
        <v>19</v>
      </c>
      <c r="C19" s="10">
        <v>17643160.887756422</v>
      </c>
      <c r="D19" s="11" t="s">
        <v>3</v>
      </c>
      <c r="E19" s="1"/>
    </row>
    <row r="20" spans="1:5" x14ac:dyDescent="0.25">
      <c r="A20" s="1"/>
      <c r="B20" s="51" t="s">
        <v>11</v>
      </c>
      <c r="C20" s="52"/>
      <c r="D20" s="19"/>
      <c r="E20" s="1"/>
    </row>
    <row r="21" spans="1:5" x14ac:dyDescent="0.25">
      <c r="A21" s="1"/>
      <c r="B21" s="53" t="s">
        <v>11</v>
      </c>
      <c r="C21" s="10">
        <v>36001079.82040032</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2" t="s">
        <v>76</v>
      </c>
      <c r="C27" s="56">
        <v>0</v>
      </c>
      <c r="D27" s="11" t="s">
        <v>3</v>
      </c>
      <c r="E27" s="1"/>
    </row>
    <row r="28" spans="1:5" x14ac:dyDescent="0.25">
      <c r="A28" s="1"/>
      <c r="B28" s="26" t="s">
        <v>117</v>
      </c>
      <c r="C28" s="52"/>
      <c r="D28" s="19"/>
      <c r="E28" s="1"/>
    </row>
    <row r="29" spans="1:5" x14ac:dyDescent="0.25">
      <c r="A29" s="1"/>
      <c r="B29" s="71" t="s">
        <v>118</v>
      </c>
      <c r="C29" s="10">
        <v>-1273438.89125745</v>
      </c>
      <c r="D29" s="11" t="s">
        <v>3</v>
      </c>
      <c r="E29" s="1"/>
    </row>
    <row r="30" spans="1:5" x14ac:dyDescent="0.25">
      <c r="A30" s="1"/>
      <c r="B30" s="26" t="s">
        <v>138</v>
      </c>
      <c r="C30" s="52"/>
      <c r="D30" s="19"/>
      <c r="E30" s="1"/>
    </row>
    <row r="31" spans="1:5" x14ac:dyDescent="0.25">
      <c r="A31" s="1"/>
      <c r="B31" s="71" t="s">
        <v>139</v>
      </c>
      <c r="C31" s="10">
        <v>0</v>
      </c>
      <c r="D31" s="11" t="s">
        <v>3</v>
      </c>
      <c r="E31" s="1"/>
    </row>
    <row r="32" spans="1:5" x14ac:dyDescent="0.25">
      <c r="A32" s="1"/>
      <c r="B32" s="51" t="s">
        <v>239</v>
      </c>
      <c r="C32" s="33">
        <v>52370801.816899292</v>
      </c>
      <c r="D32" s="19" t="s">
        <v>3</v>
      </c>
      <c r="E32" s="1"/>
    </row>
    <row r="33" spans="1:5" ht="30" customHeight="1" x14ac:dyDescent="0.25">
      <c r="A33" s="1"/>
      <c r="B33" s="98" t="s">
        <v>240</v>
      </c>
      <c r="C33" s="98"/>
      <c r="D33" s="98"/>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w1DARl/PQz5ib2MlEpXtGaSw/gU9yFiX0KxzS/y1ofPxrZ5fDD6AN0TGr232pXvDO2gEx1An0qV/9f3P9AUCYg==" saltValue="LSx6RTyKEaDQuVa5EOdCQ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9" t="s">
        <v>90</v>
      </c>
      <c r="C1" s="99"/>
      <c r="D1" s="99"/>
      <c r="E1" s="99"/>
      <c r="F1" s="99"/>
      <c r="G1" s="99"/>
      <c r="H1" s="99"/>
      <c r="I1" s="1"/>
    </row>
    <row r="2" spans="1:9" ht="15" customHeight="1" x14ac:dyDescent="0.25">
      <c r="A2" s="1"/>
      <c r="B2" s="99"/>
      <c r="C2" s="99"/>
      <c r="D2" s="99"/>
      <c r="E2" s="99"/>
      <c r="F2" s="99"/>
      <c r="G2" s="99"/>
      <c r="H2" s="99"/>
      <c r="I2" s="1"/>
    </row>
    <row r="3" spans="1:9" ht="15" customHeight="1" x14ac:dyDescent="0.25">
      <c r="A3" s="1"/>
      <c r="B3" s="99"/>
      <c r="C3" s="99"/>
      <c r="D3" s="99"/>
      <c r="E3" s="99"/>
      <c r="F3" s="99"/>
      <c r="G3" s="99"/>
      <c r="H3" s="99"/>
      <c r="I3" s="1"/>
    </row>
    <row r="4" spans="1:9" x14ac:dyDescent="0.25">
      <c r="A4" s="1"/>
      <c r="B4" s="100" t="s">
        <v>44</v>
      </c>
      <c r="C4" s="101"/>
      <c r="D4" s="101"/>
      <c r="E4" s="101"/>
      <c r="F4" s="101"/>
      <c r="G4" s="101"/>
      <c r="H4" s="102"/>
      <c r="I4" s="1"/>
    </row>
    <row r="5" spans="1:9" x14ac:dyDescent="0.25">
      <c r="A5" s="1"/>
      <c r="B5" s="103" t="s">
        <v>36</v>
      </c>
      <c r="C5" s="104"/>
      <c r="D5" s="104"/>
      <c r="E5" s="104"/>
      <c r="F5" s="105"/>
      <c r="G5" s="47">
        <v>11820821.978148257</v>
      </c>
      <c r="H5" s="14" t="s">
        <v>3</v>
      </c>
      <c r="I5" s="1"/>
    </row>
    <row r="6" spans="1:9" x14ac:dyDescent="0.25">
      <c r="A6" s="1"/>
      <c r="B6" s="103" t="s">
        <v>37</v>
      </c>
      <c r="C6" s="104"/>
      <c r="D6" s="104"/>
      <c r="E6" s="104"/>
      <c r="F6" s="105"/>
      <c r="G6" s="22">
        <f>G5*'Fane 13. Nøgletal'!C33</f>
        <v>236416.43956296516</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0" t="s">
        <v>45</v>
      </c>
      <c r="C9" s="101"/>
      <c r="D9" s="101"/>
      <c r="E9" s="101"/>
      <c r="F9" s="101"/>
      <c r="G9" s="101"/>
      <c r="H9" s="102"/>
      <c r="I9" s="1"/>
    </row>
    <row r="10" spans="1:9" x14ac:dyDescent="0.25">
      <c r="A10" s="1"/>
      <c r="B10" s="103" t="s">
        <v>38</v>
      </c>
      <c r="C10" s="104"/>
      <c r="D10" s="104"/>
      <c r="E10" s="104"/>
      <c r="F10" s="105"/>
      <c r="G10" s="22">
        <f>(G5-G6)*(1+'Fane 13. Nøgletal'!C9)</f>
        <v>11731527.488925325</v>
      </c>
      <c r="H10" s="14" t="s">
        <v>3</v>
      </c>
      <c r="I10" s="1"/>
    </row>
    <row r="11" spans="1:9" x14ac:dyDescent="0.25">
      <c r="A11" s="1"/>
      <c r="B11" s="106" t="s">
        <v>228</v>
      </c>
      <c r="C11" s="107"/>
      <c r="D11" s="107"/>
      <c r="E11" s="107"/>
      <c r="F11" s="108"/>
      <c r="G11" s="47">
        <v>0</v>
      </c>
      <c r="H11" s="14" t="s">
        <v>3</v>
      </c>
      <c r="I11" s="1"/>
    </row>
    <row r="12" spans="1:9" x14ac:dyDescent="0.25">
      <c r="A12" s="1"/>
      <c r="B12" s="103" t="s">
        <v>39</v>
      </c>
      <c r="C12" s="104"/>
      <c r="D12" s="104"/>
      <c r="E12" s="104"/>
      <c r="F12" s="105"/>
      <c r="G12" s="22">
        <f>(G10+G11)*'Fane 13. Nøgletal'!C33</f>
        <v>234630.54977850651</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0" t="s">
        <v>46</v>
      </c>
      <c r="C15" s="101"/>
      <c r="D15" s="101"/>
      <c r="E15" s="101"/>
      <c r="F15" s="101"/>
      <c r="G15" s="101"/>
      <c r="H15" s="102"/>
      <c r="I15" s="1"/>
    </row>
    <row r="16" spans="1:9" x14ac:dyDescent="0.25">
      <c r="A16" s="1"/>
      <c r="B16" s="103" t="s">
        <v>40</v>
      </c>
      <c r="C16" s="104"/>
      <c r="D16" s="104"/>
      <c r="E16" s="104"/>
      <c r="F16" s="105"/>
      <c r="G16" s="22">
        <f>(G10+G11-G12)*(1+'Fane 13. Nøgletal'!C11)</f>
        <v>11691194.497418398</v>
      </c>
      <c r="H16" s="14" t="s">
        <v>3</v>
      </c>
      <c r="I16" s="1"/>
    </row>
    <row r="17" spans="1:9" x14ac:dyDescent="0.25">
      <c r="A17" s="1"/>
      <c r="B17" s="103" t="s">
        <v>100</v>
      </c>
      <c r="C17" s="104"/>
      <c r="D17" s="104"/>
      <c r="E17" s="104"/>
      <c r="F17" s="105"/>
      <c r="G17" s="47">
        <v>0</v>
      </c>
      <c r="H17" s="14" t="s">
        <v>3</v>
      </c>
      <c r="I17" s="1"/>
    </row>
    <row r="18" spans="1:9" x14ac:dyDescent="0.25">
      <c r="A18" s="1"/>
      <c r="B18" s="106" t="s">
        <v>229</v>
      </c>
      <c r="C18" s="107"/>
      <c r="D18" s="107"/>
      <c r="E18" s="107"/>
      <c r="F18" s="108"/>
      <c r="G18" s="47">
        <v>0</v>
      </c>
      <c r="H18" s="14" t="s">
        <v>3</v>
      </c>
      <c r="I18" s="1"/>
    </row>
    <row r="19" spans="1:9" x14ac:dyDescent="0.25">
      <c r="A19" s="1"/>
      <c r="B19" s="103" t="s">
        <v>41</v>
      </c>
      <c r="C19" s="104"/>
      <c r="D19" s="104"/>
      <c r="E19" s="104"/>
      <c r="F19" s="105"/>
      <c r="G19" s="22">
        <f>SUM(G16:G18)*'Fane 13. Nøgletal'!C33</f>
        <v>233823.88994836796</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0" t="s">
        <v>47</v>
      </c>
      <c r="C22" s="101"/>
      <c r="D22" s="101"/>
      <c r="E22" s="101"/>
      <c r="F22" s="101"/>
      <c r="G22" s="101"/>
      <c r="H22" s="102"/>
      <c r="I22" s="1"/>
    </row>
    <row r="23" spans="1:9" x14ac:dyDescent="0.25">
      <c r="A23" s="1"/>
      <c r="B23" s="103" t="s">
        <v>42</v>
      </c>
      <c r="C23" s="104"/>
      <c r="D23" s="104"/>
      <c r="E23" s="104"/>
      <c r="F23" s="105"/>
      <c r="G23" s="22">
        <f>(SUM(G16:G18)-G19)*(1+'Fane 13. Nøgletal'!C11)</f>
        <v>11651000.170736272</v>
      </c>
      <c r="H23" s="14" t="s">
        <v>3</v>
      </c>
      <c r="I23" s="1"/>
    </row>
    <row r="24" spans="1:9" x14ac:dyDescent="0.25">
      <c r="A24" s="1"/>
      <c r="B24" s="106" t="s">
        <v>230</v>
      </c>
      <c r="C24" s="107"/>
      <c r="D24" s="107"/>
      <c r="E24" s="107"/>
      <c r="F24" s="108"/>
      <c r="G24" s="47">
        <v>0</v>
      </c>
      <c r="H24" s="14" t="s">
        <v>3</v>
      </c>
      <c r="I24" s="1"/>
    </row>
    <row r="25" spans="1:9" x14ac:dyDescent="0.25">
      <c r="A25" s="1"/>
      <c r="B25" s="103" t="s">
        <v>43</v>
      </c>
      <c r="C25" s="104"/>
      <c r="D25" s="104"/>
      <c r="E25" s="104"/>
      <c r="F25" s="105"/>
      <c r="G25" s="22">
        <f>(G23+G24)*'Fane 13. Nøgletal'!C33</f>
        <v>233020.00341472545</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0" t="s">
        <v>121</v>
      </c>
      <c r="C28" s="101"/>
      <c r="D28" s="101"/>
      <c r="E28" s="101"/>
      <c r="F28" s="101"/>
      <c r="G28" s="101"/>
      <c r="H28" s="102"/>
      <c r="I28" s="1"/>
    </row>
    <row r="29" spans="1:9" x14ac:dyDescent="0.25">
      <c r="A29" s="1"/>
      <c r="B29" s="103" t="s">
        <v>50</v>
      </c>
      <c r="C29" s="104"/>
      <c r="D29" s="104"/>
      <c r="E29" s="104"/>
      <c r="F29" s="105"/>
      <c r="G29" s="22">
        <f>(G23+G24-G25)*(1+'Fane 13. Nøgletal'!C13)</f>
        <v>11557279.525362868</v>
      </c>
      <c r="H29" s="14" t="s">
        <v>3</v>
      </c>
      <c r="I29" s="1"/>
    </row>
    <row r="30" spans="1:9" x14ac:dyDescent="0.25">
      <c r="A30" s="1"/>
      <c r="B30" s="103" t="s">
        <v>231</v>
      </c>
      <c r="C30" s="104"/>
      <c r="D30" s="104"/>
      <c r="E30" s="104"/>
      <c r="F30" s="105"/>
      <c r="G30" s="47">
        <v>0</v>
      </c>
      <c r="H30" s="14" t="s">
        <v>3</v>
      </c>
      <c r="I30" s="1"/>
    </row>
    <row r="31" spans="1:9" x14ac:dyDescent="0.25">
      <c r="A31" s="1"/>
      <c r="B31" s="103" t="s">
        <v>115</v>
      </c>
      <c r="C31" s="104"/>
      <c r="D31" s="104"/>
      <c r="E31" s="104"/>
      <c r="F31" s="105"/>
      <c r="G31" s="22">
        <f>(G29+G30)*'Fane 13. Nøgletal'!C33</f>
        <v>231145.59050725735</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0" t="s">
        <v>122</v>
      </c>
      <c r="C34" s="101"/>
      <c r="D34" s="101"/>
      <c r="E34" s="101"/>
      <c r="F34" s="101"/>
      <c r="G34" s="101"/>
      <c r="H34" s="102"/>
      <c r="I34" s="1"/>
    </row>
    <row r="35" spans="1:9" x14ac:dyDescent="0.25">
      <c r="A35" s="1"/>
      <c r="B35" s="103" t="s">
        <v>69</v>
      </c>
      <c r="C35" s="104"/>
      <c r="D35" s="104"/>
      <c r="E35" s="104"/>
      <c r="F35" s="105"/>
      <c r="G35" s="22">
        <f>(G29+G30-G31)*(1+'Fane 13. Nøgletal'!C13)</f>
        <v>11464312.768860849</v>
      </c>
      <c r="H35" s="14" t="s">
        <v>3</v>
      </c>
      <c r="I35" s="1"/>
    </row>
    <row r="36" spans="1:9" x14ac:dyDescent="0.25">
      <c r="A36" s="1"/>
      <c r="B36" s="103" t="s">
        <v>232</v>
      </c>
      <c r="C36" s="104"/>
      <c r="D36" s="104"/>
      <c r="E36" s="104"/>
      <c r="F36" s="105"/>
      <c r="G36" s="47">
        <v>0</v>
      </c>
      <c r="H36" s="14" t="s">
        <v>3</v>
      </c>
      <c r="I36" s="1"/>
    </row>
    <row r="37" spans="1:9" x14ac:dyDescent="0.25">
      <c r="A37" s="1"/>
      <c r="B37" s="103" t="s">
        <v>123</v>
      </c>
      <c r="C37" s="104"/>
      <c r="D37" s="104"/>
      <c r="E37" s="104"/>
      <c r="F37" s="105"/>
      <c r="G37" s="22">
        <f>(G35+G36)*'Fane 13. Nøgletal'!C33</f>
        <v>229286.25537721696</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0" t="s">
        <v>157</v>
      </c>
      <c r="C40" s="101"/>
      <c r="D40" s="101"/>
      <c r="E40" s="101"/>
      <c r="F40" s="101"/>
      <c r="G40" s="101"/>
      <c r="H40" s="102"/>
      <c r="I40" s="1"/>
    </row>
    <row r="41" spans="1:9" x14ac:dyDescent="0.25">
      <c r="A41" s="1"/>
      <c r="B41" s="103" t="s">
        <v>68</v>
      </c>
      <c r="C41" s="104"/>
      <c r="D41" s="104"/>
      <c r="E41" s="104"/>
      <c r="F41" s="105"/>
      <c r="G41" s="22">
        <f>(G35+G36-G37)*(1+'Fane 13. Nøgletal'!C15)</f>
        <v>11634993.45736365</v>
      </c>
      <c r="H41" s="14" t="s">
        <v>3</v>
      </c>
      <c r="I41" s="1"/>
    </row>
    <row r="42" spans="1:9" x14ac:dyDescent="0.25">
      <c r="A42" s="1"/>
      <c r="B42" s="103" t="s">
        <v>156</v>
      </c>
      <c r="C42" s="104"/>
      <c r="D42" s="104"/>
      <c r="E42" s="104"/>
      <c r="F42" s="105"/>
      <c r="G42" s="55">
        <v>0</v>
      </c>
      <c r="H42" s="14" t="s">
        <v>3</v>
      </c>
      <c r="I42" s="1"/>
    </row>
    <row r="43" spans="1:9" x14ac:dyDescent="0.25">
      <c r="A43" s="1"/>
      <c r="B43" s="103" t="s">
        <v>166</v>
      </c>
      <c r="C43" s="104"/>
      <c r="D43" s="104"/>
      <c r="E43" s="104"/>
      <c r="F43" s="105"/>
      <c r="G43" s="22">
        <f>(G41+G42)*'Fane 13. Nøgletal'!C33</f>
        <v>232699.86914727301</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0" t="s">
        <v>158</v>
      </c>
      <c r="C46" s="101"/>
      <c r="D46" s="101"/>
      <c r="E46" s="101"/>
      <c r="F46" s="101"/>
      <c r="G46" s="101"/>
      <c r="H46" s="102"/>
      <c r="I46" s="1"/>
    </row>
    <row r="47" spans="1:9" x14ac:dyDescent="0.25">
      <c r="A47" s="1"/>
      <c r="B47" s="103" t="s">
        <v>112</v>
      </c>
      <c r="C47" s="104"/>
      <c r="D47" s="104"/>
      <c r="E47" s="104"/>
      <c r="F47" s="105"/>
      <c r="G47" s="22">
        <f>(G41+G42-G43)*(1+'Fane 13. Nøgletal'!C15)</f>
        <v>11808215.239956882</v>
      </c>
      <c r="H47" s="14" t="s">
        <v>3</v>
      </c>
      <c r="I47" s="1"/>
    </row>
    <row r="48" spans="1:9" x14ac:dyDescent="0.25">
      <c r="A48" s="1"/>
      <c r="B48" s="103" t="s">
        <v>206</v>
      </c>
      <c r="C48" s="104"/>
      <c r="D48" s="104"/>
      <c r="E48" s="104"/>
      <c r="F48" s="105"/>
      <c r="G48" s="22">
        <f>('Fane 2.1. Økonomisk ramme 2024'!C9+'Fane 2.1. Økonomisk ramme 2024'!C11+'Fane 2.1. Økonomisk ramme 2024'!C13)*(1+'Fane 13. Nøgletal'!C16)</f>
        <v>420409.49753599998</v>
      </c>
      <c r="H48" s="14" t="s">
        <v>3</v>
      </c>
      <c r="I48" s="1"/>
    </row>
    <row r="49" spans="1:9" x14ac:dyDescent="0.25">
      <c r="A49" s="1"/>
      <c r="B49" s="103" t="s">
        <v>167</v>
      </c>
      <c r="C49" s="104"/>
      <c r="D49" s="104"/>
      <c r="E49" s="104"/>
      <c r="F49" s="105"/>
      <c r="G49" s="22">
        <f>G47*'Fane 13. Nøgletal'!C33+G48*'Fane 13. Nøgletal'!C33</f>
        <v>244572.49474985764</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0" t="s">
        <v>133</v>
      </c>
      <c r="C52" s="101"/>
      <c r="D52" s="101"/>
      <c r="E52" s="101"/>
      <c r="F52" s="101"/>
      <c r="G52" s="101"/>
      <c r="H52" s="102"/>
      <c r="I52" s="1"/>
    </row>
    <row r="53" spans="1:9" x14ac:dyDescent="0.25">
      <c r="A53" s="1"/>
      <c r="B53" s="103" t="s">
        <v>134</v>
      </c>
      <c r="C53" s="104"/>
      <c r="D53" s="104"/>
      <c r="E53" s="104"/>
      <c r="F53" s="105"/>
      <c r="G53" s="22">
        <f>(G47+G48-G49)*(1+'Fane 13. Nøgletal'!C16)</f>
        <v>12952363.663956661</v>
      </c>
      <c r="H53" s="14" t="s">
        <v>3</v>
      </c>
      <c r="I53" s="1"/>
    </row>
    <row r="54" spans="1:9" x14ac:dyDescent="0.25">
      <c r="A54" s="1"/>
      <c r="B54" s="103" t="s">
        <v>135</v>
      </c>
      <c r="C54" s="104"/>
      <c r="D54" s="104"/>
      <c r="E54" s="104"/>
      <c r="F54" s="105"/>
      <c r="G54" s="22">
        <f>(G53)*'Fane 13. Nøgletal'!C33</f>
        <v>259047.27327913322</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0" t="s">
        <v>144</v>
      </c>
      <c r="C57" s="101"/>
      <c r="D57" s="101"/>
      <c r="E57" s="101"/>
      <c r="F57" s="101"/>
      <c r="G57" s="101"/>
      <c r="H57" s="102"/>
      <c r="I57" s="1"/>
    </row>
    <row r="58" spans="1:9" x14ac:dyDescent="0.25">
      <c r="A58" s="1"/>
      <c r="B58" s="103" t="s">
        <v>145</v>
      </c>
      <c r="C58" s="104"/>
      <c r="D58" s="104"/>
      <c r="E58" s="104"/>
      <c r="F58" s="105"/>
      <c r="G58" s="22">
        <f>(G53-G54)*(1+'Fane 13. Nøgletal'!C16)</f>
        <v>13718936.355044272</v>
      </c>
      <c r="H58" s="14" t="s">
        <v>3</v>
      </c>
      <c r="I58" s="1"/>
    </row>
    <row r="59" spans="1:9" x14ac:dyDescent="0.25">
      <c r="A59" s="1"/>
      <c r="B59" s="103" t="s">
        <v>146</v>
      </c>
      <c r="C59" s="104"/>
      <c r="D59" s="104"/>
      <c r="E59" s="104"/>
      <c r="F59" s="105"/>
      <c r="G59" s="22">
        <f>(G58)*'Fane 13. Nøgletal'!C33</f>
        <v>274378.72710088541</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0" t="s">
        <v>220</v>
      </c>
      <c r="C62" s="101"/>
      <c r="D62" s="101"/>
      <c r="E62" s="101"/>
      <c r="F62" s="101"/>
      <c r="G62" s="101"/>
      <c r="H62" s="102"/>
      <c r="I62" s="1"/>
    </row>
    <row r="63" spans="1:9" x14ac:dyDescent="0.25">
      <c r="A63" s="1"/>
      <c r="B63" s="103" t="s">
        <v>221</v>
      </c>
      <c r="C63" s="104"/>
      <c r="D63" s="104"/>
      <c r="E63" s="104"/>
      <c r="F63" s="105"/>
      <c r="G63" s="22">
        <f>(G58-G59)*(1+'Fane 13. Nøgletal'!C16)</f>
        <v>14530877.884281212</v>
      </c>
      <c r="H63" s="14" t="s">
        <v>3</v>
      </c>
      <c r="I63" s="1"/>
    </row>
    <row r="64" spans="1:9" x14ac:dyDescent="0.25">
      <c r="A64" s="1"/>
      <c r="B64" s="103" t="s">
        <v>222</v>
      </c>
      <c r="C64" s="104"/>
      <c r="D64" s="104"/>
      <c r="E64" s="104"/>
      <c r="F64" s="105"/>
      <c r="G64" s="22">
        <f>(G63)*'Fane 13. Nøgletal'!C33</f>
        <v>290617.55768562428</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cwhS3pQ07fiSR7HXdQp5kk2v0vU2zPvkrfOrEzrp5LAywx/u6NCIg/7NXZgsKM2gZg9ATpeku4rYO3xkrsMoIQ==" saltValue="3OsiTjYU04p9HvzHGQV93Q=="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9" t="s">
        <v>91</v>
      </c>
      <c r="C1" s="110"/>
      <c r="D1" s="110"/>
      <c r="E1" s="110"/>
      <c r="F1" s="110"/>
      <c r="G1" s="110"/>
      <c r="H1" s="110"/>
      <c r="I1" s="1"/>
    </row>
    <row r="2" spans="1:9" ht="19.899999999999999" customHeight="1" x14ac:dyDescent="0.25">
      <c r="A2" s="1"/>
      <c r="B2" s="110"/>
      <c r="C2" s="110"/>
      <c r="D2" s="110"/>
      <c r="E2" s="110"/>
      <c r="F2" s="110"/>
      <c r="G2" s="110"/>
      <c r="H2" s="110"/>
      <c r="I2" s="1"/>
    </row>
    <row r="3" spans="1:9" ht="15" customHeight="1" x14ac:dyDescent="0.25">
      <c r="A3" s="1"/>
      <c r="B3" s="111"/>
      <c r="C3" s="111"/>
      <c r="D3" s="111"/>
      <c r="E3" s="111"/>
      <c r="F3" s="111"/>
      <c r="G3" s="111"/>
      <c r="H3" s="111"/>
      <c r="I3" s="1"/>
    </row>
    <row r="4" spans="1:9" x14ac:dyDescent="0.25">
      <c r="A4" s="1"/>
      <c r="B4" s="100" t="s">
        <v>48</v>
      </c>
      <c r="C4" s="101"/>
      <c r="D4" s="101"/>
      <c r="E4" s="101"/>
      <c r="F4" s="101"/>
      <c r="G4" s="101"/>
      <c r="H4" s="102"/>
      <c r="I4" s="1"/>
    </row>
    <row r="5" spans="1:9" x14ac:dyDescent="0.25">
      <c r="A5" s="1"/>
      <c r="B5" s="103" t="s">
        <v>51</v>
      </c>
      <c r="C5" s="104"/>
      <c r="D5" s="104"/>
      <c r="E5" s="104"/>
      <c r="F5" s="105"/>
      <c r="G5" s="47">
        <v>6891332.6475916887</v>
      </c>
      <c r="H5" s="14" t="s">
        <v>3</v>
      </c>
      <c r="I5" s="1"/>
    </row>
    <row r="6" spans="1:9" x14ac:dyDescent="0.25">
      <c r="A6" s="1"/>
      <c r="B6" s="103" t="s">
        <v>49</v>
      </c>
      <c r="C6" s="104"/>
      <c r="D6" s="104"/>
      <c r="E6" s="104"/>
      <c r="F6" s="105"/>
      <c r="G6" s="22">
        <f>G5*'Fane 13. Nøgletal'!C21</f>
        <v>62711.127093084368</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0" t="s">
        <v>52</v>
      </c>
      <c r="C9" s="101"/>
      <c r="D9" s="101"/>
      <c r="E9" s="101"/>
      <c r="F9" s="101"/>
      <c r="G9" s="101"/>
      <c r="H9" s="102"/>
      <c r="I9" s="1"/>
    </row>
    <row r="10" spans="1:9" x14ac:dyDescent="0.25">
      <c r="A10" s="1"/>
      <c r="B10" s="103" t="s">
        <v>53</v>
      </c>
      <c r="C10" s="104"/>
      <c r="D10" s="104"/>
      <c r="E10" s="104"/>
      <c r="F10" s="105"/>
      <c r="G10" s="22">
        <f>(G5-G6)*(1+'Fane 13. Nøgletal'!C9)</f>
        <v>6915345.0138089359</v>
      </c>
      <c r="H10" s="14" t="s">
        <v>3</v>
      </c>
      <c r="I10" s="1"/>
    </row>
    <row r="11" spans="1:9" x14ac:dyDescent="0.25">
      <c r="A11" s="1"/>
      <c r="B11" s="106" t="s">
        <v>54</v>
      </c>
      <c r="C11" s="107"/>
      <c r="D11" s="107"/>
      <c r="E11" s="107"/>
      <c r="F11" s="108"/>
      <c r="G11" s="48">
        <v>0</v>
      </c>
      <c r="H11" s="14" t="s">
        <v>3</v>
      </c>
      <c r="I11" s="1"/>
    </row>
    <row r="12" spans="1:9" x14ac:dyDescent="0.25">
      <c r="A12" s="1"/>
      <c r="B12" s="103" t="s">
        <v>55</v>
      </c>
      <c r="C12" s="104"/>
      <c r="D12" s="104"/>
      <c r="E12" s="104"/>
      <c r="F12" s="105"/>
      <c r="G12" s="22">
        <f>G10*'Fane 13. Nøgletal'!C21+G11*'Fane 13. Nøgletal'!C22</f>
        <v>62929.639625661322</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0" t="s">
        <v>56</v>
      </c>
      <c r="C15" s="101"/>
      <c r="D15" s="101"/>
      <c r="E15" s="101"/>
      <c r="F15" s="101"/>
      <c r="G15" s="101"/>
      <c r="H15" s="102"/>
      <c r="I15" s="1"/>
    </row>
    <row r="16" spans="1:9" x14ac:dyDescent="0.25">
      <c r="A16" s="1"/>
      <c r="B16" s="103" t="s">
        <v>57</v>
      </c>
      <c r="C16" s="104"/>
      <c r="D16" s="104"/>
      <c r="E16" s="104"/>
      <c r="F16" s="105"/>
      <c r="G16" s="22">
        <f>(G10+G11-G12)*(1+'Fane 13. Nøgletal'!C11)</f>
        <v>6968221.194006972</v>
      </c>
      <c r="H16" s="14" t="s">
        <v>3</v>
      </c>
      <c r="I16" s="1"/>
    </row>
    <row r="17" spans="1:9" x14ac:dyDescent="0.25">
      <c r="A17" s="1"/>
      <c r="B17" s="103" t="s">
        <v>101</v>
      </c>
      <c r="C17" s="104"/>
      <c r="D17" s="104"/>
      <c r="E17" s="104"/>
      <c r="F17" s="105"/>
      <c r="G17" s="47">
        <v>-65791.358830052399</v>
      </c>
      <c r="H17" s="14" t="s">
        <v>3</v>
      </c>
      <c r="I17" s="1"/>
    </row>
    <row r="18" spans="1:9" x14ac:dyDescent="0.25">
      <c r="A18" s="1"/>
      <c r="B18" s="106" t="s">
        <v>58</v>
      </c>
      <c r="C18" s="107"/>
      <c r="D18" s="107"/>
      <c r="E18" s="107"/>
      <c r="F18" s="108"/>
      <c r="G18" s="47">
        <v>108009.20787888998</v>
      </c>
      <c r="H18" s="14" t="s">
        <v>3</v>
      </c>
      <c r="I18" s="1"/>
    </row>
    <row r="19" spans="1:9" x14ac:dyDescent="0.25">
      <c r="A19" s="1"/>
      <c r="B19" s="103" t="s">
        <v>59</v>
      </c>
      <c r="C19" s="104"/>
      <c r="D19" s="104"/>
      <c r="E19" s="104"/>
      <c r="F19" s="105"/>
      <c r="G19" s="22">
        <f>(G16+G17+G18)*'Fane 13. Nøgletal'!C23</f>
        <v>60990.819674585546</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0" t="s">
        <v>60</v>
      </c>
      <c r="C22" s="101"/>
      <c r="D22" s="101"/>
      <c r="E22" s="101"/>
      <c r="F22" s="101"/>
      <c r="G22" s="101"/>
      <c r="H22" s="102"/>
      <c r="I22" s="1"/>
    </row>
    <row r="23" spans="1:9" x14ac:dyDescent="0.25">
      <c r="A23" s="1"/>
      <c r="B23" s="103" t="s">
        <v>61</v>
      </c>
      <c r="C23" s="104"/>
      <c r="D23" s="104"/>
      <c r="E23" s="104"/>
      <c r="F23" s="105"/>
      <c r="G23" s="22">
        <f>(SUM(G16:G18)-G19)*(1+'Fane 13. Nøgletal'!C11)</f>
        <v>7066893.898356366</v>
      </c>
      <c r="H23" s="14" t="s">
        <v>3</v>
      </c>
      <c r="I23" s="1"/>
    </row>
    <row r="24" spans="1:9" x14ac:dyDescent="0.25">
      <c r="A24" s="1"/>
      <c r="B24" s="106" t="s">
        <v>62</v>
      </c>
      <c r="C24" s="107"/>
      <c r="D24" s="107"/>
      <c r="E24" s="107"/>
      <c r="F24" s="108"/>
      <c r="G24" s="47">
        <v>722938.56029594108</v>
      </c>
      <c r="H24" s="14" t="s">
        <v>3</v>
      </c>
      <c r="I24" s="1"/>
    </row>
    <row r="25" spans="1:9" x14ac:dyDescent="0.25">
      <c r="A25" s="1"/>
      <c r="B25" s="103" t="s">
        <v>63</v>
      </c>
      <c r="C25" s="104"/>
      <c r="D25" s="104"/>
      <c r="E25" s="104"/>
      <c r="F25" s="105"/>
      <c r="G25" s="22">
        <f>G23*'Fane 13. Nøgletal'!C23+G24*'Fane 13. Nøgletal'!C24</f>
        <v>82013.432028105104</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0" t="s">
        <v>119</v>
      </c>
      <c r="C28" s="101"/>
      <c r="D28" s="101"/>
      <c r="E28" s="101"/>
      <c r="F28" s="101"/>
      <c r="G28" s="101"/>
      <c r="H28" s="102"/>
      <c r="I28" s="1"/>
    </row>
    <row r="29" spans="1:9" x14ac:dyDescent="0.25">
      <c r="A29" s="1"/>
      <c r="B29" s="103" t="s">
        <v>64</v>
      </c>
      <c r="C29" s="104"/>
      <c r="D29" s="104"/>
      <c r="E29" s="104"/>
      <c r="F29" s="105"/>
      <c r="G29" s="22">
        <f>(G23+G24-G25)*(1+'Fane 13. Nøgletal'!C13)</f>
        <v>7801854.4187490167</v>
      </c>
      <c r="H29" s="14" t="s">
        <v>3</v>
      </c>
      <c r="I29" s="1"/>
    </row>
    <row r="30" spans="1:9" x14ac:dyDescent="0.25">
      <c r="A30" s="1"/>
      <c r="B30" s="103" t="s">
        <v>113</v>
      </c>
      <c r="C30" s="104"/>
      <c r="D30" s="104"/>
      <c r="E30" s="104"/>
      <c r="F30" s="105"/>
      <c r="G30" s="47">
        <v>407242.7956674</v>
      </c>
      <c r="H30" s="14" t="s">
        <v>3</v>
      </c>
      <c r="I30" s="1"/>
    </row>
    <row r="31" spans="1:9" x14ac:dyDescent="0.25">
      <c r="A31" s="1"/>
      <c r="B31" s="103" t="s">
        <v>120</v>
      </c>
      <c r="C31" s="104"/>
      <c r="D31" s="104"/>
      <c r="E31" s="104"/>
      <c r="F31" s="105"/>
      <c r="G31" s="22">
        <f>(G29+G30)*'Fane 13. Nøgletal'!C25</f>
        <v>225750.17339645146</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0" t="s">
        <v>124</v>
      </c>
      <c r="C34" s="101"/>
      <c r="D34" s="101"/>
      <c r="E34" s="101"/>
      <c r="F34" s="101"/>
      <c r="G34" s="101"/>
      <c r="H34" s="102"/>
      <c r="I34" s="1"/>
    </row>
    <row r="35" spans="1:9" x14ac:dyDescent="0.25">
      <c r="A35" s="1"/>
      <c r="B35" s="103" t="s">
        <v>67</v>
      </c>
      <c r="C35" s="104"/>
      <c r="D35" s="104"/>
      <c r="E35" s="104"/>
      <c r="F35" s="105"/>
      <c r="G35" s="22">
        <f>(G29+G30-G31)*(1+'Fane 13. Nøgletal'!C13)</f>
        <v>8080743.8749204082</v>
      </c>
      <c r="H35" s="14" t="s">
        <v>3</v>
      </c>
      <c r="I35" s="1"/>
    </row>
    <row r="36" spans="1:9" x14ac:dyDescent="0.25">
      <c r="A36" s="1"/>
      <c r="B36" s="103" t="s">
        <v>129</v>
      </c>
      <c r="C36" s="104"/>
      <c r="D36" s="104"/>
      <c r="E36" s="104"/>
      <c r="F36" s="105"/>
      <c r="G36" s="55">
        <v>0</v>
      </c>
      <c r="H36" s="14" t="s">
        <v>3</v>
      </c>
      <c r="I36" s="1"/>
    </row>
    <row r="37" spans="1:9" x14ac:dyDescent="0.25">
      <c r="A37" s="1"/>
      <c r="B37" s="103" t="s">
        <v>125</v>
      </c>
      <c r="C37" s="104"/>
      <c r="D37" s="104"/>
      <c r="E37" s="104"/>
      <c r="F37" s="105"/>
      <c r="G37" s="22">
        <f>G35*'Fane 13. Nøgletal'!C25+G36*'Fane 13. Nøgletal'!C26</f>
        <v>222220.45656031123</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0" t="s">
        <v>159</v>
      </c>
      <c r="C40" s="101"/>
      <c r="D40" s="101"/>
      <c r="E40" s="101"/>
      <c r="F40" s="101"/>
      <c r="G40" s="101"/>
      <c r="H40" s="102"/>
      <c r="I40" s="1"/>
    </row>
    <row r="41" spans="1:9" x14ac:dyDescent="0.25">
      <c r="A41" s="1"/>
      <c r="B41" s="103" t="s">
        <v>66</v>
      </c>
      <c r="C41" s="104"/>
      <c r="D41" s="104"/>
      <c r="E41" s="104"/>
      <c r="F41" s="105"/>
      <c r="G41" s="22">
        <f>(G35+G36-G37)*(1+'Fane 13. Nøgletal'!C15)</f>
        <v>8138286.8520537177</v>
      </c>
      <c r="H41" s="14" t="s">
        <v>3</v>
      </c>
      <c r="I41" s="1"/>
    </row>
    <row r="42" spans="1:9" x14ac:dyDescent="0.25">
      <c r="A42" s="1"/>
      <c r="B42" s="103" t="s">
        <v>169</v>
      </c>
      <c r="C42" s="104"/>
      <c r="D42" s="104"/>
      <c r="E42" s="104"/>
      <c r="F42" s="105"/>
      <c r="G42" s="58">
        <v>0</v>
      </c>
      <c r="H42" s="14" t="s">
        <v>3</v>
      </c>
      <c r="I42" s="1"/>
    </row>
    <row r="43" spans="1:9" x14ac:dyDescent="0.25">
      <c r="A43" s="1"/>
      <c r="B43" s="103" t="s">
        <v>65</v>
      </c>
      <c r="C43" s="104"/>
      <c r="D43" s="104"/>
      <c r="E43" s="104"/>
      <c r="F43" s="105"/>
      <c r="G43" s="59">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0" t="s">
        <v>160</v>
      </c>
      <c r="C46" s="101"/>
      <c r="D46" s="101"/>
      <c r="E46" s="101"/>
      <c r="F46" s="101"/>
      <c r="G46" s="101"/>
      <c r="H46" s="102"/>
      <c r="I46" s="1"/>
    </row>
    <row r="47" spans="1:9" x14ac:dyDescent="0.25">
      <c r="A47" s="1"/>
      <c r="B47" s="103" t="s">
        <v>114</v>
      </c>
      <c r="C47" s="104"/>
      <c r="D47" s="104"/>
      <c r="E47" s="104"/>
      <c r="F47" s="105"/>
      <c r="G47" s="22">
        <f>(G41+G42-G43)*(1+'Fane 13. Nøgletal'!C15)</f>
        <v>8428009.8639868312</v>
      </c>
      <c r="H47" s="14" t="s">
        <v>3</v>
      </c>
      <c r="I47" s="1"/>
    </row>
    <row r="48" spans="1:9" x14ac:dyDescent="0.25">
      <c r="A48" s="1"/>
      <c r="B48" s="103" t="s">
        <v>210</v>
      </c>
      <c r="C48" s="104"/>
      <c r="D48" s="104"/>
      <c r="E48" s="104"/>
      <c r="F48" s="105"/>
      <c r="G48" s="22">
        <f>('Fane 2.1. Økonomisk ramme 2024'!C10+'Fane 2.1. Økonomisk ramme 2024'!C12+'Fane 2.1. Økonomisk ramme 2024'!C14)*(1+'Fane 13. Nøgletal'!C16)</f>
        <v>13135.606556799999</v>
      </c>
      <c r="H48" s="14" t="s">
        <v>3</v>
      </c>
      <c r="I48" s="1"/>
    </row>
    <row r="49" spans="1:9" x14ac:dyDescent="0.25">
      <c r="A49" s="1"/>
      <c r="B49" s="103" t="s">
        <v>211</v>
      </c>
      <c r="C49" s="104"/>
      <c r="D49" s="104"/>
      <c r="E49" s="104"/>
      <c r="F49" s="105"/>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0" t="s">
        <v>130</v>
      </c>
      <c r="C52" s="101"/>
      <c r="D52" s="101"/>
      <c r="E52" s="101"/>
      <c r="F52" s="101"/>
      <c r="G52" s="101"/>
      <c r="H52" s="102"/>
      <c r="I52" s="1"/>
    </row>
    <row r="53" spans="1:9" x14ac:dyDescent="0.25">
      <c r="A53" s="1"/>
      <c r="B53" s="103" t="s">
        <v>131</v>
      </c>
      <c r="C53" s="104"/>
      <c r="D53" s="104"/>
      <c r="E53" s="104"/>
      <c r="F53" s="105"/>
      <c r="G53" s="22">
        <f>(G47+G48-G49)*(1+'Fane 13. Nøgletal'!C16)</f>
        <v>9123190.0245635565</v>
      </c>
      <c r="H53" s="14" t="s">
        <v>3</v>
      </c>
      <c r="I53" s="1"/>
    </row>
    <row r="54" spans="1:9" x14ac:dyDescent="0.25">
      <c r="A54" s="1"/>
      <c r="B54" s="103" t="s">
        <v>132</v>
      </c>
      <c r="C54" s="104"/>
      <c r="D54" s="104"/>
      <c r="E54" s="104"/>
      <c r="F54" s="105"/>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0" t="s">
        <v>147</v>
      </c>
      <c r="C57" s="101"/>
      <c r="D57" s="101"/>
      <c r="E57" s="101"/>
      <c r="F57" s="101"/>
      <c r="G57" s="101"/>
      <c r="H57" s="102"/>
      <c r="I57" s="1"/>
    </row>
    <row r="58" spans="1:9" x14ac:dyDescent="0.25">
      <c r="A58" s="1"/>
      <c r="B58" s="103" t="s">
        <v>148</v>
      </c>
      <c r="C58" s="104"/>
      <c r="D58" s="104"/>
      <c r="E58" s="104"/>
      <c r="F58" s="105"/>
      <c r="G58" s="22">
        <f>(G53-G54)*(1+'Fane 13. Nøgletal'!C16)</f>
        <v>9860343.778548291</v>
      </c>
      <c r="H58" s="14" t="s">
        <v>3</v>
      </c>
      <c r="I58" s="1"/>
    </row>
    <row r="59" spans="1:9" x14ac:dyDescent="0.25">
      <c r="A59" s="1"/>
      <c r="B59" s="103" t="s">
        <v>149</v>
      </c>
      <c r="C59" s="104"/>
      <c r="D59" s="104"/>
      <c r="E59" s="104"/>
      <c r="F59" s="105"/>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0" t="s">
        <v>223</v>
      </c>
      <c r="C62" s="101"/>
      <c r="D62" s="101"/>
      <c r="E62" s="101"/>
      <c r="F62" s="101"/>
      <c r="G62" s="101"/>
      <c r="H62" s="102"/>
      <c r="I62" s="1"/>
    </row>
    <row r="63" spans="1:9" x14ac:dyDescent="0.25">
      <c r="A63" s="1"/>
      <c r="B63" s="103" t="s">
        <v>224</v>
      </c>
      <c r="C63" s="104"/>
      <c r="D63" s="104"/>
      <c r="E63" s="104"/>
      <c r="F63" s="105"/>
      <c r="G63" s="22">
        <f>(G58-G59)*(1+'Fane 13. Nøgletal'!C16)</f>
        <v>10657059.555854993</v>
      </c>
      <c r="H63" s="14" t="s">
        <v>3</v>
      </c>
      <c r="I63" s="1"/>
    </row>
    <row r="64" spans="1:9" x14ac:dyDescent="0.25">
      <c r="A64" s="1"/>
      <c r="B64" s="103" t="s">
        <v>225</v>
      </c>
      <c r="C64" s="104"/>
      <c r="D64" s="104"/>
      <c r="E64" s="104"/>
      <c r="F64" s="105"/>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TkKQwjztHRf8+IEzHuso2Kx6zNHN5xrsuk/2LdTGhDpr0wWescnmgcvsyZR6rV2ewB6P2JBVjB2j5FFQECKLkA==" saltValue="RrVKiecxNuCj5vEuhQURgQ=="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6" t="s">
        <v>77</v>
      </c>
      <c r="C3" s="96"/>
      <c r="D3" s="96"/>
      <c r="E3" s="96"/>
      <c r="F3" s="96"/>
      <c r="G3" s="96"/>
      <c r="H3" s="1"/>
    </row>
    <row r="4" spans="1:8" ht="15" customHeight="1" x14ac:dyDescent="0.25">
      <c r="A4" s="1"/>
      <c r="B4" s="96"/>
      <c r="C4" s="96"/>
      <c r="D4" s="96"/>
      <c r="E4" s="96"/>
      <c r="F4" s="96"/>
      <c r="G4" s="9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0" t="s">
        <v>9</v>
      </c>
      <c r="C8" s="101"/>
      <c r="D8" s="101"/>
      <c r="E8" s="101"/>
      <c r="F8" s="101"/>
      <c r="G8" s="102"/>
      <c r="H8" s="1"/>
    </row>
    <row r="9" spans="1:8" x14ac:dyDescent="0.25">
      <c r="A9" s="1"/>
      <c r="B9" s="64" t="s">
        <v>150</v>
      </c>
      <c r="C9" s="65"/>
      <c r="D9" s="65"/>
      <c r="E9" s="65"/>
      <c r="F9" s="66"/>
      <c r="G9" s="62">
        <v>8.9299793746365399E-3</v>
      </c>
      <c r="H9" s="1"/>
    </row>
    <row r="10" spans="1:8" x14ac:dyDescent="0.25">
      <c r="A10" s="1"/>
      <c r="B10" s="51"/>
      <c r="C10" s="52"/>
      <c r="D10" s="52"/>
      <c r="E10" s="52"/>
      <c r="F10" s="52"/>
      <c r="G10" s="19"/>
      <c r="H10" s="1"/>
    </row>
    <row r="11" spans="1:8" ht="15" customHeight="1" x14ac:dyDescent="0.25">
      <c r="A11" s="1"/>
      <c r="B11" s="112" t="s">
        <v>236</v>
      </c>
      <c r="C11" s="113"/>
      <c r="D11" s="113"/>
      <c r="E11" s="113"/>
      <c r="F11" s="113"/>
      <c r="G11" s="114"/>
      <c r="H11" s="1"/>
    </row>
    <row r="12" spans="1:8" ht="13.5" customHeight="1" x14ac:dyDescent="0.25">
      <c r="A12" s="1"/>
      <c r="B12" s="115"/>
      <c r="C12" s="116"/>
      <c r="D12" s="116"/>
      <c r="E12" s="116"/>
      <c r="F12" s="116"/>
      <c r="G12" s="117"/>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E9YmzR7nb0X9XAvjbAVkVO9lW6Xys4AS8cIWx/xc0jg/z6zOFsXlK6ezb5qsNumkaqps2GVl3M0I30Z08yLjUA==" saltValue="0M3OfZks2x9CB+iwFIlL7Q=="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2023-11-20T12:11:30Z</dcterms:modified>
</cp:coreProperties>
</file>