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Denne_projektmappe" defaultThemeVersion="124226"/>
  <mc:AlternateContent xmlns:mc="http://schemas.openxmlformats.org/markup-compatibility/2006">
    <mc:Choice Requires="x15">
      <x15ac:absPath xmlns:x15ac="http://schemas.microsoft.com/office/spreadsheetml/2010/11/ac" url="E:\VAND\Sagsbehandling\Spildevand\Kerteminde Forsyning - Spildevand AS (S057)\ØR2025\"/>
    </mc:Choice>
  </mc:AlternateContent>
  <xr:revisionPtr revIDLastSave="0" documentId="13_ncr:1_{ED348428-5AAC-40A9-AFA5-61EC05F4F0AF}"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ØR2024'!$B$8:$D$38</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<sst xmlns="http://schemas.openxmlformats.org/spreadsheetml/2006/main" count="551" uniqueCount="236">
  <si>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</si>
  <si>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</si>
  <si>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</si>
  <si>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</si>
  <si>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</si>
  <si>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</si>
  <si>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</si>
  <si>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</si>
  <si>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</si>
  <si>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</si>
  <si>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</si>
  <si>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</si>
  <si>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</si>
  <si>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</si>
  <si>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</si>
  <si>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</si>
  <si>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</si>
  <si>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</si>
  <si>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</si>
  <si>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</si>
  <si>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</si>
  <si>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</si>
  <si>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</si>
  <si>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</si>
  <si>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</si>
  <si>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</si>
  <si>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</si>
  <si>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</si>
  <si>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</si>
  <si>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</si>
  <si>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</si>
  <si>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</si>
  <si>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</si>
  <si>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</si>
  <si>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</si>
  <si>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</si>
  <si>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</si>
  <si>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</si>
  <si>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</si>
  <si>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</si>
  <si>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</si>
  <si>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</si>
  <si>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</si>
  <si>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</si>
  <si>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</si>
  <si>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</si>
  <si>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</si>
  <si>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</si>
  <si>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</si>
  <si>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</si>
  <si>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</si>
  <si>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</si>
  <si>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</si>
  <si>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</si>
  <si>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</si>
  <si>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</si>
  <si>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</si>
  <si>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</si>
  <si>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</si>
  <si>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</si>
  <si>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</si>
  <si>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</si>
  <si>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</si>
  <si>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</si>
  <si>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</si>
  <si>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</si>
  <si>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</si>
  <si>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</si>
  <si>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</si>
  <si>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</si>
  <si>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</si>
  <si>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</si>
  <si>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</si>
  <si>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</si>
  <si>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</si>
  <si>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</si>
  <si>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</si>
  <si>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</si>
  <si>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</si>
  <si>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</si>
  <si>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</si>
  <si>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</si>
  <si>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</si>
  <si>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</si>
  <si>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</si>
  <si>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</si>
  <si>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</si>
  <si>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</si>
  <si>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</si>
  <si>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</si>
  <si>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</si>
  <si>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</si>
  <si>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</si>
  <si>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</si>
  <si>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</si>
  <si>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</si>
  <si>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</si>
  <si>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</si>
  <si>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</si>
  <si>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</si>
  <si>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</si>
  <si>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</si>
  <si>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</si>
  <si>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</si>
  <si>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</si>
  <si>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</si>
  <si>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</si>
  <si>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</si>
  <si>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</si>
  <si>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</si>
  <si>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</si>
  <si>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</si>
  <si>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</si>
  <si>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</si>
  <si>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</si>
  <si>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</si>
  <si>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</si>
  <si>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</si>
  <si>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</si>
  <si>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</si>
  <si>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</si>
  <si>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</si>
  <si>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</si>
  <si>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</si>
  <si>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</si>
  <si>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</si>
  <si>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</si>
  <si>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</si>
  <si>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</si>
  <si>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</si>
  <si>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</si>
  <si>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</si>
  <si>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</si>
  <si>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</si>
  <si>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</si>
  <si>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</si>
  <si>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</si>
  <si>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</si>
  <si>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</si>
  <si>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</si>
  <si>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</si>
  <si>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</si>
  <si>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</si>
  <si>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</si>
  <si>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</si>
  <si>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</si>
  <si>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</si>
  <si>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</si>
  <si>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</si>
  <si>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</si>
  <si>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</si>
  <si>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</si>
  <si>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</si>
  <si>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</si>
  <si>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</si>
  <si>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</si>
  <si>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</si>
  <si>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</si>
  <si>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</si>
  <si>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</si>
  <si>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</si>
  <si>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</si>
  <si>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</si>
  <si>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</si>
  <si>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</si>
  <si>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</si>
  <si>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</si>
  <si>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</si>
  <si>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</si>
  <si>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</si>
  <si>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</si>
  <si>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</si>
  <si>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</si>
  <si>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</si>
  <si>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</si>
  <si>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</si>
  <si>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</si>
  <si>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</si>
  <si>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</si>
  <si>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</si>
  <si>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</si>
  <si>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</si>
  <si>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</si>
  <si>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</si>
  <si>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</si>
  <si>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</si>
  <si>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</si>
  <si>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</si>
  <si>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</si>
  <si>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</si>
  <si>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</si>
  <si>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</si>
  <si>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</si>
  <si>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</si>
  <si>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</si>
  <si>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</si>
  <si>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</si>
  <si>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</si>
  <si>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</si>
  <si>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</si>
  <si>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</si>
  <si>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</si>
  <si>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</si>
  <si>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</si>
  <si>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</si>
  <si>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</si>
  <si>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</si>
  <si>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</si>
  <si>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</si>
  <si>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</si>
  <si>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</si>
  <si>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</si>
  <si>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</si>
  <si>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</si>
  <si>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</si>
  <si>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</si>
  <si>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</si>
  <si>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</si>
  <si>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</si>
  <si>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</si>
  <si>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</si>
  <si>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</si>
  <si>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</si>
  <si>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</si>
  <si>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</si>
  <si>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</si>
  <si>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Spildevandsafgift</t>
  </si>
  <si>
    <t>Afgift til Forsyningssekretariatet</t>
  </si>
  <si>
    <t>Køb af ydelser og produkter fra andre vandselskaber reguleret af vandsektorloven</t>
  </si>
  <si>
    <t>Ejendomsskatter</t>
  </si>
  <si>
    <t>Gebyr til Miljøstyrelsen</t>
  </si>
  <si>
    <t>Til statusmeddelelse for 2025</t>
  </si>
  <si>
    <t>Separatkloakering af Mesinge</t>
  </si>
  <si>
    <t>Udvidelse af forsyningsområde 2022-2023</t>
  </si>
  <si>
    <t>Hjemtagning af spildevandsrensning</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</si>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</sst>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1" fontId="8" fillId="8" borderId="2" xfId="1" quotePrefix="1" applyNumberFormat="1" applyFont="1" applyFill="1" applyBorder="1" applyAlignment="1" applyProtection="1">
      <alignment horizontal="righ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5" t="s">
        <v>4</v>
      </c>
      <c r="D6" s="95"/>
      <c r="E6" s="95"/>
      <c r="F6" s="95"/>
      <c r="G6" s="3"/>
    </row>
    <row r="7" spans="1:7" ht="15" customHeight="1" x14ac:dyDescent="0.25">
      <c r="A7" s="1"/>
      <c r="B7" s="3"/>
      <c r="C7" s="95"/>
      <c r="D7" s="95"/>
      <c r="E7" s="95"/>
      <c r="F7" s="95"/>
      <c r="G7" s="3"/>
    </row>
    <row r="8" spans="1:7" ht="15.75" x14ac:dyDescent="0.25">
      <c r="A8" s="1"/>
      <c r="B8" s="4"/>
      <c r="C8" s="100" t="s">
        <v>231</v>
      </c>
      <c r="D8" s="100"/>
      <c r="E8" s="100"/>
      <c r="F8" s="100"/>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9" t="s">
        <v>5</v>
      </c>
      <c r="D11" s="99"/>
      <c r="E11" s="99"/>
      <c r="F11" s="99"/>
      <c r="G11" s="5"/>
    </row>
    <row r="12" spans="1:7" x14ac:dyDescent="0.25">
      <c r="A12" s="1"/>
      <c r="B12" s="1"/>
      <c r="C12" s="1"/>
      <c r="D12" s="1"/>
      <c r="E12" s="1"/>
      <c r="F12" s="1"/>
      <c r="G12" s="5"/>
    </row>
    <row r="13" spans="1:7" x14ac:dyDescent="0.25">
      <c r="A13" s="1"/>
      <c r="B13" s="6" t="s">
        <v>6</v>
      </c>
      <c r="C13" s="101" t="s">
        <v>127</v>
      </c>
      <c r="D13" s="102"/>
      <c r="E13" s="102"/>
      <c r="F13" s="103"/>
      <c r="G13" s="5"/>
    </row>
    <row r="14" spans="1:7" x14ac:dyDescent="0.25">
      <c r="A14" s="1"/>
      <c r="B14" s="6" t="s">
        <v>16</v>
      </c>
      <c r="C14" s="92" t="s">
        <v>186</v>
      </c>
      <c r="D14" s="93"/>
      <c r="E14" s="93"/>
      <c r="F14" s="94"/>
      <c r="G14" s="5"/>
    </row>
    <row r="15" spans="1:7" x14ac:dyDescent="0.25">
      <c r="A15" s="1"/>
      <c r="B15" s="6" t="s">
        <v>30</v>
      </c>
      <c r="C15" s="92" t="s">
        <v>149</v>
      </c>
      <c r="D15" s="93"/>
      <c r="E15" s="93"/>
      <c r="F15" s="94"/>
      <c r="G15" s="5"/>
    </row>
    <row r="16" spans="1:7" x14ac:dyDescent="0.25">
      <c r="A16" s="1"/>
      <c r="B16" s="6" t="s">
        <v>31</v>
      </c>
      <c r="C16" s="92" t="s">
        <v>151</v>
      </c>
      <c r="D16" s="93"/>
      <c r="E16" s="93"/>
      <c r="F16" s="94"/>
      <c r="G16" s="5"/>
    </row>
    <row r="17" spans="1:8" x14ac:dyDescent="0.25">
      <c r="A17" s="1"/>
      <c r="B17" s="6" t="s">
        <v>61</v>
      </c>
      <c r="C17" s="92" t="s">
        <v>152</v>
      </c>
      <c r="D17" s="93"/>
      <c r="E17" s="93"/>
      <c r="F17" s="94"/>
      <c r="G17" s="5"/>
    </row>
    <row r="18" spans="1:8" x14ac:dyDescent="0.25">
      <c r="A18" s="1"/>
      <c r="B18" s="6" t="s">
        <v>53</v>
      </c>
      <c r="C18" s="89" t="s">
        <v>45</v>
      </c>
      <c r="D18" s="90"/>
      <c r="E18" s="90"/>
      <c r="F18" s="91"/>
      <c r="G18" s="5"/>
    </row>
    <row r="19" spans="1:8" x14ac:dyDescent="0.25">
      <c r="A19" s="1"/>
      <c r="B19" s="6" t="s">
        <v>54</v>
      </c>
      <c r="C19" s="89" t="s">
        <v>46</v>
      </c>
      <c r="D19" s="90"/>
      <c r="E19" s="90"/>
      <c r="F19" s="91"/>
      <c r="G19" s="5"/>
    </row>
    <row r="20" spans="1:8" x14ac:dyDescent="0.25">
      <c r="A20" s="1"/>
      <c r="B20" s="6" t="s">
        <v>7</v>
      </c>
      <c r="C20" s="89" t="s">
        <v>10</v>
      </c>
      <c r="D20" s="90"/>
      <c r="E20" s="90"/>
      <c r="F20" s="91"/>
      <c r="G20" s="5"/>
    </row>
    <row r="21" spans="1:8" x14ac:dyDescent="0.25">
      <c r="A21" s="1"/>
      <c r="B21" s="6" t="s">
        <v>55</v>
      </c>
      <c r="C21" s="96" t="s">
        <v>12</v>
      </c>
      <c r="D21" s="97"/>
      <c r="E21" s="97"/>
      <c r="F21" s="98"/>
      <c r="G21" s="5"/>
    </row>
    <row r="22" spans="1:8" x14ac:dyDescent="0.25">
      <c r="A22" s="1"/>
      <c r="B22" s="6" t="s">
        <v>39</v>
      </c>
      <c r="C22" s="83" t="s">
        <v>153</v>
      </c>
      <c r="D22" s="84"/>
      <c r="E22" s="84"/>
      <c r="F22" s="85"/>
      <c r="G22" s="5"/>
    </row>
    <row r="23" spans="1:8" x14ac:dyDescent="0.25">
      <c r="A23" s="1"/>
      <c r="B23" s="6" t="s">
        <v>8</v>
      </c>
      <c r="C23" s="83" t="s">
        <v>112</v>
      </c>
      <c r="D23" s="84"/>
      <c r="E23" s="84"/>
      <c r="F23" s="85"/>
      <c r="G23" s="5"/>
    </row>
    <row r="24" spans="1:8" x14ac:dyDescent="0.25">
      <c r="A24" s="1"/>
      <c r="B24" s="6" t="s">
        <v>9</v>
      </c>
      <c r="C24" s="83" t="s">
        <v>154</v>
      </c>
      <c r="D24" s="84"/>
      <c r="E24" s="84"/>
      <c r="F24" s="85"/>
      <c r="G24" s="5"/>
    </row>
    <row r="25" spans="1:8" x14ac:dyDescent="0.25">
      <c r="A25" s="1"/>
      <c r="B25" s="6" t="s">
        <v>97</v>
      </c>
      <c r="C25" s="83" t="s">
        <v>91</v>
      </c>
      <c r="D25" s="84"/>
      <c r="E25" s="84"/>
      <c r="F25" s="85"/>
      <c r="G25" s="1"/>
    </row>
    <row r="26" spans="1:8" x14ac:dyDescent="0.25">
      <c r="A26" s="1"/>
      <c r="B26" s="6" t="s">
        <v>98</v>
      </c>
      <c r="C26" s="83" t="s">
        <v>40</v>
      </c>
      <c r="D26" s="84"/>
      <c r="E26" s="84"/>
      <c r="F26" s="85"/>
      <c r="G26" s="1"/>
    </row>
    <row r="27" spans="1:8" x14ac:dyDescent="0.25">
      <c r="A27" s="1"/>
      <c r="B27" s="6" t="s">
        <v>99</v>
      </c>
      <c r="C27" s="83" t="s">
        <v>41</v>
      </c>
      <c r="D27" s="84"/>
      <c r="E27" s="84"/>
      <c r="F27" s="85"/>
      <c r="G27" s="1"/>
    </row>
    <row r="28" spans="1:8" x14ac:dyDescent="0.25">
      <c r="A28" s="1"/>
      <c r="B28" s="6" t="s">
        <v>15</v>
      </c>
      <c r="C28" s="83" t="s">
        <v>42</v>
      </c>
      <c r="D28" s="84"/>
      <c r="E28" s="84"/>
      <c r="F28" s="85"/>
      <c r="G28" s="1"/>
      <c r="H28" s="2" t="s">
        <v>150</v>
      </c>
    </row>
    <row r="29" spans="1:8" x14ac:dyDescent="0.25">
      <c r="A29" s="1"/>
      <c r="B29" s="6" t="s">
        <v>33</v>
      </c>
      <c r="C29" s="83" t="s">
        <v>68</v>
      </c>
      <c r="D29" s="84"/>
      <c r="E29" s="84"/>
      <c r="F29" s="85"/>
      <c r="G29" s="1"/>
    </row>
    <row r="30" spans="1:8" x14ac:dyDescent="0.25">
      <c r="A30" s="1"/>
      <c r="B30" s="6" t="s">
        <v>34</v>
      </c>
      <c r="C30" s="83" t="s">
        <v>32</v>
      </c>
      <c r="D30" s="84"/>
      <c r="E30" s="84"/>
      <c r="F30" s="85"/>
      <c r="G30" s="1"/>
    </row>
    <row r="31" spans="1:8" x14ac:dyDescent="0.25">
      <c r="A31" s="1"/>
      <c r="B31" s="6" t="s">
        <v>100</v>
      </c>
      <c r="C31" s="86" t="s">
        <v>52</v>
      </c>
      <c r="D31" s="87"/>
      <c r="E31" s="87"/>
      <c r="F31" s="88"/>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sbYfuhqLcvX40F24MfB8rm5oVK0kRUm+uaNzyCUwiFCadGaJw9kw0D5jdlpBWVXl4sOC6xf6i/gvfkH9Pefeng==" saltValue="LKd4QkJ3JxrDl9eIyJP+kw=="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2" t="s">
        <v>226</v>
      </c>
      <c r="C10" s="73">
        <v>317536</v>
      </c>
      <c r="D10" s="14" t="s">
        <v>3</v>
      </c>
      <c r="E10" s="1"/>
    </row>
    <row r="11" spans="1:5" ht="15" customHeight="1" x14ac:dyDescent="0.25">
      <c r="A11" s="1"/>
      <c r="B11" s="72" t="s">
        <v>227</v>
      </c>
      <c r="C11" s="73">
        <v>60407</v>
      </c>
      <c r="D11" s="14" t="s">
        <v>3</v>
      </c>
      <c r="E11" s="1"/>
    </row>
    <row r="12" spans="1:5" ht="25.5" x14ac:dyDescent="0.25">
      <c r="A12" s="1"/>
      <c r="B12" s="72" t="s">
        <v>228</v>
      </c>
      <c r="C12" s="73">
        <v>3369208</v>
      </c>
      <c r="D12" s="14" t="s">
        <v>3</v>
      </c>
      <c r="E12" s="1"/>
    </row>
    <row r="13" spans="1:5" x14ac:dyDescent="0.25">
      <c r="A13" s="1"/>
      <c r="B13" s="72" t="s">
        <v>229</v>
      </c>
      <c r="C13" s="73">
        <v>60546</v>
      </c>
      <c r="D13" s="14" t="s">
        <v>3</v>
      </c>
      <c r="E13" s="1"/>
    </row>
    <row r="14" spans="1:5" x14ac:dyDescent="0.25">
      <c r="A14" s="1"/>
      <c r="B14" s="72" t="s">
        <v>230</v>
      </c>
      <c r="C14" s="73">
        <v>12660</v>
      </c>
      <c r="D14" s="14" t="s">
        <v>3</v>
      </c>
      <c r="E14" s="1"/>
    </row>
    <row r="15" spans="1:5" x14ac:dyDescent="0.25">
      <c r="A15" s="1"/>
      <c r="B15" s="72"/>
      <c r="C15" s="73"/>
      <c r="D15" s="14" t="s">
        <v>3</v>
      </c>
      <c r="E15" s="1"/>
    </row>
    <row r="16" spans="1:5" x14ac:dyDescent="0.25">
      <c r="A16" s="1"/>
      <c r="B16" s="72"/>
      <c r="C16" s="73"/>
      <c r="D16" s="14" t="s">
        <v>3</v>
      </c>
      <c r="E16" s="1"/>
    </row>
    <row r="17" spans="1:5" x14ac:dyDescent="0.25">
      <c r="A17" s="1"/>
      <c r="B17" s="72"/>
      <c r="C17" s="73"/>
      <c r="D17" s="14" t="s">
        <v>3</v>
      </c>
      <c r="E17" s="1"/>
    </row>
    <row r="18" spans="1:5" x14ac:dyDescent="0.25">
      <c r="A18" s="1"/>
      <c r="B18" s="72"/>
      <c r="C18" s="73"/>
      <c r="D18" s="14" t="s">
        <v>3</v>
      </c>
      <c r="E18" s="1"/>
    </row>
    <row r="19" spans="1:5" x14ac:dyDescent="0.25">
      <c r="A19" s="1"/>
      <c r="B19" s="72"/>
      <c r="C19" s="73"/>
      <c r="D19" s="14" t="s">
        <v>3</v>
      </c>
      <c r="E19" s="1"/>
    </row>
    <row r="20" spans="1:5" x14ac:dyDescent="0.25">
      <c r="A20" s="1"/>
      <c r="B20" s="33" t="s">
        <v>167</v>
      </c>
      <c r="C20" s="12">
        <f>SUM(C10:C19)</f>
        <v>3820357</v>
      </c>
      <c r="D20" s="13" t="s">
        <v>3</v>
      </c>
      <c r="E20" s="1"/>
    </row>
    <row r="21" spans="1:5" x14ac:dyDescent="0.25">
      <c r="A21" s="1"/>
      <c r="B21" s="33" t="s">
        <v>168</v>
      </c>
      <c r="C21" s="12">
        <f>C20*(1+'Fane 15. Nøgletal'!C10)^2</f>
        <v>4343729.44326133</v>
      </c>
      <c r="D21" s="13" t="s">
        <v>3</v>
      </c>
      <c r="E21" s="1"/>
    </row>
    <row r="22" spans="1:5" x14ac:dyDescent="0.25">
      <c r="A22" s="1"/>
      <c r="B22" s="16"/>
      <c r="C22" s="15"/>
      <c r="D22" s="15"/>
      <c r="E22" s="1"/>
    </row>
    <row r="23" spans="1:5" x14ac:dyDescent="0.25">
      <c r="A23" s="1"/>
      <c r="B23" s="16"/>
      <c r="C23" s="15"/>
      <c r="D23" s="15"/>
      <c r="E23" s="1"/>
    </row>
    <row r="24" spans="1:5" x14ac:dyDescent="0.25">
      <c r="A24" s="1"/>
      <c r="B24" s="108" t="s">
        <v>60</v>
      </c>
      <c r="C24" s="109"/>
      <c r="D24" s="110"/>
      <c r="E24" s="1"/>
    </row>
    <row r="25" spans="1:5" x14ac:dyDescent="0.25">
      <c r="A25" s="1"/>
      <c r="B25" s="37" t="s">
        <v>72</v>
      </c>
      <c r="C25" s="9"/>
      <c r="D25" s="14" t="s">
        <v>3</v>
      </c>
      <c r="E25" s="1"/>
    </row>
    <row r="26" spans="1:5" x14ac:dyDescent="0.25">
      <c r="A26" s="1"/>
      <c r="B26" s="37" t="s">
        <v>83</v>
      </c>
      <c r="C26" s="9"/>
      <c r="D26" s="14" t="s">
        <v>3</v>
      </c>
      <c r="E26" s="1"/>
    </row>
    <row r="27" spans="1:5" x14ac:dyDescent="0.25">
      <c r="A27" s="1"/>
      <c r="B27" s="37" t="s">
        <v>148</v>
      </c>
      <c r="C27" s="9"/>
      <c r="D27" s="14" t="s">
        <v>3</v>
      </c>
      <c r="E27" s="1"/>
    </row>
    <row r="28" spans="1:5" x14ac:dyDescent="0.25">
      <c r="A28" s="1"/>
      <c r="B28" s="34" t="s">
        <v>169</v>
      </c>
      <c r="C28" s="9"/>
      <c r="D28" s="36" t="s">
        <v>3</v>
      </c>
      <c r="E28" s="1"/>
    </row>
    <row r="29" spans="1:5" x14ac:dyDescent="0.25">
      <c r="A29" s="1"/>
      <c r="B29" s="108"/>
      <c r="C29" s="109"/>
      <c r="D29" s="110"/>
      <c r="E29" s="1"/>
    </row>
    <row r="30" spans="1:5" x14ac:dyDescent="0.25">
      <c r="A30" s="1"/>
      <c r="B30" s="1"/>
      <c r="C30" s="1"/>
      <c r="D30" s="1"/>
      <c r="E30" s="1"/>
    </row>
    <row r="31" spans="1:5" x14ac:dyDescent="0.25">
      <c r="A31" s="1"/>
      <c r="B31" s="1"/>
      <c r="C31" s="1"/>
      <c r="D31" s="1"/>
      <c r="E31" s="1"/>
    </row>
    <row r="32" spans="1:5" x14ac:dyDescent="0.25">
      <c r="A32" s="1"/>
      <c r="B32" s="108" t="s">
        <v>47</v>
      </c>
      <c r="C32" s="109"/>
      <c r="D32" s="110"/>
      <c r="E32" s="1"/>
    </row>
    <row r="33" spans="1:5" x14ac:dyDescent="0.25">
      <c r="A33" s="1"/>
      <c r="B33" s="37" t="s">
        <v>72</v>
      </c>
      <c r="C33" s="9"/>
      <c r="D33" s="14" t="s">
        <v>3</v>
      </c>
      <c r="E33" s="1"/>
    </row>
    <row r="34" spans="1:5" x14ac:dyDescent="0.25">
      <c r="A34" s="1"/>
      <c r="B34" s="37" t="s">
        <v>83</v>
      </c>
      <c r="C34" s="9"/>
      <c r="D34" s="14" t="s">
        <v>3</v>
      </c>
      <c r="E34" s="1"/>
    </row>
    <row r="35" spans="1:5" x14ac:dyDescent="0.25">
      <c r="A35" s="1"/>
      <c r="B35" s="37" t="s">
        <v>148</v>
      </c>
      <c r="C35" s="9"/>
      <c r="D35" s="14" t="s">
        <v>3</v>
      </c>
      <c r="E35" s="1"/>
    </row>
    <row r="36" spans="1:5" x14ac:dyDescent="0.25">
      <c r="A36" s="1"/>
      <c r="B36" s="34" t="s">
        <v>169</v>
      </c>
      <c r="C36" s="9"/>
      <c r="D36" s="36" t="s">
        <v>3</v>
      </c>
      <c r="E36" s="1"/>
    </row>
    <row r="37" spans="1:5" x14ac:dyDescent="0.25">
      <c r="A37" s="1"/>
      <c r="B37" s="108"/>
      <c r="C37" s="109"/>
      <c r="D37" s="110"/>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3QzPpN8DZDXKaNg/W57yYUKfXuir32bAv9c5DqXFuHpkrfdn8x3S0w1+/18U96rPl0G73ymcnTHDLmzfuFbKxg==" saltValue="UGJteDAWMRZASIA5CwbqSw=="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201</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5"/>
      <c r="C6" s="75"/>
      <c r="D6" s="75"/>
      <c r="E6" s="1"/>
    </row>
    <row r="7" spans="1:5" x14ac:dyDescent="0.25">
      <c r="A7" s="1"/>
      <c r="B7" s="1"/>
      <c r="C7" s="1"/>
      <c r="D7" s="1"/>
      <c r="E7" s="1"/>
    </row>
    <row r="8" spans="1:5" x14ac:dyDescent="0.25">
      <c r="A8" s="1"/>
      <c r="B8" s="108" t="s">
        <v>77</v>
      </c>
      <c r="C8" s="109"/>
      <c r="D8" s="110"/>
      <c r="E8" s="1"/>
    </row>
    <row r="9" spans="1:5" x14ac:dyDescent="0.25">
      <c r="A9" s="1"/>
      <c r="B9" s="65" t="s">
        <v>204</v>
      </c>
      <c r="C9" s="9">
        <v>3322787.3889468238</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0</v>
      </c>
      <c r="D14" s="14" t="s">
        <v>3</v>
      </c>
      <c r="E14" s="1"/>
    </row>
    <row r="15" spans="1:5" x14ac:dyDescent="0.25">
      <c r="A15" s="1"/>
      <c r="B15" s="65" t="s">
        <v>203</v>
      </c>
      <c r="C15" s="9">
        <v>0</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6" t="s">
        <v>205</v>
      </c>
      <c r="C19" s="77"/>
      <c r="D19" s="78"/>
      <c r="E19" s="1"/>
    </row>
    <row r="20" spans="1:5" x14ac:dyDescent="0.25">
      <c r="A20" s="1"/>
      <c r="B20" s="65" t="s">
        <v>206</v>
      </c>
      <c r="C20" s="9">
        <v>42639647.704442985</v>
      </c>
      <c r="D20" s="14" t="s">
        <v>3</v>
      </c>
      <c r="E20" s="1"/>
    </row>
    <row r="21" spans="1:5" x14ac:dyDescent="0.25">
      <c r="A21" s="1"/>
      <c r="B21" s="65" t="s">
        <v>207</v>
      </c>
      <c r="C21" s="9">
        <v>39082664</v>
      </c>
      <c r="D21" s="14" t="s">
        <v>3</v>
      </c>
      <c r="E21" s="1"/>
    </row>
    <row r="22" spans="1:5" x14ac:dyDescent="0.25">
      <c r="A22" s="1"/>
      <c r="B22" s="65" t="s">
        <v>29</v>
      </c>
      <c r="C22" s="9">
        <v>0</v>
      </c>
      <c r="D22" s="14" t="s">
        <v>3</v>
      </c>
      <c r="E22" s="1"/>
    </row>
    <row r="23" spans="1:5" x14ac:dyDescent="0.25">
      <c r="A23" s="1"/>
      <c r="B23" s="82" t="s">
        <v>208</v>
      </c>
      <c r="C23" s="57">
        <f>C20-C21-C22</f>
        <v>3556983.7044429854</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2" t="s">
        <v>210</v>
      </c>
      <c r="C27" s="57">
        <f>IF(AND(C15&lt;0,C23&gt;0,ABS(SUM(C14:C15))&lt;C23),ABS(C14),IF(AND(C15&lt;0,C23&gt;0,ABS(SUM(C14:C15))&gt;C23),SUM(C14,C23),C15))</f>
        <v>0</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lmcYBEUPcQUP3gXb05/d+k27mPpqtTk7lXjUtnkq9SLDMnoKIDkPV1tCEzctFmoaC72Ov6FV/CD1DnoQSJHOmg==" saltValue="N3eHmH9GdweCeWhRXrtsCA=="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6" t="s">
        <v>101</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2" t="s">
        <v>102</v>
      </c>
      <c r="C9" s="123"/>
      <c r="D9" s="124"/>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6"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khvBXz+bPySGDr4GpJfaxaCl3jy75zWIlI7qaxtrwofvfnaQisajttXY7/mMd7yrWHwYQaUs+CpcU72jKwFJfw==" saltValue="g0OlMAji4L6SN6A7/Jt4jQ=="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170</v>
      </c>
      <c r="C3" s="106"/>
      <c r="D3" s="106"/>
      <c r="E3" s="1"/>
    </row>
    <row r="4" spans="1:5" ht="15" customHeight="1" x14ac:dyDescent="0.25">
      <c r="A4" s="1"/>
      <c r="B4" s="106"/>
      <c r="C4" s="106"/>
      <c r="D4" s="106"/>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9" t="s">
        <v>215</v>
      </c>
      <c r="C9" s="7"/>
      <c r="D9" s="8" t="s">
        <v>3</v>
      </c>
      <c r="E9" s="1"/>
    </row>
    <row r="10" spans="1:5" ht="14.25" customHeight="1" x14ac:dyDescent="0.25">
      <c r="A10" s="1"/>
      <c r="B10" s="65" t="s">
        <v>172</v>
      </c>
      <c r="C10" s="7"/>
      <c r="D10" s="8" t="s">
        <v>3</v>
      </c>
      <c r="E10" s="1"/>
    </row>
    <row r="11" spans="1:5" ht="14.25" customHeight="1" x14ac:dyDescent="0.25">
      <c r="A11" s="1"/>
      <c r="B11" s="82" t="s">
        <v>48</v>
      </c>
      <c r="C11" s="10">
        <f>C10-C9</f>
        <v>0</v>
      </c>
      <c r="D11" s="11" t="s">
        <v>3</v>
      </c>
      <c r="E11" s="1"/>
    </row>
    <row r="12" spans="1:5" ht="14.25" customHeight="1" x14ac:dyDescent="0.25">
      <c r="A12" s="1"/>
      <c r="B12" s="108" t="s">
        <v>217</v>
      </c>
      <c r="C12" s="109"/>
      <c r="D12" s="110"/>
      <c r="E12" s="1"/>
    </row>
    <row r="13" spans="1:5" ht="26.25" x14ac:dyDescent="0.25">
      <c r="A13" s="1"/>
      <c r="B13" s="79" t="s">
        <v>216</v>
      </c>
      <c r="C13" s="7"/>
      <c r="D13" s="8" t="s">
        <v>3</v>
      </c>
      <c r="E13" s="1"/>
    </row>
    <row r="14" spans="1:5" ht="14.25" customHeight="1" x14ac:dyDescent="0.25">
      <c r="A14" s="1"/>
      <c r="B14" s="65" t="s">
        <v>173</v>
      </c>
      <c r="C14" s="7"/>
      <c r="D14" s="8" t="s">
        <v>3</v>
      </c>
      <c r="E14" s="1"/>
    </row>
    <row r="15" spans="1:5" ht="14.25" customHeight="1" x14ac:dyDescent="0.25">
      <c r="A15" s="1"/>
      <c r="B15" s="82" t="s">
        <v>48</v>
      </c>
      <c r="C15" s="10">
        <f>C14-C13</f>
        <v>0</v>
      </c>
      <c r="D15" s="11" t="s">
        <v>3</v>
      </c>
      <c r="E15" s="1"/>
    </row>
    <row r="16" spans="1:5" ht="14.25" customHeight="1" x14ac:dyDescent="0.25">
      <c r="A16" s="1"/>
      <c r="B16" s="33" t="s">
        <v>174</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38RgQvFBlvLrsWLhRXpKRduws6NfUgz+3rhDR/1Y+EAHWEaJJTWBCNS83z2mG8vgDu9L2UT1NlX7aqUSOFQ0kQ==" saltValue="qcjpq040/qZudyJHTiaraw=="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5" t="s">
        <v>96</v>
      </c>
      <c r="E9" s="126"/>
      <c r="F9" s="125" t="s">
        <v>2</v>
      </c>
      <c r="G9" s="126"/>
      <c r="H9" s="125" t="s">
        <v>95</v>
      </c>
      <c r="I9" s="126"/>
      <c r="J9" s="125" t="s">
        <v>26</v>
      </c>
      <c r="K9" s="126"/>
      <c r="L9" s="1"/>
    </row>
    <row r="10" spans="1:12" x14ac:dyDescent="0.25">
      <c r="A10" s="1"/>
      <c r="B10" s="68" t="s">
        <v>222</v>
      </c>
      <c r="C10" s="42">
        <v>0</v>
      </c>
      <c r="D10" s="9">
        <v>0</v>
      </c>
      <c r="E10" s="14" t="s">
        <v>3</v>
      </c>
      <c r="F10" s="9">
        <f>IFERROR(D10/C10,0)</f>
        <v>0</v>
      </c>
      <c r="G10" s="14" t="s">
        <v>3</v>
      </c>
      <c r="H10" s="38">
        <v>0</v>
      </c>
      <c r="I10" s="14" t="s">
        <v>3</v>
      </c>
      <c r="J10" s="38">
        <v>0</v>
      </c>
      <c r="K10" s="14" t="s">
        <v>3</v>
      </c>
      <c r="L10" s="1"/>
    </row>
    <row r="11" spans="1:12" x14ac:dyDescent="0.25">
      <c r="A11" s="1"/>
      <c r="B11" s="76" t="s">
        <v>219</v>
      </c>
      <c r="C11" s="77"/>
      <c r="D11" s="78"/>
      <c r="E11" s="78"/>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Ls93QhaFedz3yD40DLzkLM8xrQChK7Q0BEI/q/bF/r+gVw/Outx85r71A4YqixBwSMyNetanjd78Atbi1vsCVg==" saltValue="KvtrMBxOpDRZxdt+IkOrp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0" t="s">
        <v>17</v>
      </c>
      <c r="C9" s="82" t="s">
        <v>11</v>
      </c>
      <c r="D9" s="81"/>
      <c r="E9" s="82"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232</v>
      </c>
      <c r="C11" s="21">
        <v>0</v>
      </c>
      <c r="D11" s="14" t="s">
        <v>3</v>
      </c>
      <c r="E11" s="9">
        <v>781785</v>
      </c>
      <c r="F11" s="14" t="s">
        <v>3</v>
      </c>
      <c r="G11" s="1"/>
    </row>
    <row r="12" spans="1:7" x14ac:dyDescent="0.25">
      <c r="A12" s="1"/>
      <c r="B12" s="24" t="s">
        <v>233</v>
      </c>
      <c r="C12" s="21">
        <v>425184</v>
      </c>
      <c r="D12" s="14" t="s">
        <v>3</v>
      </c>
      <c r="E12" s="9">
        <v>272874</v>
      </c>
      <c r="F12" s="14" t="s">
        <v>3</v>
      </c>
      <c r="G12" s="1"/>
    </row>
    <row r="13" spans="1:7" x14ac:dyDescent="0.25">
      <c r="A13" s="1"/>
      <c r="B13" s="24" t="s">
        <v>234</v>
      </c>
      <c r="C13" s="21">
        <v>5065737</v>
      </c>
      <c r="D13" s="14" t="s">
        <v>3</v>
      </c>
      <c r="E13" s="9">
        <v>0</v>
      </c>
      <c r="F13" s="14" t="s">
        <v>3</v>
      </c>
      <c r="G13" s="1"/>
    </row>
    <row r="14" spans="1:7" x14ac:dyDescent="0.25">
      <c r="A14" s="1"/>
      <c r="B14" s="24"/>
      <c r="C14" s="21"/>
      <c r="D14" s="14" t="s">
        <v>3</v>
      </c>
      <c r="E14" s="9"/>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5490921</v>
      </c>
      <c r="D19" s="13" t="s">
        <v>3</v>
      </c>
      <c r="E19" s="12">
        <f>SUM(E10:E18)</f>
        <v>1054659</v>
      </c>
      <c r="F19" s="13" t="s">
        <v>3</v>
      </c>
      <c r="G19" s="1"/>
    </row>
    <row r="20" spans="1:7" x14ac:dyDescent="0.25">
      <c r="A20" s="1"/>
      <c r="B20" s="33" t="s">
        <v>175</v>
      </c>
      <c r="C20" s="12">
        <f>C19*(1+'Fane 15. Nøgletal'!C10)</f>
        <v>5854969.0623000003</v>
      </c>
      <c r="D20" s="13" t="s">
        <v>3</v>
      </c>
      <c r="E20" s="12">
        <f>E19*(1+'Fane 15. Nøgletal'!C10)</f>
        <v>1124582.8917</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AfB+8Lg+Q1clwCw4eIEQ79cKAM3lX2A+rI4qP/WsioXw8vOyQDUZaKvE9ok2ETVgxd4oBbzOR1nCFEzgQ0vrgg==" saltValue="WunME6CTqGtqnTD5V/eU/g=="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80" t="s">
        <v>17</v>
      </c>
      <c r="C9" s="82" t="s">
        <v>11</v>
      </c>
      <c r="D9" s="81"/>
      <c r="E9" s="82" t="s">
        <v>27</v>
      </c>
      <c r="F9" s="32"/>
      <c r="G9" s="1"/>
    </row>
    <row r="10" spans="1:7" x14ac:dyDescent="0.25">
      <c r="A10" s="1"/>
      <c r="B10" s="24" t="s">
        <v>232</v>
      </c>
      <c r="C10" s="21">
        <v>0</v>
      </c>
      <c r="D10" s="14" t="s">
        <v>3</v>
      </c>
      <c r="E10" s="9">
        <v>976250</v>
      </c>
      <c r="F10" s="14" t="s">
        <v>3</v>
      </c>
      <c r="G10" s="1"/>
    </row>
    <row r="11" spans="1:7" x14ac:dyDescent="0.25">
      <c r="A11" s="1"/>
      <c r="B11" s="24" t="s">
        <v>235</v>
      </c>
      <c r="C11" s="21"/>
      <c r="D11" s="14" t="s">
        <v>3</v>
      </c>
      <c r="E11" s="9"/>
      <c r="F11" s="14" t="s">
        <v>3</v>
      </c>
      <c r="G11" s="1"/>
    </row>
    <row r="12" spans="1:7" x14ac:dyDescent="0.25">
      <c r="A12" s="1"/>
      <c r="B12" s="24"/>
      <c r="C12" s="21"/>
      <c r="D12" s="14" t="s">
        <v>3</v>
      </c>
      <c r="E12" s="9"/>
      <c r="F12" s="14" t="s">
        <v>3</v>
      </c>
      <c r="G12" s="1"/>
    </row>
    <row r="13" spans="1:7" x14ac:dyDescent="0.25">
      <c r="A13" s="1"/>
      <c r="B13" s="33" t="s">
        <v>177</v>
      </c>
      <c r="C13" s="12">
        <f>SUM(C10:C12)</f>
        <v>0</v>
      </c>
      <c r="D13" s="13" t="s">
        <v>3</v>
      </c>
      <c r="E13" s="12">
        <f>SUM(E10:E12)</f>
        <v>976250</v>
      </c>
      <c r="F13" s="13" t="s">
        <v>3</v>
      </c>
      <c r="G13" s="1"/>
    </row>
    <row r="14" spans="1:7" x14ac:dyDescent="0.25">
      <c r="A14" s="1"/>
      <c r="B14" s="33" t="s">
        <v>178</v>
      </c>
      <c r="C14" s="12">
        <f>C13*(1+'Fane 15. Nøgletal'!C10)^2</f>
        <v>0</v>
      </c>
      <c r="D14" s="13" t="s">
        <v>3</v>
      </c>
      <c r="E14" s="12">
        <f>E13*(1+'Fane 15. Nøgletal'!C10)^2</f>
        <v>1109992.0423625</v>
      </c>
      <c r="F14" s="13" t="s">
        <v>3</v>
      </c>
      <c r="G14" s="1"/>
    </row>
    <row r="15" spans="1:7" x14ac:dyDescent="0.25">
      <c r="A15" s="1"/>
      <c r="B15" s="1"/>
      <c r="C15" s="1"/>
      <c r="D15" s="1"/>
      <c r="E15" s="1"/>
      <c r="F15" s="1"/>
      <c r="G15" s="1"/>
    </row>
    <row r="16" spans="1:7" x14ac:dyDescent="0.25">
      <c r="A16" s="1"/>
      <c r="B16" s="127"/>
      <c r="C16" s="127"/>
      <c r="D16" s="127"/>
      <c r="E16" s="127"/>
      <c r="F16" s="127"/>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7"/>
      <c r="C29" s="127"/>
      <c r="D29" s="127"/>
      <c r="E29" s="127"/>
      <c r="F29" s="127"/>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avUTZFsa9g+5tvjRPJue3+PgYrP+JWbhnp1niTGax71OfStTf0Dsv6w+9w0qMC/tBGY//ae8O7eftHiT/qmZHQ==" saltValue="kj+lQ1vmBTOK+QAdAqHYng=="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6" t="s">
        <v>116</v>
      </c>
      <c r="C3" s="106"/>
      <c r="D3" s="106"/>
      <c r="E3" s="1"/>
    </row>
    <row r="4" spans="1:5" ht="15" customHeight="1" x14ac:dyDescent="0.25">
      <c r="A4" s="1"/>
      <c r="B4" s="106"/>
      <c r="C4" s="106"/>
      <c r="D4" s="106"/>
      <c r="E4" s="1"/>
    </row>
    <row r="5" spans="1:5" x14ac:dyDescent="0.25">
      <c r="A5" s="1"/>
      <c r="B5" s="106"/>
      <c r="C5" s="106"/>
      <c r="D5" s="106"/>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6" t="s">
        <v>74</v>
      </c>
      <c r="C12" s="12">
        <f>SUM(C9:C11)*(1+'Fane 15. Nøgletal'!C9)^2</f>
        <v>0</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6" t="s">
        <v>85</v>
      </c>
      <c r="C18" s="12">
        <f>SUM(C15:C17)*(1+'Fane 15. Nøgletal'!C10)^3</f>
        <v>0</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6" t="s">
        <v>141</v>
      </c>
      <c r="C24" s="12">
        <f>SUM(C21:C23)*(1+'Fane 15. Nøgletal'!C10)^4</f>
        <v>0</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6"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B1r2kKOMG45XIQSFrJxAfvUNsV1VvN/fWlYWWNhxH1yqXeM18Z8bAIZfwnwSsz23TZTFM1DrOegxrZ6QFdKZXA==" saltValue="H2+OMzwPnwgJ144d3wXyxg=="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117</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220</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YVZg65FyD8Ij7cTesSa72zKrxNFvBlA42XP+GTGerCDP/7ECDZs/ks/3G/y6xysZ4Gc1mje0N5IVXm8t4eGBcA==" saltValue="uV7rEK09KisbKVLsiHb1gw=="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6" t="s">
        <v>118</v>
      </c>
      <c r="C3" s="106"/>
      <c r="D3" s="106"/>
      <c r="E3" s="106"/>
      <c r="F3" s="106"/>
      <c r="G3" s="1"/>
    </row>
    <row r="4" spans="1:7" ht="15" customHeight="1" x14ac:dyDescent="0.25">
      <c r="A4" s="1"/>
      <c r="B4" s="106"/>
      <c r="C4" s="106"/>
      <c r="D4" s="106"/>
      <c r="E4" s="106"/>
      <c r="F4" s="106"/>
      <c r="G4" s="1"/>
    </row>
    <row r="5" spans="1:7" x14ac:dyDescent="0.25">
      <c r="A5" s="1"/>
      <c r="B5" s="106"/>
      <c r="C5" s="106"/>
      <c r="D5" s="106"/>
      <c r="E5" s="106"/>
      <c r="F5" s="106"/>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221</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214</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KRJMcyq7iZhC/BtpSlEB5q/igYwlB4KjygUd+7wM9t19AMqV+3j0NRhpk+MyObUnwPph+xEKm6h6ZPsjsRnxTQ==" saltValue="B96y3s3iO2YRKQ5/FbcOKw=="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44066538.765209354</v>
      </c>
      <c r="D9" s="8" t="s">
        <v>3</v>
      </c>
      <c r="E9" s="1"/>
    </row>
    <row r="10" spans="1:5" ht="17.25" customHeight="1" x14ac:dyDescent="0.25">
      <c r="A10" s="1"/>
      <c r="B10" s="64" t="s">
        <v>35</v>
      </c>
      <c r="C10" s="7">
        <f>'Fane 11.1. Varige tillæg'!C20</f>
        <v>5854969.0623000003</v>
      </c>
      <c r="D10" s="8" t="s">
        <v>3</v>
      </c>
      <c r="E10" s="1"/>
    </row>
    <row r="11" spans="1:5" ht="17.25" customHeight="1" x14ac:dyDescent="0.25">
      <c r="A11" s="1"/>
      <c r="B11" s="64" t="s">
        <v>36</v>
      </c>
      <c r="C11" s="9">
        <f>'Fane 11.1. Varige tillæg'!E20</f>
        <v>1124582.8917</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4023320.6267791158</v>
      </c>
      <c r="D16" s="8" t="s">
        <v>3</v>
      </c>
      <c r="E16" s="1"/>
    </row>
    <row r="17" spans="1:5" ht="17.25" customHeight="1" x14ac:dyDescent="0.25">
      <c r="A17" s="1"/>
      <c r="B17" s="64" t="s">
        <v>10</v>
      </c>
      <c r="C17" s="38">
        <f>-SUM(C9,C10:C16)*'Fane 5. Individuelt eff. krav'!C9</f>
        <v>0</v>
      </c>
      <c r="D17" s="8" t="s">
        <v>3</v>
      </c>
      <c r="E17" s="1"/>
    </row>
    <row r="18" spans="1:5" ht="17.25" customHeight="1" x14ac:dyDescent="0.25">
      <c r="A18" s="1"/>
      <c r="B18" s="64" t="s">
        <v>22</v>
      </c>
      <c r="C18" s="38">
        <f>-'Fane 4.1. Gen. krav - drift'!C17</f>
        <v>-440882.58709347813</v>
      </c>
      <c r="D18" s="8" t="s">
        <v>3</v>
      </c>
      <c r="E18" s="1"/>
    </row>
    <row r="19" spans="1:5" ht="17.25" customHeight="1" x14ac:dyDescent="0.25">
      <c r="A19" s="1"/>
      <c r="B19" s="64" t="s">
        <v>23</v>
      </c>
      <c r="C19" s="38">
        <f>-'Fane 4.2. Gen. krav - anlæg'!C17</f>
        <v>0</v>
      </c>
      <c r="D19" s="8" t="s">
        <v>3</v>
      </c>
      <c r="E19" s="43"/>
    </row>
    <row r="20" spans="1:5" ht="17.25" customHeight="1" x14ac:dyDescent="0.25">
      <c r="A20" s="1"/>
      <c r="B20" s="82" t="s">
        <v>21</v>
      </c>
      <c r="C20" s="10">
        <f>SUM(C9:C19)</f>
        <v>54628528.758894995</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4343729.44326133</v>
      </c>
      <c r="D22" s="11" t="s">
        <v>3</v>
      </c>
      <c r="E22" s="1"/>
    </row>
    <row r="23" spans="1:5" ht="15" customHeight="1" x14ac:dyDescent="0.25">
      <c r="A23" s="1"/>
      <c r="B23" s="33" t="s">
        <v>42</v>
      </c>
      <c r="C23" s="28"/>
      <c r="D23" s="19"/>
      <c r="E23" s="1"/>
    </row>
    <row r="24" spans="1:5" ht="15" customHeight="1" x14ac:dyDescent="0.25">
      <c r="A24" s="1"/>
      <c r="B24" s="82"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0</v>
      </c>
      <c r="D26" s="8" t="s">
        <v>3</v>
      </c>
      <c r="E26" s="1"/>
    </row>
    <row r="27" spans="1:5" ht="15" customHeight="1" x14ac:dyDescent="0.25">
      <c r="A27" s="1"/>
      <c r="B27" s="64" t="s">
        <v>38</v>
      </c>
      <c r="C27" s="38">
        <f>'Fane 11.2. Engangstillæg'!E14</f>
        <v>1109992.0423625</v>
      </c>
      <c r="D27" s="8" t="s">
        <v>3</v>
      </c>
      <c r="E27" s="1"/>
    </row>
    <row r="28" spans="1:5" ht="15" customHeight="1" x14ac:dyDescent="0.25">
      <c r="A28" s="1"/>
      <c r="B28" s="64" t="s">
        <v>92</v>
      </c>
      <c r="C28" s="38">
        <f>-C26*('Fane 15. Nøgletal'!C21+'Fane 5. Individuelt eff. krav'!C9)</f>
        <v>0</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1109992.0423625</v>
      </c>
      <c r="D30" s="11" t="s">
        <v>3</v>
      </c>
      <c r="E30" s="1"/>
    </row>
    <row r="31" spans="1:5" x14ac:dyDescent="0.25">
      <c r="A31" s="1"/>
      <c r="B31" s="33" t="s">
        <v>69</v>
      </c>
      <c r="C31" s="28"/>
      <c r="D31" s="19"/>
      <c r="E31" s="1"/>
    </row>
    <row r="32" spans="1:5" x14ac:dyDescent="0.25">
      <c r="A32" s="1"/>
      <c r="B32" s="31" t="s">
        <v>79</v>
      </c>
      <c r="C32" s="62">
        <f>'Fane 7. Kontrol af ØR2023'!C27</f>
        <v>0</v>
      </c>
      <c r="D32" s="11" t="s">
        <v>3</v>
      </c>
      <c r="E32" s="1"/>
    </row>
    <row r="33" spans="1:5" ht="15" customHeight="1" x14ac:dyDescent="0.25">
      <c r="A33" s="1"/>
      <c r="B33" s="33" t="s">
        <v>154</v>
      </c>
      <c r="C33" s="28"/>
      <c r="D33" s="19"/>
      <c r="E33" s="1"/>
    </row>
    <row r="34" spans="1:5" x14ac:dyDescent="0.25">
      <c r="A34" s="1"/>
      <c r="B34" s="31" t="s">
        <v>154</v>
      </c>
      <c r="C34" s="10">
        <f>'Fane 9. Korrektion af ØR2023'!C16</f>
        <v>0</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60082250.244518824</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E+DVmW8qidlm+0J7tOxP9XsLw/hKgkriLH9gX3qTN0dfd3iNj4nrV4cDFOf0k2h6VIm1Xi4nyFLPYtPGiBlCkw==" saltValue="obLg/awJKtvDmNNgDHS2NA=="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6" t="s">
        <v>119</v>
      </c>
      <c r="C3" s="106"/>
      <c r="D3" s="1"/>
    </row>
    <row r="4" spans="1:4" ht="15" customHeight="1" x14ac:dyDescent="0.25">
      <c r="A4" s="1"/>
      <c r="B4" s="106"/>
      <c r="C4" s="106"/>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224</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213</v>
      </c>
      <c r="C15" s="60">
        <v>0</v>
      </c>
      <c r="D15" s="1"/>
    </row>
    <row r="16" spans="1:4" x14ac:dyDescent="0.25">
      <c r="A16" s="1"/>
      <c r="B16" s="59" t="s">
        <v>225</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RLWd/WHJMYagMnatpc3VnfFWUhoWv+ktrwd//Fc3VDxBiE4QxZ+5r5yM/zlnyvAOGM1VConZlv3b5W73DbH8Nw==" saltValue="sxqsXfzVxH3LPyAwH8iveA=="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54628528.758894995</v>
      </c>
      <c r="D9" s="8" t="s">
        <v>3</v>
      </c>
      <c r="E9" s="1"/>
    </row>
    <row r="10" spans="1:5" ht="15" customHeight="1" x14ac:dyDescent="0.25">
      <c r="A10" s="1"/>
      <c r="B10" s="26" t="s">
        <v>19</v>
      </c>
      <c r="C10" s="7">
        <f>C9*'Fane 15. Nøgletal'!C10</f>
        <v>3621871.4567147382</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-460710.84056542016</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57789689.375044309</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4631718.7053495562</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62421408.080393866</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LboHrp6siHykcD05aYyPjtaqpj1YvWvOjIHk246v0FxDhFsOfCDygvyZ5uhn7VJkUJW5soXAsMJSHTni1pqrgg==" saltValue="SYjqZ4b5FvQD1k1LcgZbww=="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57789689.375044309</v>
      </c>
      <c r="D9" s="8" t="s">
        <v>3</v>
      </c>
      <c r="E9" s="1"/>
    </row>
    <row r="10" spans="1:5" ht="15" customHeight="1" x14ac:dyDescent="0.25">
      <c r="A10" s="1"/>
      <c r="B10" s="26" t="s">
        <v>19</v>
      </c>
      <c r="C10" s="7">
        <f>SUM(C9:C9)*'Fane 15. Nøgletal'!C10</f>
        <v>3831456.4055654374</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-481430.84990900935</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61139714.930700742</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4938801.6555142319</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66078516.586214975</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jGEfCboWLJc8VIh+IWE2qvcvS618syHWxH6zg/J+/i9M/B8jOW+6FNueX8Q7fUTiuwlnI+0IGF4fnwjxiRpVJg==" saltValue="EL3WA+KBmeguYjUKShL42A=="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61139714.930700742</v>
      </c>
      <c r="D9" s="8" t="s">
        <v>3</v>
      </c>
      <c r="E9" s="1"/>
    </row>
    <row r="10" spans="1:5" ht="15" customHeight="1" x14ac:dyDescent="0.25">
      <c r="A10" s="1"/>
      <c r="B10" s="26" t="s">
        <v>19</v>
      </c>
      <c r="C10" s="7">
        <f>SUM(C9:C9)*'Fane 15. Nøgletal'!C10</f>
        <v>4053563.0999054592</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-503082.72095281724</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64690195.309653386</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5266244.2052748259</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69956439.514928207</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Ukj359gAjnORxr36zDJmhzW/yduWpZVm5GUR02dS3eeoD1dIKH4ssZ2UEQKmH3MXLKOO7PVchjblBxbhPmxonA==" saltValue="2ugajudcMiGlZUPhNVyO3w=="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6" t="s">
        <v>161</v>
      </c>
      <c r="C3" s="106"/>
      <c r="D3" s="106"/>
      <c r="E3" s="1"/>
    </row>
    <row r="4" spans="1:5" ht="15" customHeight="1" x14ac:dyDescent="0.25">
      <c r="A4" s="1"/>
      <c r="B4" s="106"/>
      <c r="C4" s="106"/>
      <c r="D4" s="106"/>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39170232.954320744</v>
      </c>
      <c r="D9" s="8" t="s">
        <v>3</v>
      </c>
      <c r="E9" s="1"/>
    </row>
    <row r="10" spans="1:5" ht="15" customHeight="1" x14ac:dyDescent="0.25">
      <c r="A10" s="1"/>
      <c r="B10" s="64" t="s">
        <v>35</v>
      </c>
      <c r="C10" s="7">
        <v>1877972.1407999999</v>
      </c>
      <c r="D10" s="8" t="s">
        <v>3</v>
      </c>
      <c r="E10" s="1"/>
    </row>
    <row r="11" spans="1:5" ht="15" customHeight="1" x14ac:dyDescent="0.25">
      <c r="A11" s="1"/>
      <c r="B11" s="64" t="s">
        <v>36</v>
      </c>
      <c r="C11" s="9">
        <v>0</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3316694.971685756</v>
      </c>
      <c r="D16" s="8" t="s">
        <v>3</v>
      </c>
      <c r="E16" s="1"/>
    </row>
    <row r="17" spans="1:5" ht="15" customHeight="1" x14ac:dyDescent="0.25">
      <c r="A17" s="1"/>
      <c r="B17" s="64" t="s">
        <v>10</v>
      </c>
      <c r="C17" s="38">
        <v>0</v>
      </c>
      <c r="D17" s="8" t="s">
        <v>3</v>
      </c>
      <c r="E17" s="1"/>
    </row>
    <row r="18" spans="1:5" ht="15" customHeight="1" x14ac:dyDescent="0.25">
      <c r="A18" s="1"/>
      <c r="B18" s="64" t="s">
        <v>22</v>
      </c>
      <c r="C18" s="38">
        <v>-298361.30159714306</v>
      </c>
      <c r="D18" s="8" t="s">
        <v>3</v>
      </c>
      <c r="E18" s="1"/>
    </row>
    <row r="19" spans="1:5" ht="15" customHeight="1" x14ac:dyDescent="0.25">
      <c r="A19" s="1"/>
      <c r="B19" s="64" t="s">
        <v>23</v>
      </c>
      <c r="C19" s="38">
        <v>0</v>
      </c>
      <c r="D19" s="8" t="s">
        <v>3</v>
      </c>
      <c r="E19" s="43"/>
    </row>
    <row r="20" spans="1:5" ht="15" customHeight="1" x14ac:dyDescent="0.25">
      <c r="A20" s="1"/>
      <c r="B20" s="82" t="s">
        <v>21</v>
      </c>
      <c r="C20" s="10">
        <v>44066538.765209354</v>
      </c>
      <c r="D20" s="11" t="s">
        <v>3</v>
      </c>
      <c r="E20" s="1"/>
    </row>
    <row r="21" spans="1:5" ht="15" customHeight="1" x14ac:dyDescent="0.25">
      <c r="A21" s="1"/>
      <c r="B21" s="33" t="s">
        <v>12</v>
      </c>
      <c r="C21" s="28"/>
      <c r="D21" s="19"/>
      <c r="E21" s="1"/>
    </row>
    <row r="22" spans="1:5" ht="15" customHeight="1" x14ac:dyDescent="0.25">
      <c r="A22" s="1"/>
      <c r="B22" s="31" t="s">
        <v>12</v>
      </c>
      <c r="C22" s="10">
        <v>6071963.4781292798</v>
      </c>
      <c r="D22" s="11" t="s">
        <v>3</v>
      </c>
      <c r="E22" s="1"/>
    </row>
    <row r="23" spans="1:5" ht="15" customHeight="1" x14ac:dyDescent="0.25">
      <c r="A23" s="1"/>
      <c r="B23" s="33" t="s">
        <v>42</v>
      </c>
      <c r="C23" s="28"/>
      <c r="D23" s="19"/>
      <c r="E23" s="1"/>
    </row>
    <row r="24" spans="1:5" ht="15" customHeight="1" x14ac:dyDescent="0.25">
      <c r="A24" s="1"/>
      <c r="B24" s="82" t="s">
        <v>42</v>
      </c>
      <c r="C24" s="10">
        <v>0</v>
      </c>
      <c r="D24" s="11" t="s">
        <v>3</v>
      </c>
      <c r="E24" s="1"/>
    </row>
    <row r="25" spans="1:5" x14ac:dyDescent="0.25">
      <c r="A25" s="1"/>
      <c r="B25" s="41" t="s">
        <v>41</v>
      </c>
      <c r="C25" s="39"/>
      <c r="D25" s="40"/>
      <c r="E25" s="1"/>
    </row>
    <row r="26" spans="1:5" ht="15" customHeight="1" x14ac:dyDescent="0.25">
      <c r="A26" s="1"/>
      <c r="B26" s="64" t="s">
        <v>89</v>
      </c>
      <c r="C26" s="71">
        <v>0</v>
      </c>
      <c r="D26" s="8" t="s">
        <v>3</v>
      </c>
      <c r="E26" s="1"/>
    </row>
    <row r="27" spans="1:5" ht="15" customHeight="1" x14ac:dyDescent="0.25">
      <c r="A27" s="1"/>
      <c r="B27" s="64" t="s">
        <v>38</v>
      </c>
      <c r="C27" s="71">
        <v>0</v>
      </c>
      <c r="D27" s="8" t="s">
        <v>3</v>
      </c>
      <c r="E27" s="1"/>
    </row>
    <row r="28" spans="1:5" ht="15" customHeight="1" x14ac:dyDescent="0.25">
      <c r="A28" s="1"/>
      <c r="B28" s="64" t="s">
        <v>92</v>
      </c>
      <c r="C28" s="71">
        <v>0</v>
      </c>
      <c r="D28" s="8" t="s">
        <v>3</v>
      </c>
      <c r="E28" s="1"/>
    </row>
    <row r="29" spans="1:5" ht="15" customHeight="1" x14ac:dyDescent="0.25">
      <c r="A29" s="1"/>
      <c r="B29" s="64" t="s">
        <v>93</v>
      </c>
      <c r="C29" s="71">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0</v>
      </c>
      <c r="D32" s="11" t="s">
        <v>3</v>
      </c>
      <c r="E32" s="1"/>
    </row>
    <row r="33" spans="1:5" x14ac:dyDescent="0.25">
      <c r="A33" s="1"/>
      <c r="B33" s="33" t="s">
        <v>128</v>
      </c>
      <c r="C33" s="28"/>
      <c r="D33" s="19"/>
      <c r="E33" s="1"/>
    </row>
    <row r="34" spans="1:5" ht="15.4" customHeight="1" x14ac:dyDescent="0.25">
      <c r="A34" s="1"/>
      <c r="B34" s="31" t="s">
        <v>128</v>
      </c>
      <c r="C34" s="10">
        <v>0</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3" t="s">
        <v>65</v>
      </c>
      <c r="C37" s="45">
        <v>50138502.243338637</v>
      </c>
      <c r="D37" s="30" t="s">
        <v>3</v>
      </c>
      <c r="E37" s="1"/>
    </row>
    <row r="38" spans="1:5" ht="30" customHeight="1" x14ac:dyDescent="0.25">
      <c r="A38" s="1"/>
      <c r="B38" s="107" t="s">
        <v>223</v>
      </c>
      <c r="C38" s="107"/>
      <c r="D38" s="107"/>
      <c r="E38" s="1"/>
    </row>
    <row r="39" spans="1:5" x14ac:dyDescent="0.25">
      <c r="A39" s="1"/>
      <c r="B39" s="1"/>
      <c r="C39" s="1"/>
      <c r="D39" s="1"/>
      <c r="E39" s="1"/>
    </row>
    <row r="40" spans="1:5" ht="27" customHeight="1"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RZXLRGkUU+zAFvH4Zmiz9BWqKJbe5eh9EzuyTET/b8EGBEXP15fkX1Deyullg5CFDNwxRL3kee/SHJjPByMmGg==" saltValue="Jsfrw1AwViZVwZtvRdaJhA==" spinCount="100000" sheet="1" objects="1" scenarios="1"/>
  <mergeCells count="2">
    <mergeCell ref="B3:D4"/>
    <mergeCell ref="B38:D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6" t="s">
        <v>56</v>
      </c>
      <c r="C3" s="106"/>
      <c r="D3" s="106"/>
      <c r="E3" s="1"/>
    </row>
    <row r="4" spans="1:5" ht="15" customHeight="1" x14ac:dyDescent="0.25">
      <c r="A4" s="1"/>
      <c r="B4" s="106"/>
      <c r="C4" s="106"/>
      <c r="D4" s="106"/>
      <c r="E4" s="1"/>
    </row>
    <row r="5" spans="1:5" ht="15" customHeight="1" x14ac:dyDescent="0.25">
      <c r="A5" s="1"/>
      <c r="B5" s="106"/>
      <c r="C5" s="106"/>
      <c r="D5" s="106"/>
      <c r="E5" s="1"/>
    </row>
    <row r="6" spans="1:5" ht="15" customHeight="1" x14ac:dyDescent="0.25">
      <c r="A6" s="1"/>
      <c r="B6" s="75"/>
      <c r="C6" s="75"/>
      <c r="D6" s="75"/>
      <c r="E6" s="1"/>
    </row>
    <row r="7" spans="1:5" x14ac:dyDescent="0.25">
      <c r="A7" s="1"/>
      <c r="B7" s="1"/>
      <c r="C7" s="1"/>
      <c r="D7" s="1"/>
      <c r="E7" s="1"/>
    </row>
    <row r="8" spans="1:5" x14ac:dyDescent="0.25">
      <c r="A8" s="1"/>
      <c r="B8" s="108" t="s">
        <v>123</v>
      </c>
      <c r="C8" s="109"/>
      <c r="D8" s="110"/>
      <c r="E8" s="1"/>
    </row>
    <row r="9" spans="1:5" x14ac:dyDescent="0.25">
      <c r="A9" s="1"/>
      <c r="B9" s="65" t="s">
        <v>88</v>
      </c>
      <c r="C9" s="23">
        <v>12888352.790080512</v>
      </c>
      <c r="D9" s="14" t="s">
        <v>3</v>
      </c>
      <c r="E9" s="1"/>
    </row>
    <row r="10" spans="1:5" x14ac:dyDescent="0.25">
      <c r="A10" s="1"/>
      <c r="B10" s="65" t="s">
        <v>125</v>
      </c>
      <c r="C10" s="23">
        <f>('Fane 3. Omkostninger i ØR2024'!C10+'Fane 3. Omkostninger i ØR2024'!C12+'Fane 3. Omkostninger i ØR2024'!C14)*(1+'Fane 15. Nøgletal'!C9)</f>
        <v>2029712.28977664</v>
      </c>
      <c r="D10" s="14" t="s">
        <v>3</v>
      </c>
      <c r="E10" s="1"/>
    </row>
    <row r="11" spans="1:5" x14ac:dyDescent="0.25">
      <c r="A11" s="1"/>
      <c r="B11" s="65" t="s">
        <v>131</v>
      </c>
      <c r="C11" s="23">
        <f>C9*'Fane 15. Nøgletal'!C21+C10*'Fane 15. Nøgletal'!C21</f>
        <v>298361.30159714306</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15800975.843543418</v>
      </c>
      <c r="D15" s="14" t="s">
        <v>3</v>
      </c>
      <c r="E15" s="1"/>
    </row>
    <row r="16" spans="1:5" x14ac:dyDescent="0.25">
      <c r="A16" s="1"/>
      <c r="B16" s="65" t="s">
        <v>184</v>
      </c>
      <c r="C16" s="23">
        <f>('Fane 2.1. Økonomisk ramme 2025'!C10+'Fane 2.1. Økonomisk ramme 2025'!C12+'Fane 2.1. Økonomisk ramme 2025'!C14)*(1+'Fane 15. Nøgletal'!C10)</f>
        <v>6243153.5111304903</v>
      </c>
      <c r="D16" s="14" t="s">
        <v>3</v>
      </c>
      <c r="E16" s="1"/>
    </row>
    <row r="17" spans="1:5" x14ac:dyDescent="0.25">
      <c r="A17" s="1"/>
      <c r="B17" s="65" t="s">
        <v>132</v>
      </c>
      <c r="C17" s="23">
        <f>C15*'Fane 15. Nøgletal'!C21+C16*'Fane 15. Nøgletal'!C21</f>
        <v>440882.58709347813</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23035542.028271008</v>
      </c>
      <c r="D21" s="14" t="s">
        <v>3</v>
      </c>
      <c r="E21" s="1"/>
    </row>
    <row r="22" spans="1:5" x14ac:dyDescent="0.25">
      <c r="A22" s="1"/>
      <c r="B22" s="65" t="s">
        <v>196</v>
      </c>
      <c r="C22" s="23">
        <f>C21*'Fane 15. Nøgletal'!C21</f>
        <v>460710.84056542016</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24071542.495450467</v>
      </c>
      <c r="D26" s="14" t="s">
        <v>3</v>
      </c>
      <c r="E26" s="1"/>
    </row>
    <row r="27" spans="1:5" x14ac:dyDescent="0.25">
      <c r="A27" s="1"/>
      <c r="B27" s="65" t="s">
        <v>194</v>
      </c>
      <c r="C27" s="23">
        <f>C26*'Fane 15. Nøgletal'!C21</f>
        <v>481430.84990900935</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25154136.04764086</v>
      </c>
      <c r="D31" s="14" t="s">
        <v>3</v>
      </c>
      <c r="E31" s="1"/>
    </row>
    <row r="32" spans="1:5" x14ac:dyDescent="0.25">
      <c r="A32" s="1"/>
      <c r="B32" s="65" t="s">
        <v>195</v>
      </c>
      <c r="C32" s="23">
        <f>C31*'Fane 15. Nøgletal'!C21</f>
        <v>503082.72095281724</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zR7da08pUu+38ZyHXSYe9STOKrM0uwhFsOkpksxmbFD9gxHKZLyIxfTGpzlOiTbwdHoagF+8I5i/z1pn0M7kbg==" saltValue="TN9Pi2upY3Bfc7QzN1bffA=="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30101991.524124775</v>
      </c>
      <c r="D9" s="14" t="s">
        <v>3</v>
      </c>
      <c r="E9" s="1"/>
    </row>
    <row r="10" spans="1:5" x14ac:dyDescent="0.25">
      <c r="A10" s="1"/>
      <c r="B10" s="65" t="s">
        <v>126</v>
      </c>
      <c r="C10" s="23">
        <f>('Fane 3. Omkostninger i ØR2024'!C11+'Fane 3. Omkostninger i ØR2024'!C13+'Fane 3. Omkostninger i ØR2024'!C15)*(1+'Fane 15. Nøgletal'!C9)</f>
        <v>0</v>
      </c>
      <c r="D10" s="14" t="s">
        <v>3</v>
      </c>
      <c r="E10" s="1"/>
    </row>
    <row r="11" spans="1:5" x14ac:dyDescent="0.25">
      <c r="A11" s="1"/>
      <c r="B11" s="65" t="s">
        <v>135</v>
      </c>
      <c r="C11" s="2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32534232.439274058</v>
      </c>
      <c r="D15" s="14" t="s">
        <v>3</v>
      </c>
      <c r="E15" s="1"/>
    </row>
    <row r="16" spans="1:5" x14ac:dyDescent="0.25">
      <c r="A16" s="1"/>
      <c r="B16" s="65" t="s">
        <v>185</v>
      </c>
      <c r="C16" s="23">
        <f>('Fane 2.1. Økonomisk ramme 2025'!C11+'Fane 2.1. Økonomisk ramme 2025'!C13+'Fane 2.1. Økonomisk ramme 2025'!C15)*(1+'Fane 15. Nøgletal'!C10)</f>
        <v>1199142.73741971</v>
      </c>
      <c r="D16" s="14" t="s">
        <v>3</v>
      </c>
      <c r="E16" s="1"/>
    </row>
    <row r="17" spans="1:5" x14ac:dyDescent="0.25">
      <c r="A17" s="1"/>
      <c r="B17" s="65" t="s">
        <v>137</v>
      </c>
      <c r="C17" s="2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35969897.950908564</v>
      </c>
      <c r="D21" s="14" t="s">
        <v>3</v>
      </c>
      <c r="E21" s="1"/>
    </row>
    <row r="22" spans="1:5" x14ac:dyDescent="0.25">
      <c r="A22" s="1"/>
      <c r="B22" s="65" t="s">
        <v>197</v>
      </c>
      <c r="C22" s="2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38354702.185053803</v>
      </c>
      <c r="D26" s="14" t="s">
        <v>3</v>
      </c>
      <c r="E26" s="1"/>
    </row>
    <row r="27" spans="1:5" x14ac:dyDescent="0.25">
      <c r="A27" s="1"/>
      <c r="B27" s="65" t="s">
        <v>198</v>
      </c>
      <c r="C27" s="2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40897618.939922869</v>
      </c>
      <c r="D31" s="14" t="s">
        <v>3</v>
      </c>
      <c r="E31" s="1"/>
    </row>
    <row r="32" spans="1:5" x14ac:dyDescent="0.25">
      <c r="A32" s="1"/>
      <c r="B32" s="65" t="s">
        <v>199</v>
      </c>
      <c r="C32" s="2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exULA5dHQkTdI8mlDtAQbb1Jy2Ofzlu3CLUbtrW9ewgTT7aKhb2dlG4fZeGjaf8Y01GItgYbstzrvaqPwN7iKA==" saltValue="MTFEj2VuYXO36pzk6eIqcw=="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0</v>
      </c>
      <c r="D9" s="1"/>
    </row>
    <row r="10" spans="1:4" x14ac:dyDescent="0.25">
      <c r="A10" s="1"/>
      <c r="B10" s="33"/>
      <c r="C10" s="19"/>
      <c r="D10" s="1"/>
    </row>
    <row r="11" spans="1:4" x14ac:dyDescent="0.25">
      <c r="A11" s="1"/>
      <c r="B11" s="112" t="s">
        <v>218</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7Hi3gwrBvQAymOTYXExPqfWDVSVYumOFXsSTgEXJ/+MsLeY5+1WYNtivGXQNACTja7WI55vbeBzYeOpRMFrTmg==" saltValue="jV0bvcYU9MdIlL6xCca0fg=="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2024-08-21T11:42:40Z</dcterms:modified>
</cp:coreProperties>
</file>