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rederikshavn Vand AS (V057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3" i="15"/>
  <c r="C30" i="2"/>
  <c r="C14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9" i="36" s="1"/>
  <c r="C32" i="21"/>
  <c r="C33" i="21" s="1"/>
  <c r="G55" i="30" s="1"/>
  <c r="E25" i="21"/>
  <c r="E26" i="21" s="1"/>
  <c r="G53" i="36" s="1"/>
  <c r="C25" i="21"/>
  <c r="C26" i="21" s="1"/>
  <c r="G49" i="30" s="1"/>
  <c r="E18" i="21"/>
  <c r="E19" i="21" s="1"/>
  <c r="G43" i="36" s="1"/>
  <c r="C18" i="21"/>
  <c r="C19" i="21" s="1"/>
  <c r="G43" i="30" s="1"/>
  <c r="C10" i="15" l="1"/>
  <c r="C9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0" i="15" s="1"/>
  <c r="C19" i="23"/>
  <c r="C19" i="22"/>
  <c r="C19" i="15"/>
  <c r="C26" i="2"/>
  <c r="C21" i="22" l="1"/>
  <c r="C21" i="23"/>
  <c r="C21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3" i="37" s="1"/>
  <c r="C14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7" i="15"/>
  <c r="G37" i="30"/>
  <c r="G38" i="30" s="1"/>
  <c r="E11" i="11"/>
  <c r="E10" i="37" l="1"/>
  <c r="E13" i="37" s="1"/>
  <c r="E14" i="37" s="1"/>
  <c r="C13" i="2" s="1"/>
  <c r="G37" i="36" s="1"/>
  <c r="G38" i="36" l="1"/>
  <c r="G42" i="36" s="1"/>
  <c r="G44" i="36" s="1"/>
  <c r="C20" i="2"/>
  <c r="G42" i="30" l="1"/>
  <c r="G44" i="30" s="1"/>
  <c r="C13" i="15" s="1"/>
  <c r="E20" i="27"/>
  <c r="E31" i="27" s="1"/>
  <c r="C9" i="2" l="1"/>
  <c r="C18" i="2" s="1"/>
  <c r="C19" i="2" s="1"/>
  <c r="G48" i="30"/>
  <c r="G50" i="30" s="1"/>
  <c r="C21" i="2"/>
  <c r="C14" i="15"/>
  <c r="C22" i="2" l="1"/>
  <c r="G54" i="30"/>
  <c r="G56" i="30" s="1"/>
  <c r="C13" i="23" s="1"/>
  <c r="C13" i="22"/>
  <c r="G52" i="36"/>
  <c r="G54" i="36" s="1"/>
  <c r="C14" i="22" s="1"/>
  <c r="G58" i="36" l="1"/>
  <c r="G60" i="36" s="1"/>
  <c r="C14" i="23" s="1"/>
  <c r="C8" i="15"/>
  <c r="C11" i="15" l="1"/>
  <c r="C12" i="15" s="1"/>
  <c r="C15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6" i="15" l="1"/>
</calcChain>
</file>

<file path=xl/sharedStrings.xml><?xml version="1.0" encoding="utf-8"?>
<sst xmlns="http://schemas.openxmlformats.org/spreadsheetml/2006/main" count="623" uniqueCount="255">
  <si>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</si>
  <si>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</si>
  <si>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</si>
  <si>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</si>
  <si>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</si>
  <si>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</si>
  <si>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</si>
  <si>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</si>
  <si>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</si>
  <si>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</si>
  <si>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</si>
  <si>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</si>
  <si>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</si>
  <si>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</si>
  <si>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</si>
  <si>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</si>
  <si>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</si>
  <si>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</si>
  <si>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</si>
  <si>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</si>
  <si>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</si>
  <si>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</si>
  <si>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</si>
  <si>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</si>
  <si>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</si>
  <si>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</si>
  <si>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</si>
  <si>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</si>
  <si>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</si>
  <si>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</si>
  <si>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</si>
  <si>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</si>
  <si>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</si>
  <si>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</si>
  <si>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</si>
  <si>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</si>
  <si>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</si>
  <si>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</si>
  <si>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</si>
  <si>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</si>
  <si>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</si>
  <si>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</si>
  <si>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</si>
  <si>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</si>
  <si>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</si>
  <si>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</si>
  <si>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</si>
  <si>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</si>
  <si>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</si>
  <si>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</si>
  <si>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</si>
  <si>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</si>
  <si>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</si>
  <si>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</si>
  <si>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</si>
  <si>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</si>
  <si>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</si>
  <si>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</si>
  <si>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</si>
  <si>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</si>
  <si>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</si>
  <si>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</si>
  <si>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</si>
  <si>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</si>
  <si>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</si>
  <si>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</si>
  <si>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</si>
  <si>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</si>
  <si>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</si>
  <si>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</si>
  <si>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</si>
  <si>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</si>
  <si>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</si>
  <si>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</si>
  <si>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</si>
  <si>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</si>
  <si>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</si>
  <si>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</si>
  <si>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</si>
  <si>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</si>
  <si>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</si>
  <si>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</si>
  <si>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</si>
  <si>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</si>
  <si>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</si>
  <si>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</si>
  <si>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</si>
  <si>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</si>
  <si>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</si>
  <si>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</si>
  <si>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</si>
  <si>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</si>
  <si>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</si>
  <si>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</si>
  <si>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</si>
  <si>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</si>
  <si>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</si>
  <si>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</si>
  <si>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</si>
  <si>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</si>
  <si>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</si>
  <si>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</si>
  <si>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</si>
  <si>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</si>
  <si>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</si>
  <si>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</si>
  <si>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</si>
  <si>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</si>
  <si>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</si>
  <si>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</si>
  <si>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</si>
  <si>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</si>
  <si>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</si>
  <si>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</si>
  <si>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</si>
  <si>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</si>
  <si>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</si>
  <si>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</si>
  <si>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</si>
  <si>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</si>
  <si>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</si>
  <si>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</si>
  <si>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</si>
  <si>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</si>
  <si>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</si>
  <si>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</si>
  <si>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</si>
  <si>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</si>
  <si>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</si>
  <si>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</si>
  <si>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</si>
  <si>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</si>
  <si>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</si>
  <si>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</si>
  <si>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</si>
  <si>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</si>
  <si>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</si>
  <si>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</si>
  <si>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</si>
  <si>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</si>
  <si>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</si>
  <si>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</si>
  <si>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</si>
  <si>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</si>
  <si>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</si>
  <si>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</si>
  <si>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</si>
  <si>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</si>
  <si>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</si>
  <si>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</si>
  <si>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</si>
  <si>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</si>
  <si>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</si>
  <si>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</si>
  <si>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</si>
  <si>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</si>
  <si>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</si>
  <si>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</si>
  <si>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</si>
  <si>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</si>
  <si>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</si>
  <si>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</si>
  <si>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</si>
  <si>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</si>
  <si>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</si>
  <si>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</si>
  <si>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</si>
  <si>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</si>
  <si>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</si>
  <si>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</si>
  <si>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</si>
  <si>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</si>
  <si>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</si>
  <si>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</si>
  <si>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</si>
  <si>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</si>
  <si>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</si>
  <si>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</si>
  <si>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</si>
  <si>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</si>
  <si>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</si>
  <si>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</si>
  <si>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</si>
  <si>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</si>
  <si>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</si>
  <si>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</si>
  <si>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</si>
  <si>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</si>
  <si>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</si>
  <si>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</si>
  <si>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</si>
  <si>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</si>
  <si>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</si>
  <si>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</si>
  <si>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</si>
  <si>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</si>
  <si>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</si>
  <si>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</si>
  <si>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</si>
  <si>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</si>
  <si>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</si>
  <si>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</si>
  <si>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</si>
  <si>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</si>
  <si>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</si>
  <si>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</si>
  <si>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</si>
  <si>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</si>
  <si>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</si>
  <si>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</si>
  <si>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</si>
  <si>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</si>
  <si>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</si>
  <si>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</si>
  <si>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</si>
  <si>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</si>
  <si>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</si>
  <si>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</si>
  <si>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</si>
  <si>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</si>
  <si>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</si>
  <si>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</si>
  <si>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</si>
  <si>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</si>
  <si>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</si>
  <si>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</si>
  <si>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</si>
  <si>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</si>
  <si>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</si>
  <si>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</si>
  <si>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</si>
  <si>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</si>
  <si>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</si>
  <si>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</si>
  <si>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</si>
  <si>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</si>
  <si>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</si>
  <si>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</si>
  <si>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</si>
  <si>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</si>
  <si>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</si>
  <si>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</si>
  <si>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</si>
  <si>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</si>
  <si>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</si>
  <si>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Udvidelse af forsyningsområde</t>
  </si>
  <si>
    <t>Korrektion af tidligere rammer</t>
  </si>
  <si>
    <t>Engangskorrektion vedrørende erstatninger</t>
  </si>
  <si>
    <t>Målerdata, monitering og filterskyllevand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</si>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</sst>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0" fillId="0" borderId="0" xfId="0" applyNumberForma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 refreshError="1"/>
      <sheetData sheetId="1" refreshError="1"/>
      <sheetData sheetId="2">
        <row r="1">
          <cell r="A1" t="str">
            <v>ØR 2021-2024 samt statusmeddelelser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5">
          <cell r="C5">
            <v>1.0168999999999999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3" t="s">
        <v>4</v>
      </c>
      <c r="E6" s="83"/>
      <c r="F6" s="83"/>
      <c r="G6" s="83"/>
      <c r="H6" s="3"/>
      <c r="I6" s="1"/>
    </row>
    <row r="7" spans="1:9" ht="15" customHeight="1" x14ac:dyDescent="0.25">
      <c r="A7" s="1"/>
      <c r="B7" s="1"/>
      <c r="C7" s="3"/>
      <c r="D7" s="83"/>
      <c r="E7" s="83"/>
      <c r="F7" s="83"/>
      <c r="G7" s="83"/>
      <c r="H7" s="3"/>
      <c r="I7" s="1"/>
    </row>
    <row r="8" spans="1:9" ht="15.75" x14ac:dyDescent="0.25">
      <c r="A8" s="1"/>
      <c r="B8" s="1"/>
      <c r="C8" s="4"/>
      <c r="D8" s="85" t="s">
        <v>254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0" t="s">
        <v>163</v>
      </c>
      <c r="E13" s="81"/>
      <c r="F13" s="81"/>
      <c r="G13" s="82"/>
      <c r="H13" s="1"/>
      <c r="I13" s="1"/>
    </row>
    <row r="14" spans="1:9" x14ac:dyDescent="0.25">
      <c r="A14" s="1"/>
      <c r="B14" s="1"/>
      <c r="C14" s="6" t="s">
        <v>15</v>
      </c>
      <c r="D14" s="80" t="s">
        <v>83</v>
      </c>
      <c r="E14" s="81"/>
      <c r="F14" s="81"/>
      <c r="G14" s="82"/>
      <c r="H14" s="1"/>
      <c r="I14" s="1"/>
    </row>
    <row r="15" spans="1:9" x14ac:dyDescent="0.25">
      <c r="A15" s="1"/>
      <c r="B15" s="1"/>
      <c r="C15" s="6" t="s">
        <v>35</v>
      </c>
      <c r="D15" s="80" t="s">
        <v>128</v>
      </c>
      <c r="E15" s="81"/>
      <c r="F15" s="81"/>
      <c r="G15" s="82"/>
      <c r="H15" s="1"/>
      <c r="I15" s="1"/>
    </row>
    <row r="16" spans="1:9" x14ac:dyDescent="0.25">
      <c r="A16" s="1"/>
      <c r="B16" s="1"/>
      <c r="C16" s="6" t="s">
        <v>36</v>
      </c>
      <c r="D16" s="80" t="s">
        <v>180</v>
      </c>
      <c r="E16" s="81"/>
      <c r="F16" s="81"/>
      <c r="G16" s="82"/>
      <c r="H16" s="1"/>
      <c r="I16" s="1"/>
    </row>
    <row r="17" spans="1:9" x14ac:dyDescent="0.25">
      <c r="A17" s="1"/>
      <c r="B17" s="1"/>
      <c r="C17" s="6" t="s">
        <v>127</v>
      </c>
      <c r="D17" s="80" t="s">
        <v>181</v>
      </c>
      <c r="E17" s="81"/>
      <c r="F17" s="81"/>
      <c r="G17" s="82"/>
      <c r="H17" s="1"/>
      <c r="I17" s="1"/>
    </row>
    <row r="18" spans="1:9" x14ac:dyDescent="0.25">
      <c r="A18" s="1"/>
      <c r="B18" s="1"/>
      <c r="C18" s="32" t="s">
        <v>111</v>
      </c>
      <c r="D18" s="86" t="s">
        <v>100</v>
      </c>
      <c r="E18" s="87"/>
      <c r="F18" s="87"/>
      <c r="G18" s="88"/>
      <c r="H18" s="1"/>
      <c r="I18" s="1"/>
    </row>
    <row r="19" spans="1:9" x14ac:dyDescent="0.25">
      <c r="A19" s="1"/>
      <c r="B19" s="1"/>
      <c r="C19" s="32" t="s">
        <v>112</v>
      </c>
      <c r="D19" s="86" t="s">
        <v>101</v>
      </c>
      <c r="E19" s="87"/>
      <c r="F19" s="87"/>
      <c r="G19" s="88"/>
      <c r="H19" s="1"/>
      <c r="I19" s="1"/>
    </row>
    <row r="20" spans="1:9" x14ac:dyDescent="0.25">
      <c r="A20" s="1"/>
      <c r="B20" s="1"/>
      <c r="C20" s="32" t="s">
        <v>7</v>
      </c>
      <c r="D20" s="86" t="s">
        <v>9</v>
      </c>
      <c r="E20" s="87"/>
      <c r="F20" s="87"/>
      <c r="G20" s="88"/>
      <c r="H20" s="1"/>
      <c r="I20" s="1"/>
    </row>
    <row r="21" spans="1:9" x14ac:dyDescent="0.25">
      <c r="A21" s="1"/>
      <c r="B21" s="1"/>
      <c r="C21" s="6" t="s">
        <v>113</v>
      </c>
      <c r="D21" s="77" t="s">
        <v>12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87</v>
      </c>
      <c r="D22" s="71" t="s">
        <v>182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8</v>
      </c>
      <c r="D23" s="71" t="s">
        <v>37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170</v>
      </c>
      <c r="D24" s="71" t="s">
        <v>88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171</v>
      </c>
      <c r="D25" s="71" t="s">
        <v>89</v>
      </c>
      <c r="E25" s="72"/>
      <c r="F25" s="72"/>
      <c r="G25" s="73"/>
      <c r="H25" s="1"/>
      <c r="I25" s="1"/>
    </row>
    <row r="26" spans="1:9" x14ac:dyDescent="0.25">
      <c r="A26" s="1"/>
      <c r="B26" s="1"/>
      <c r="C26" s="6" t="s">
        <v>172</v>
      </c>
      <c r="D26" s="71" t="s">
        <v>129</v>
      </c>
      <c r="E26" s="72"/>
      <c r="F26" s="72"/>
      <c r="G26" s="73"/>
      <c r="H26" s="1"/>
      <c r="I26" s="1"/>
    </row>
    <row r="27" spans="1:9" x14ac:dyDescent="0.25">
      <c r="A27" s="1"/>
      <c r="B27" s="1"/>
      <c r="C27" s="6" t="s">
        <v>114</v>
      </c>
      <c r="D27" s="71" t="s">
        <v>38</v>
      </c>
      <c r="E27" s="72"/>
      <c r="F27" s="72"/>
      <c r="G27" s="73"/>
      <c r="H27" s="1"/>
      <c r="I27" s="1"/>
    </row>
    <row r="28" spans="1:9" x14ac:dyDescent="0.25">
      <c r="A28" s="1"/>
      <c r="B28" s="1"/>
      <c r="C28" s="6" t="s">
        <v>108</v>
      </c>
      <c r="D28" s="74" t="s">
        <v>109</v>
      </c>
      <c r="E28" s="75"/>
      <c r="F28" s="75"/>
      <c r="G28" s="76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wwBFcKCVljNL6kSg6bpSklDKC7Wou8ijeHz/59Qh/m3mG+pi/G1S2ZYi7s4/I7cLmCDgsh8FsLfqSgonMTMlQ==" saltValue="RgnZ6lhbhg9gJbfHRLaaWg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2" t="s">
        <v>202</v>
      </c>
      <c r="C8" s="113"/>
      <c r="D8" s="114"/>
      <c r="E8" s="1"/>
      <c r="F8" s="1"/>
    </row>
    <row r="9" spans="1:6" ht="15" customHeight="1" x14ac:dyDescent="0.25">
      <c r="A9" s="1"/>
      <c r="B9" s="52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3" t="s">
        <v>227</v>
      </c>
      <c r="C10" s="9">
        <v>28082000</v>
      </c>
      <c r="D10" s="14" t="s">
        <v>3</v>
      </c>
      <c r="E10" s="1"/>
      <c r="F10" s="1"/>
    </row>
    <row r="11" spans="1:6" x14ac:dyDescent="0.25">
      <c r="A11" s="1"/>
      <c r="B11" s="63" t="s">
        <v>228</v>
      </c>
      <c r="C11" s="9">
        <v>130144</v>
      </c>
      <c r="D11" s="14" t="s">
        <v>3</v>
      </c>
      <c r="E11" s="1"/>
      <c r="F11" s="1"/>
    </row>
    <row r="12" spans="1:6" x14ac:dyDescent="0.25">
      <c r="A12" s="1"/>
      <c r="B12" s="63" t="s">
        <v>229</v>
      </c>
      <c r="C12" s="9">
        <v>781000</v>
      </c>
      <c r="D12" s="14" t="s">
        <v>3</v>
      </c>
      <c r="E12" s="1"/>
      <c r="F12" s="1"/>
    </row>
    <row r="13" spans="1:6" x14ac:dyDescent="0.25">
      <c r="A13" s="1"/>
      <c r="B13" s="63" t="s">
        <v>230</v>
      </c>
      <c r="C13" s="9">
        <v>150332</v>
      </c>
      <c r="D13" s="14" t="s">
        <v>3</v>
      </c>
      <c r="E13" s="1"/>
      <c r="F13" s="1"/>
    </row>
    <row r="14" spans="1:6" x14ac:dyDescent="0.25">
      <c r="A14" s="1"/>
      <c r="B14" s="55" t="s">
        <v>204</v>
      </c>
      <c r="C14" s="12">
        <f>SUM(C10:C13)</f>
        <v>29143476</v>
      </c>
      <c r="D14" s="13" t="s">
        <v>3</v>
      </c>
      <c r="E14" s="1"/>
      <c r="F14" s="1"/>
    </row>
    <row r="15" spans="1:6" x14ac:dyDescent="0.25">
      <c r="A15" s="1"/>
      <c r="B15" s="55" t="s">
        <v>205</v>
      </c>
      <c r="C15" s="12">
        <f>C14*(1+'Fane 12. Nøgletal'!C14)^2</f>
        <v>29336140.314053643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JiA3UexNGhLnsqQNBPnnlV51A9ROjDXgdP/ZLiY+F55uCj+DlnMMIWXc3ZkjYB4A8qe+nHSmT78uodzT+EXtVA==" saltValue="IJi+DXTTwbnUntunNfL/b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7" t="s">
        <v>220</v>
      </c>
      <c r="C3" s="97"/>
      <c r="D3" s="97"/>
      <c r="E3" s="97"/>
      <c r="F3" s="97"/>
      <c r="G3" s="1"/>
    </row>
    <row r="4" spans="1:7" ht="15" customHeight="1" x14ac:dyDescent="0.25">
      <c r="A4" s="1"/>
      <c r="B4" s="97"/>
      <c r="C4" s="97"/>
      <c r="D4" s="97"/>
      <c r="E4" s="97"/>
      <c r="F4" s="97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232</v>
      </c>
      <c r="C8" s="113"/>
      <c r="D8" s="113"/>
      <c r="E8" s="113"/>
      <c r="F8" s="114"/>
      <c r="G8" s="1"/>
    </row>
    <row r="9" spans="1:7" x14ac:dyDescent="0.25">
      <c r="A9" s="1"/>
      <c r="B9" s="115" t="s">
        <v>233</v>
      </c>
      <c r="C9" s="116"/>
      <c r="D9" s="117"/>
      <c r="E9" s="9">
        <v>7224963.0615701675</v>
      </c>
      <c r="F9" s="14" t="s">
        <v>3</v>
      </c>
      <c r="G9" s="1"/>
    </row>
    <row r="10" spans="1:7" x14ac:dyDescent="0.25">
      <c r="A10" s="1"/>
      <c r="B10" s="115" t="s">
        <v>234</v>
      </c>
      <c r="C10" s="116"/>
      <c r="D10" s="117"/>
      <c r="E10" s="9">
        <v>-1328925.1670800447</v>
      </c>
      <c r="F10" s="14" t="s">
        <v>3</v>
      </c>
      <c r="G10" s="1"/>
    </row>
    <row r="11" spans="1:7" x14ac:dyDescent="0.25">
      <c r="A11" s="1"/>
      <c r="B11" s="115" t="s">
        <v>235</v>
      </c>
      <c r="C11" s="116"/>
      <c r="D11" s="117"/>
      <c r="E11" s="9">
        <v>-619626.96874921024</v>
      </c>
      <c r="F11" s="14" t="s">
        <v>3</v>
      </c>
      <c r="G11" s="1"/>
    </row>
    <row r="12" spans="1:7" x14ac:dyDescent="0.25">
      <c r="A12" s="1"/>
      <c r="B12" s="115" t="s">
        <v>236</v>
      </c>
      <c r="C12" s="116"/>
      <c r="D12" s="117"/>
      <c r="E12" s="9">
        <f>IF(OR(AND(E10&gt;0,E11&lt;0),AND(E11&lt;0,E34&gt;0)),E17+E18,E11)</f>
        <v>0</v>
      </c>
      <c r="F12" s="14" t="s">
        <v>3</v>
      </c>
      <c r="G12" s="1"/>
    </row>
    <row r="13" spans="1:7" x14ac:dyDescent="0.25">
      <c r="A13" s="1"/>
      <c r="B13" s="55"/>
      <c r="C13" s="56"/>
      <c r="D13" s="56"/>
      <c r="E13" s="56"/>
      <c r="F13" s="20"/>
      <c r="G13" s="1"/>
    </row>
    <row r="14" spans="1:7" ht="54.75" customHeight="1" x14ac:dyDescent="0.25">
      <c r="A14" s="1"/>
      <c r="B14" s="101" t="s">
        <v>237</v>
      </c>
      <c r="C14" s="102"/>
      <c r="D14" s="102"/>
      <c r="E14" s="102"/>
      <c r="F14" s="10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238</v>
      </c>
      <c r="C16" s="113"/>
      <c r="D16" s="113"/>
      <c r="E16" s="113"/>
      <c r="F16" s="114"/>
      <c r="G16" s="1"/>
    </row>
    <row r="17" spans="1:8" x14ac:dyDescent="0.25">
      <c r="A17" s="1"/>
      <c r="B17" s="115" t="s">
        <v>239</v>
      </c>
      <c r="C17" s="116"/>
      <c r="D17" s="117"/>
      <c r="E17" s="9">
        <v>0</v>
      </c>
      <c r="F17" s="14" t="s">
        <v>3</v>
      </c>
      <c r="G17" s="1"/>
    </row>
    <row r="18" spans="1:8" x14ac:dyDescent="0.25">
      <c r="A18" s="1"/>
      <c r="B18" s="115" t="s">
        <v>240</v>
      </c>
      <c r="C18" s="116"/>
      <c r="D18" s="117"/>
      <c r="E18" s="9">
        <v>0</v>
      </c>
      <c r="F18" s="14" t="s">
        <v>3</v>
      </c>
      <c r="G18" s="1"/>
    </row>
    <row r="19" spans="1:8" x14ac:dyDescent="0.25">
      <c r="A19" s="1"/>
      <c r="B19" s="55"/>
      <c r="C19" s="56"/>
      <c r="D19" s="56"/>
      <c r="E19" s="56"/>
      <c r="F19" s="20"/>
      <c r="G19" s="1"/>
    </row>
    <row r="20" spans="1:8" ht="30" customHeight="1" x14ac:dyDescent="0.25">
      <c r="A20" s="1"/>
      <c r="B20" s="101" t="s">
        <v>241</v>
      </c>
      <c r="C20" s="102"/>
      <c r="D20" s="102"/>
      <c r="E20" s="102"/>
      <c r="F20" s="103"/>
      <c r="G20" s="1"/>
      <c r="H20" s="46"/>
    </row>
    <row r="21" spans="1:8" ht="28.5" customHeight="1" x14ac:dyDescent="0.25">
      <c r="A21" s="1"/>
      <c r="B21" s="1"/>
      <c r="C21" s="1"/>
      <c r="D21" s="1"/>
      <c r="E21" s="1"/>
      <c r="F21" s="1"/>
      <c r="G21" s="1"/>
    </row>
    <row r="22" spans="1:8" x14ac:dyDescent="0.25">
      <c r="A22" s="1"/>
      <c r="B22" s="57" t="s">
        <v>206</v>
      </c>
      <c r="C22" s="58"/>
      <c r="D22" s="58"/>
      <c r="E22" s="58"/>
      <c r="F22" s="59"/>
      <c r="G22" s="1"/>
    </row>
    <row r="23" spans="1:8" x14ac:dyDescent="0.25">
      <c r="A23" s="1"/>
      <c r="B23" s="60" t="s">
        <v>207</v>
      </c>
      <c r="C23" s="61"/>
      <c r="D23" s="62"/>
      <c r="E23" s="9">
        <v>97173572.886518627</v>
      </c>
      <c r="F23" s="14" t="s">
        <v>3</v>
      </c>
      <c r="G23" s="1"/>
    </row>
    <row r="24" spans="1:8" x14ac:dyDescent="0.25">
      <c r="A24" s="1"/>
      <c r="B24" s="60" t="s">
        <v>208</v>
      </c>
      <c r="C24" s="61"/>
      <c r="D24" s="62"/>
      <c r="E24" s="9">
        <v>101737000</v>
      </c>
      <c r="F24" s="14" t="s">
        <v>3</v>
      </c>
      <c r="G24" s="1"/>
    </row>
    <row r="25" spans="1:8" x14ac:dyDescent="0.25">
      <c r="A25" s="1"/>
      <c r="B25" s="60" t="s">
        <v>34</v>
      </c>
      <c r="C25" s="61"/>
      <c r="D25" s="62"/>
      <c r="E25" s="9">
        <v>0</v>
      </c>
      <c r="F25" s="14" t="s">
        <v>3</v>
      </c>
      <c r="G25" s="1"/>
    </row>
    <row r="26" spans="1:8" x14ac:dyDescent="0.25">
      <c r="A26" s="1"/>
      <c r="B26" s="64" t="s">
        <v>251</v>
      </c>
      <c r="C26" s="65"/>
      <c r="D26" s="66"/>
      <c r="E26" s="45">
        <f>E23-(E24-E25)</f>
        <v>-4563427.1134813726</v>
      </c>
      <c r="F26" s="17" t="s">
        <v>3</v>
      </c>
      <c r="G26" s="1"/>
    </row>
    <row r="27" spans="1:8" x14ac:dyDescent="0.25">
      <c r="A27" s="1"/>
      <c r="B27" s="55"/>
      <c r="C27" s="56"/>
      <c r="D27" s="56"/>
      <c r="E27" s="56"/>
      <c r="F27" s="20"/>
      <c r="G27" s="1"/>
    </row>
    <row r="28" spans="1:8" x14ac:dyDescent="0.25">
      <c r="A28" s="1"/>
      <c r="B28" s="1"/>
      <c r="C28" s="1"/>
      <c r="D28" s="1"/>
      <c r="E28" s="1"/>
      <c r="F28" s="1"/>
      <c r="G28" s="1"/>
    </row>
    <row r="29" spans="1:8" x14ac:dyDescent="0.25">
      <c r="A29" s="1"/>
      <c r="B29" s="112" t="s">
        <v>242</v>
      </c>
      <c r="C29" s="113"/>
      <c r="D29" s="113"/>
      <c r="E29" s="113"/>
      <c r="F29" s="114"/>
      <c r="G29" s="1"/>
    </row>
    <row r="30" spans="1:8" x14ac:dyDescent="0.25">
      <c r="A30" s="1"/>
      <c r="B30" s="133" t="s">
        <v>243</v>
      </c>
      <c r="C30" s="134"/>
      <c r="D30" s="135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8" x14ac:dyDescent="0.25">
      <c r="A31" s="1"/>
      <c r="B31" s="112"/>
      <c r="C31" s="113"/>
      <c r="D31" s="113"/>
      <c r="E31" s="113"/>
      <c r="F31" s="114"/>
      <c r="G31" s="1"/>
    </row>
    <row r="32" spans="1:8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2" t="s">
        <v>244</v>
      </c>
      <c r="C33" s="113"/>
      <c r="D33" s="113"/>
      <c r="E33" s="113"/>
      <c r="F33" s="114"/>
      <c r="G33" s="1"/>
    </row>
    <row r="34" spans="1:7" x14ac:dyDescent="0.25">
      <c r="A34" s="1"/>
      <c r="B34" s="137" t="s">
        <v>252</v>
      </c>
      <c r="C34" s="138"/>
      <c r="D34" s="139"/>
      <c r="E34" s="9">
        <v>1</v>
      </c>
      <c r="F34" s="14"/>
      <c r="G34" s="1"/>
    </row>
    <row r="35" spans="1:7" x14ac:dyDescent="0.25">
      <c r="A35" s="1"/>
      <c r="B35" s="137" t="s">
        <v>161</v>
      </c>
      <c r="C35" s="138"/>
      <c r="D35" s="139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7" t="s">
        <v>110</v>
      </c>
      <c r="C36" s="138"/>
      <c r="D36" s="139"/>
      <c r="E36" s="9">
        <v>4</v>
      </c>
      <c r="F36" s="14" t="s">
        <v>19</v>
      </c>
      <c r="G36" s="1"/>
    </row>
    <row r="37" spans="1:7" x14ac:dyDescent="0.25">
      <c r="A37" s="1"/>
      <c r="B37" s="136" t="s">
        <v>160</v>
      </c>
      <c r="C37" s="136"/>
      <c r="D37" s="136"/>
      <c r="E37" s="10">
        <f>E35/E36</f>
        <v>0</v>
      </c>
      <c r="F37" s="17" t="s">
        <v>3</v>
      </c>
      <c r="G37" s="1"/>
    </row>
    <row r="38" spans="1:7" x14ac:dyDescent="0.25">
      <c r="A38" s="1"/>
      <c r="B38" s="130"/>
      <c r="C38" s="131"/>
      <c r="D38" s="131"/>
      <c r="E38" s="131"/>
      <c r="F38" s="132"/>
      <c r="G38" s="1"/>
    </row>
    <row r="39" spans="1:7" ht="75" customHeight="1" x14ac:dyDescent="0.25">
      <c r="A39" s="1"/>
      <c r="B39" s="101" t="s">
        <v>250</v>
      </c>
      <c r="C39" s="102"/>
      <c r="D39" s="102"/>
      <c r="E39" s="102"/>
      <c r="F39" s="10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ox/LwHzGyaJVZMTKQBwYypMQ/A0d1qBxKcEQCnqG2FHUVUT6sbZl9a5b988yzUuqfwQ3E02mVd8Bqdaka5mnBg==" saltValue="liPRkAi24npnwVDn64GoNg==" spinCount="100000" sheet="1" objects="1" scenarios="1"/>
  <mergeCells count="21">
    <mergeCell ref="B31:F31"/>
    <mergeCell ref="B33:F33"/>
    <mergeCell ref="B34:D34"/>
    <mergeCell ref="B35:D35"/>
    <mergeCell ref="B36:D36"/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157</v>
      </c>
      <c r="C8" s="113"/>
      <c r="D8" s="113"/>
      <c r="E8" s="113"/>
      <c r="F8" s="113"/>
      <c r="G8" s="113"/>
      <c r="H8" s="11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9"/>
      <c r="I9" s="1"/>
    </row>
    <row r="10" spans="1:9" x14ac:dyDescent="0.25">
      <c r="A10" s="1"/>
      <c r="B10" s="68" t="s">
        <v>253</v>
      </c>
      <c r="C10" s="6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2" t="s">
        <v>158</v>
      </c>
      <c r="C11" s="113"/>
      <c r="D11" s="114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ONbMDqxnj19jJh2i1MSLRy3EoAZcySxk/aV9DN/RJ7u/uyUvDuLQv38TZPgR5s67abIg1QgivWGnsf9FWPHcmg==" saltValue="ZJ1pCp2el+mUeGUGtOzV1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84</v>
      </c>
      <c r="C8" s="56"/>
      <c r="D8" s="56"/>
      <c r="E8" s="56"/>
      <c r="F8" s="20"/>
      <c r="G8" s="1"/>
    </row>
    <row r="9" spans="1:7" ht="17.25" customHeight="1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25" t="s">
        <v>248</v>
      </c>
      <c r="C11" s="22">
        <v>1171777</v>
      </c>
      <c r="D11" s="14" t="s">
        <v>3</v>
      </c>
      <c r="E11" s="9">
        <v>19547</v>
      </c>
      <c r="F11" s="14" t="s">
        <v>3</v>
      </c>
      <c r="G11" s="1"/>
    </row>
    <row r="12" spans="1:7" x14ac:dyDescent="0.25">
      <c r="A12" s="1"/>
      <c r="B12" s="37" t="s">
        <v>245</v>
      </c>
      <c r="C12" s="22">
        <v>14097</v>
      </c>
      <c r="D12" s="14" t="s">
        <v>3</v>
      </c>
      <c r="E12" s="9">
        <v>17089</v>
      </c>
      <c r="F12" s="14" t="s">
        <v>3</v>
      </c>
      <c r="G12" s="1"/>
    </row>
    <row r="13" spans="1:7" x14ac:dyDescent="0.25">
      <c r="A13" s="1"/>
      <c r="B13" s="55" t="s">
        <v>136</v>
      </c>
      <c r="C13" s="12">
        <f>SUM(C10:C12)</f>
        <v>1185874</v>
      </c>
      <c r="D13" s="13" t="s">
        <v>3</v>
      </c>
      <c r="E13" s="12">
        <f>SUM(E10:E12)</f>
        <v>36636</v>
      </c>
      <c r="F13" s="13" t="s">
        <v>3</v>
      </c>
      <c r="G13" s="1"/>
    </row>
    <row r="14" spans="1:7" x14ac:dyDescent="0.25">
      <c r="A14" s="1"/>
      <c r="B14" s="55" t="s">
        <v>209</v>
      </c>
      <c r="C14" s="12">
        <f>C13*(1+'Fane 12. Nøgletal'!C14)</f>
        <v>1189787.3842000002</v>
      </c>
      <c r="D14" s="13" t="s">
        <v>3</v>
      </c>
      <c r="E14" s="12">
        <f>E13*(1+'Fane 12. Nøgletal'!C14)</f>
        <v>36756.898800000003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KB5qch4iX881xCq9Lj8EZegHqeGskK6smziWprCGzVerdsPBk9evqnftjHxzG+YwTdgdgB9A86I2whuwTfivgQ==" saltValue="fK7o8FcmoLbxtPKUqwQ5j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102</v>
      </c>
      <c r="C8" s="113"/>
      <c r="D8" s="113"/>
      <c r="E8" s="113"/>
      <c r="F8" s="114"/>
      <c r="G8" s="1"/>
    </row>
    <row r="9" spans="1:7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249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5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103</v>
      </c>
      <c r="C16" s="113"/>
      <c r="D16" s="113"/>
      <c r="E16" s="113"/>
      <c r="F16" s="114"/>
      <c r="G16" s="1"/>
    </row>
    <row r="17" spans="1:7" x14ac:dyDescent="0.25">
      <c r="A17" s="1"/>
      <c r="B17" s="53" t="s">
        <v>16</v>
      </c>
      <c r="C17" s="53" t="s">
        <v>11</v>
      </c>
      <c r="D17" s="54"/>
      <c r="E17" s="53" t="s">
        <v>32</v>
      </c>
      <c r="F17" s="49"/>
      <c r="G17" s="1"/>
    </row>
    <row r="18" spans="1:7" x14ac:dyDescent="0.25">
      <c r="A18" s="1"/>
      <c r="B18" s="25" t="s">
        <v>249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5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5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2" t="s">
        <v>138</v>
      </c>
      <c r="C24" s="113"/>
      <c r="D24" s="113"/>
      <c r="E24" s="113"/>
      <c r="F24" s="114"/>
      <c r="G24" s="1"/>
    </row>
    <row r="25" spans="1:7" x14ac:dyDescent="0.25">
      <c r="A25" s="1"/>
      <c r="B25" s="53" t="s">
        <v>16</v>
      </c>
      <c r="C25" s="53" t="s">
        <v>11</v>
      </c>
      <c r="D25" s="54"/>
      <c r="E25" s="53" t="s">
        <v>32</v>
      </c>
      <c r="F25" s="49"/>
      <c r="G25" s="1"/>
    </row>
    <row r="26" spans="1:7" x14ac:dyDescent="0.25">
      <c r="A26" s="1"/>
      <c r="B26" s="25" t="s">
        <v>249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5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5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2" t="s">
        <v>211</v>
      </c>
      <c r="C32" s="113"/>
      <c r="D32" s="113"/>
      <c r="E32" s="113"/>
      <c r="F32" s="114"/>
      <c r="G32" s="1"/>
    </row>
    <row r="33" spans="1:7" x14ac:dyDescent="0.25">
      <c r="A33" s="1"/>
      <c r="B33" s="53" t="s">
        <v>16</v>
      </c>
      <c r="C33" s="53" t="s">
        <v>11</v>
      </c>
      <c r="D33" s="54"/>
      <c r="E33" s="53" t="s">
        <v>32</v>
      </c>
      <c r="F33" s="49"/>
      <c r="G33" s="1"/>
    </row>
    <row r="34" spans="1:7" x14ac:dyDescent="0.25">
      <c r="A34" s="1"/>
      <c r="B34" s="25" t="s">
        <v>249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5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5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hB1jYNbrqgbrHoPqvdrwtm2Of8Dy4F0svATok2DvUvSUHhfUBaqN9tA3XSGUu83SPpd4LF5Jd/gjANXpcnJhkQ==" saltValue="OQumaZ2V/Tus2rH0XB+2a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166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130</v>
      </c>
      <c r="C8" s="113"/>
      <c r="D8" s="113"/>
      <c r="E8" s="113"/>
      <c r="F8" s="114"/>
      <c r="G8" s="1"/>
    </row>
    <row r="9" spans="1:7" ht="15" customHeight="1" x14ac:dyDescent="0.25">
      <c r="A9" s="1"/>
      <c r="B9" s="48" t="s">
        <v>131</v>
      </c>
      <c r="C9" s="107" t="s">
        <v>11</v>
      </c>
      <c r="D9" s="109"/>
      <c r="E9" s="107" t="s">
        <v>32</v>
      </c>
      <c r="F9" s="109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tUL8e5ruhexoDzrDG6fDKh1d8a8O+7T+6jb1SOHrJPUZniBvkhZGjDtw0ha8G1An8PGLKyHUgcOTZinrxLhVTQ==" saltValue="duMtbKS9U0FghvGVrmwX+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165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98</v>
      </c>
      <c r="C8" s="113"/>
      <c r="D8" s="113"/>
      <c r="E8" s="113"/>
      <c r="F8" s="114"/>
      <c r="G8" s="1"/>
    </row>
    <row r="9" spans="1:7" ht="15" customHeight="1" x14ac:dyDescent="0.25">
      <c r="A9" s="1"/>
      <c r="B9" s="48" t="s">
        <v>17</v>
      </c>
      <c r="C9" s="48" t="s">
        <v>11</v>
      </c>
      <c r="D9" s="49"/>
      <c r="E9" s="48" t="s">
        <v>32</v>
      </c>
      <c r="F9" s="49"/>
      <c r="G9" s="1"/>
    </row>
    <row r="10" spans="1:7" x14ac:dyDescent="0.25">
      <c r="A10" s="1"/>
      <c r="B10" s="25" t="s">
        <v>231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2" t="s">
        <v>99</v>
      </c>
      <c r="C15" s="113"/>
      <c r="D15" s="113"/>
      <c r="E15" s="113"/>
      <c r="F15" s="114"/>
      <c r="G15" s="1"/>
    </row>
    <row r="16" spans="1:7" ht="26.25" x14ac:dyDescent="0.25">
      <c r="A16" s="1"/>
      <c r="B16" s="48" t="s">
        <v>17</v>
      </c>
      <c r="C16" s="48" t="s">
        <v>11</v>
      </c>
      <c r="D16" s="49"/>
      <c r="E16" s="48" t="s">
        <v>32</v>
      </c>
      <c r="F16" s="49"/>
      <c r="G16" s="1"/>
    </row>
    <row r="17" spans="1:7" x14ac:dyDescent="0.25">
      <c r="A17" s="1"/>
      <c r="B17" s="25" t="s">
        <v>231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5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5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2" t="s">
        <v>142</v>
      </c>
      <c r="C22" s="113"/>
      <c r="D22" s="113"/>
      <c r="E22" s="113"/>
      <c r="F22" s="114"/>
      <c r="G22" s="1"/>
    </row>
    <row r="23" spans="1:7" ht="26.25" x14ac:dyDescent="0.25">
      <c r="A23" s="1"/>
      <c r="B23" s="48" t="s">
        <v>17</v>
      </c>
      <c r="C23" s="48" t="s">
        <v>11</v>
      </c>
      <c r="D23" s="49"/>
      <c r="E23" s="48" t="s">
        <v>32</v>
      </c>
      <c r="F23" s="49"/>
      <c r="G23" s="1"/>
    </row>
    <row r="24" spans="1:7" x14ac:dyDescent="0.25">
      <c r="A24" s="1"/>
      <c r="B24" s="25" t="s">
        <v>231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5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5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214</v>
      </c>
      <c r="C29" s="113"/>
      <c r="D29" s="113"/>
      <c r="E29" s="113"/>
      <c r="F29" s="114"/>
      <c r="G29" s="1"/>
    </row>
    <row r="30" spans="1:7" ht="26.25" x14ac:dyDescent="0.25">
      <c r="A30" s="1"/>
      <c r="B30" s="48" t="s">
        <v>17</v>
      </c>
      <c r="C30" s="48" t="s">
        <v>11</v>
      </c>
      <c r="D30" s="49"/>
      <c r="E30" s="48" t="s">
        <v>32</v>
      </c>
      <c r="F30" s="49"/>
      <c r="G30" s="1"/>
    </row>
    <row r="31" spans="1:7" x14ac:dyDescent="0.25">
      <c r="A31" s="1"/>
      <c r="B31" s="25" t="s">
        <v>231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5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5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Kz3ilAXnBAZkwJOXAxaY5Z7WRnK0NysiYZ/V3IzvhOya5d+OiiR+jEZ/5PSfwJQSyHd8CfffM3ZBHbW/HPGPg==" saltValue="upuuolGYQwM8nf+kP6uj1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7" t="s">
        <v>164</v>
      </c>
      <c r="C3" s="97"/>
      <c r="D3" s="1"/>
    </row>
    <row r="4" spans="1:4" ht="25.5" customHeight="1" x14ac:dyDescent="0.25">
      <c r="A4" s="1"/>
      <c r="B4" s="97"/>
      <c r="C4" s="9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5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70">
        <v>3.3E-3</v>
      </c>
      <c r="D14" s="1"/>
    </row>
    <row r="15" spans="1:4" x14ac:dyDescent="0.25">
      <c r="A15" s="1"/>
      <c r="B15" s="112"/>
      <c r="C15" s="114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5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217</v>
      </c>
      <c r="C24" s="35">
        <v>1.4800000000000001E-2</v>
      </c>
      <c r="D24" s="1"/>
    </row>
    <row r="25" spans="1:4" x14ac:dyDescent="0.25">
      <c r="A25" s="1"/>
      <c r="B25" s="5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5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MDbZTUkQ3XD6usLFoWdulRBQz7RkfcoLhkndAYebGfHjOG3CjS8AiAO98Ylr797el83NuZ5ruPqXQOoOmvj47w==" saltValue="abMl5pVklZF/lcOdeZTvvA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183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x14ac:dyDescent="0.25">
      <c r="A9" s="1"/>
      <c r="B9" s="51" t="s">
        <v>24</v>
      </c>
      <c r="C9" s="7">
        <f>'Fane 3. Omkostninger i ØR2021'!E20</f>
        <v>60353953.332093067</v>
      </c>
      <c r="D9" s="8" t="s">
        <v>3</v>
      </c>
      <c r="E9" s="1"/>
    </row>
    <row r="10" spans="1:5" x14ac:dyDescent="0.25">
      <c r="A10" s="1"/>
      <c r="B10" s="47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410976.33782368078</v>
      </c>
      <c r="D10" s="8" t="s">
        <v>3</v>
      </c>
      <c r="E10" s="1"/>
    </row>
    <row r="11" spans="1:5" x14ac:dyDescent="0.25">
      <c r="A11" s="1"/>
      <c r="B11" s="47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354198.62375464785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tillæg'!C14</f>
        <v>1189787.3842000002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tillæg'!E14</f>
        <v>36756.898800000003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740365.82678543543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-1223671.7265617158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-570422.83624961984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-1102591.0924978352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59424177.786569335</v>
      </c>
      <c r="D22" s="11" t="s">
        <v>3</v>
      </c>
      <c r="E22" s="1"/>
    </row>
    <row r="23" spans="1:5" ht="15" customHeight="1" x14ac:dyDescent="0.25">
      <c r="A23" s="1"/>
      <c r="B23" s="55" t="s">
        <v>12</v>
      </c>
      <c r="C23" s="56"/>
      <c r="D23" s="20"/>
      <c r="E23" s="1"/>
    </row>
    <row r="24" spans="1:5" ht="15" customHeight="1" x14ac:dyDescent="0.25">
      <c r="A24" s="1"/>
      <c r="B24" s="48" t="s">
        <v>12</v>
      </c>
      <c r="C24" s="10">
        <f>'Fane 6. Ikke-påvirkelige omk.'!C15</f>
        <v>29336140.314053643</v>
      </c>
      <c r="D24" s="11" t="s">
        <v>3</v>
      </c>
      <c r="E24" s="1"/>
    </row>
    <row r="25" spans="1:5" ht="15" customHeight="1" x14ac:dyDescent="0.25">
      <c r="A25" s="1"/>
      <c r="B25" s="55" t="s">
        <v>89</v>
      </c>
      <c r="C25" s="56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6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224</v>
      </c>
      <c r="C31" s="56"/>
      <c r="D31" s="20"/>
      <c r="E31" s="1"/>
    </row>
    <row r="32" spans="1:5" x14ac:dyDescent="0.25">
      <c r="A32" s="1"/>
      <c r="B32" s="67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5" t="s">
        <v>30</v>
      </c>
      <c r="C33" s="31">
        <f>SUM(C22,C24,C28,C30,C32)</f>
        <v>88760318.100622982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igiTWaYGRPcms6Y2cHr5Q42yAVQErtlJAdKaDqdziA3J8WtEi+8q/fD1xKduoZld5E6l+WFoNApqf7T3MMW6AA==" saltValue="u9CsOfpgT5nPtaoYv3cvH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134</v>
      </c>
      <c r="C8" s="7">
        <f>'Fane 2.1. Økonomisk ramme 2022'!C22</f>
        <v>59424177.786569335</v>
      </c>
      <c r="D8" s="8" t="s">
        <v>3</v>
      </c>
      <c r="E8" s="1"/>
    </row>
    <row r="9" spans="1:5" ht="15" customHeight="1" x14ac:dyDescent="0.25">
      <c r="A9" s="1"/>
      <c r="B9" s="30" t="s">
        <v>28</v>
      </c>
      <c r="C9" s="7">
        <f>-'Fane 11. Bortfald'!C19</f>
        <v>0</v>
      </c>
      <c r="D9" s="8" t="s">
        <v>3</v>
      </c>
      <c r="E9" s="1"/>
    </row>
    <row r="10" spans="1:5" ht="15" customHeight="1" x14ac:dyDescent="0.25">
      <c r="A10" s="1"/>
      <c r="B10" s="30" t="s">
        <v>27</v>
      </c>
      <c r="C10" s="7">
        <f>-'Fane 11. Bortfald'!E19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196099.78669567881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-1170645.6548729562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drift'!G44</f>
        <v>-560859.12697705883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anlæg'!G44</f>
        <v>-579233.37284997758</v>
      </c>
      <c r="D14" s="8" t="s">
        <v>3</v>
      </c>
      <c r="E14" s="1"/>
    </row>
    <row r="15" spans="1:5" ht="15" customHeight="1" x14ac:dyDescent="0.25">
      <c r="A15" s="1"/>
      <c r="B15" s="52" t="s">
        <v>20</v>
      </c>
      <c r="C15" s="10">
        <f>SUM(C8:C14)</f>
        <v>57309539.418565027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omk.'!C15*(1+'Fane 12. Nøgletal'!C14)</f>
        <v>29432949.577090021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Engangstillæg'!C22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Engangstillæg'!E22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6" t="s">
        <v>161</v>
      </c>
      <c r="C22" s="56"/>
      <c r="D22" s="20"/>
      <c r="E22" s="1"/>
    </row>
    <row r="23" spans="1:5" ht="15" customHeight="1" x14ac:dyDescent="0.25">
      <c r="A23" s="1"/>
      <c r="B23" s="67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6"/>
      <c r="D24" s="20"/>
      <c r="E24" s="1"/>
    </row>
    <row r="25" spans="1:5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97</v>
      </c>
      <c r="C26" s="12">
        <f>SUM(C15,C17,C21,C23,C25)</f>
        <v>86742488.995655045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SBUWXseAeeTo0nT3vNCYqcxvpbZRLl+IwJIYvwrLE0kGj5rxl5Yp5lpis0Wxqg8AHWkKv5egrU3ybi7Kl30hfA==" saltValue="Anve0jvubjbdqPk2jIset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135</v>
      </c>
      <c r="C8" s="7">
        <f>'Fane 2.2. Økonomisk ramme 2023'!C15</f>
        <v>57309539.418565027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189121.4800812646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-1128987.6579205547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-551455.76285416144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anlæg'!G54</f>
        <v>-572543.89930427296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55245673.578567311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omk.'!C15*(1+'Fane 12. Nøgletal'!C14)^2</f>
        <v>29530078.310694423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6"/>
      <c r="D24" s="20"/>
      <c r="E24" s="1"/>
    </row>
    <row r="25" spans="1:5" ht="15" customHeight="1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186</v>
      </c>
      <c r="C26" s="12">
        <f>SUM(C15,C17,C21,C23,C25)</f>
        <v>84775751.889261737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8NEXKucPEIqlPTVWRdrc+vrCPFh01o2zYoaB6WzeN6JIYNIu8iJ0GFV0tA7u7VzhG3T5bIxaZnzv8egCSc+k0w==" saltValue="1APpjxk8AWor5Wnh50cA+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187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188</v>
      </c>
      <c r="C8" s="7">
        <f>'Fane 2.3. Økonomisk ramme 2024'!C15</f>
        <v>55245673.578567311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182310.72280927212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-1088329.870672548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-542210.05553414871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anlæg'!G60</f>
        <v>-565931.68141823192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53231512.693751656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omk.'!C15*(1+'Fane 12. Nøgletal'!C14)^3</f>
        <v>29627527.569119718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6"/>
      <c r="D24" s="20"/>
      <c r="E24" s="1"/>
    </row>
    <row r="25" spans="1:5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189</v>
      </c>
      <c r="C26" s="12">
        <f>SUM(C15,C17,C21,C23,C25)</f>
        <v>82859040.26287137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IuGKb/IZ8n4U6L96AlM7mGBfIHjAYfpx3Xt53jDzoEbUEzbkDOTP9DaOmGYLPSKJkG5kI+oUBnZsRfC2eg1xKg==" saltValue="QKVJ9Ot8BFYetswPHNW6a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190</v>
      </c>
      <c r="C3" s="97"/>
      <c r="D3" s="97"/>
      <c r="E3" s="97"/>
      <c r="F3" s="97"/>
      <c r="G3" s="1"/>
    </row>
    <row r="4" spans="1:7" ht="29.2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223</v>
      </c>
      <c r="C8" s="56"/>
      <c r="D8" s="56"/>
      <c r="E8" s="56"/>
      <c r="F8" s="20"/>
      <c r="G8" s="1"/>
    </row>
    <row r="9" spans="1:7" x14ac:dyDescent="0.25">
      <c r="A9" s="1"/>
      <c r="B9" s="98" t="s">
        <v>23</v>
      </c>
      <c r="C9" s="99"/>
      <c r="D9" s="100"/>
      <c r="E9" s="7">
        <v>61714157.77879072</v>
      </c>
      <c r="F9" s="8" t="s">
        <v>3</v>
      </c>
      <c r="G9" s="1"/>
    </row>
    <row r="10" spans="1:7" ht="15" customHeight="1" x14ac:dyDescent="0.25">
      <c r="A10" s="1"/>
      <c r="B10" s="91" t="s">
        <v>40</v>
      </c>
      <c r="C10" s="92"/>
      <c r="D10" s="93"/>
      <c r="E10" s="9">
        <v>422779.74479999999</v>
      </c>
      <c r="F10" s="8" t="s">
        <v>3</v>
      </c>
      <c r="G10" s="1"/>
    </row>
    <row r="11" spans="1:7" ht="15" customHeight="1" x14ac:dyDescent="0.25">
      <c r="A11" s="1"/>
      <c r="B11" s="91" t="s">
        <v>41</v>
      </c>
      <c r="C11" s="92"/>
      <c r="D11" s="93"/>
      <c r="E11" s="9">
        <v>367239.3186</v>
      </c>
      <c r="F11" s="8" t="s">
        <v>3</v>
      </c>
      <c r="G11" s="1"/>
    </row>
    <row r="12" spans="1:7" x14ac:dyDescent="0.25">
      <c r="A12" s="1"/>
      <c r="B12" s="91" t="s">
        <v>28</v>
      </c>
      <c r="C12" s="92"/>
      <c r="D12" s="93"/>
      <c r="E12" s="9">
        <v>0</v>
      </c>
      <c r="F12" s="8" t="s">
        <v>3</v>
      </c>
      <c r="G12" s="1"/>
    </row>
    <row r="13" spans="1:7" x14ac:dyDescent="0.25">
      <c r="A13" s="1"/>
      <c r="B13" s="91" t="s">
        <v>27</v>
      </c>
      <c r="C13" s="92"/>
      <c r="D13" s="93"/>
      <c r="E13" s="9">
        <v>0</v>
      </c>
      <c r="F13" s="8" t="s">
        <v>3</v>
      </c>
      <c r="G13" s="1"/>
    </row>
    <row r="14" spans="1:7" x14ac:dyDescent="0.25">
      <c r="A14" s="1"/>
      <c r="B14" s="91" t="s">
        <v>132</v>
      </c>
      <c r="C14" s="92"/>
      <c r="D14" s="93"/>
      <c r="E14" s="9">
        <v>0</v>
      </c>
      <c r="F14" s="8" t="s">
        <v>3</v>
      </c>
      <c r="G14" s="1"/>
    </row>
    <row r="15" spans="1:7" x14ac:dyDescent="0.25">
      <c r="A15" s="1"/>
      <c r="B15" s="91" t="s">
        <v>133</v>
      </c>
      <c r="C15" s="92"/>
      <c r="D15" s="93"/>
      <c r="E15" s="9">
        <v>0</v>
      </c>
      <c r="F15" s="8" t="s">
        <v>3</v>
      </c>
      <c r="G15" s="1"/>
    </row>
    <row r="16" spans="1:7" x14ac:dyDescent="0.25">
      <c r="A16" s="1"/>
      <c r="B16" s="91" t="s">
        <v>18</v>
      </c>
      <c r="C16" s="92"/>
      <c r="D16" s="93"/>
      <c r="E16" s="9">
        <v>762550.95747472683</v>
      </c>
      <c r="F16" s="8" t="s">
        <v>3</v>
      </c>
      <c r="G16" s="1"/>
    </row>
    <row r="17" spans="1:7" x14ac:dyDescent="0.25">
      <c r="A17" s="1"/>
      <c r="B17" s="91" t="s">
        <v>9</v>
      </c>
      <c r="C17" s="92"/>
      <c r="D17" s="93"/>
      <c r="E17" s="9">
        <v>-1242243.7970989889</v>
      </c>
      <c r="F17" s="8" t="s">
        <v>3</v>
      </c>
      <c r="G17" s="1"/>
    </row>
    <row r="18" spans="1:7" x14ac:dyDescent="0.25">
      <c r="A18" s="1"/>
      <c r="B18" s="91" t="s">
        <v>25</v>
      </c>
      <c r="C18" s="92"/>
      <c r="D18" s="93"/>
      <c r="E18" s="9">
        <v>-550980.65095454105</v>
      </c>
      <c r="F18" s="8" t="s">
        <v>3</v>
      </c>
      <c r="G18" s="1"/>
    </row>
    <row r="19" spans="1:7" x14ac:dyDescent="0.25">
      <c r="A19" s="1"/>
      <c r="B19" s="91" t="s">
        <v>26</v>
      </c>
      <c r="C19" s="92"/>
      <c r="D19" s="93"/>
      <c r="E19" s="9">
        <v>-1119550.0195188446</v>
      </c>
      <c r="F19" s="8" t="s">
        <v>3</v>
      </c>
      <c r="G19" s="1"/>
    </row>
    <row r="20" spans="1:7" x14ac:dyDescent="0.25">
      <c r="A20" s="1"/>
      <c r="B20" s="104" t="s">
        <v>20</v>
      </c>
      <c r="C20" s="105"/>
      <c r="D20" s="106"/>
      <c r="E20" s="10">
        <f>SUM(E9:E19)</f>
        <v>60353953.332093067</v>
      </c>
      <c r="F20" s="11" t="s">
        <v>3</v>
      </c>
      <c r="G20" s="1"/>
    </row>
    <row r="21" spans="1:7" x14ac:dyDescent="0.25">
      <c r="A21" s="1"/>
      <c r="B21" s="55" t="s">
        <v>12</v>
      </c>
      <c r="C21" s="56"/>
      <c r="D21" s="56"/>
      <c r="E21" s="56"/>
      <c r="F21" s="20"/>
      <c r="G21" s="1"/>
    </row>
    <row r="22" spans="1:7" x14ac:dyDescent="0.25">
      <c r="A22" s="1"/>
      <c r="B22" s="94" t="s">
        <v>12</v>
      </c>
      <c r="C22" s="95"/>
      <c r="D22" s="96"/>
      <c r="E22" s="10">
        <v>30860515.5244646</v>
      </c>
      <c r="F22" s="11" t="s">
        <v>3</v>
      </c>
      <c r="G22" s="1"/>
    </row>
    <row r="23" spans="1:7" ht="15" customHeight="1" x14ac:dyDescent="0.25">
      <c r="A23" s="1"/>
      <c r="B23" s="110" t="s">
        <v>89</v>
      </c>
      <c r="C23" s="111"/>
      <c r="D23" s="111"/>
      <c r="E23" s="56"/>
      <c r="F23" s="56"/>
      <c r="G23" s="1"/>
    </row>
    <row r="24" spans="1:7" ht="14.25" customHeight="1" x14ac:dyDescent="0.25">
      <c r="A24" s="1"/>
      <c r="B24" s="101" t="s">
        <v>85</v>
      </c>
      <c r="C24" s="102"/>
      <c r="D24" s="103"/>
      <c r="E24" s="9">
        <v>1127839.7558534399</v>
      </c>
      <c r="F24" s="8" t="s">
        <v>3</v>
      </c>
      <c r="G24" s="1"/>
    </row>
    <row r="25" spans="1:7" ht="14.25" customHeight="1" x14ac:dyDescent="0.25">
      <c r="A25" s="1"/>
      <c r="B25" s="101" t="s">
        <v>86</v>
      </c>
      <c r="C25" s="102"/>
      <c r="D25" s="103"/>
      <c r="E25" s="9">
        <v>0</v>
      </c>
      <c r="F25" s="8" t="s">
        <v>3</v>
      </c>
      <c r="G25" s="1"/>
    </row>
    <row r="26" spans="1:7" x14ac:dyDescent="0.25">
      <c r="A26" s="1"/>
      <c r="B26" s="107" t="s">
        <v>90</v>
      </c>
      <c r="C26" s="108"/>
      <c r="D26" s="108"/>
      <c r="E26" s="10">
        <v>1083137.7986652898</v>
      </c>
      <c r="F26" s="11" t="s">
        <v>3</v>
      </c>
      <c r="G26" s="1"/>
    </row>
    <row r="27" spans="1:7" x14ac:dyDescent="0.25">
      <c r="A27" s="1"/>
      <c r="B27" s="55" t="s">
        <v>161</v>
      </c>
      <c r="C27" s="56"/>
      <c r="D27" s="56"/>
      <c r="E27" s="56"/>
      <c r="F27" s="20"/>
      <c r="G27" s="1"/>
    </row>
    <row r="28" spans="1:7" ht="15" customHeight="1" x14ac:dyDescent="0.25">
      <c r="A28" s="1"/>
      <c r="B28" s="107" t="s">
        <v>162</v>
      </c>
      <c r="C28" s="108"/>
      <c r="D28" s="109"/>
      <c r="E28" s="10">
        <v>0</v>
      </c>
      <c r="F28" s="11" t="s">
        <v>3</v>
      </c>
      <c r="G28" s="1"/>
    </row>
    <row r="29" spans="1:7" x14ac:dyDescent="0.25">
      <c r="A29" s="1"/>
      <c r="B29" s="55" t="s">
        <v>246</v>
      </c>
      <c r="C29" s="56"/>
      <c r="D29" s="56"/>
      <c r="E29" s="56"/>
      <c r="F29" s="20"/>
      <c r="G29" s="1"/>
    </row>
    <row r="30" spans="1:7" ht="15.6" customHeight="1" x14ac:dyDescent="0.25">
      <c r="A30" s="1"/>
      <c r="B30" s="94" t="s">
        <v>247</v>
      </c>
      <c r="C30" s="95"/>
      <c r="D30" s="96"/>
      <c r="E30" s="10">
        <v>359.59730000000002</v>
      </c>
      <c r="F30" s="11" t="s">
        <v>3</v>
      </c>
      <c r="G30" s="1"/>
    </row>
    <row r="31" spans="1:7" x14ac:dyDescent="0.25">
      <c r="A31" s="1"/>
      <c r="B31" s="55" t="s">
        <v>29</v>
      </c>
      <c r="C31" s="56"/>
      <c r="D31" s="56"/>
      <c r="E31" s="12">
        <f>E20+E22+E26+E28+E30</f>
        <v>92297966.252522945</v>
      </c>
      <c r="F31" s="13" t="s">
        <v>3</v>
      </c>
      <c r="G31" s="1"/>
    </row>
    <row r="32" spans="1:7" ht="27.75" customHeight="1" x14ac:dyDescent="0.25">
      <c r="A32" s="1"/>
      <c r="B32" s="101" t="s">
        <v>191</v>
      </c>
      <c r="C32" s="102"/>
      <c r="D32" s="102"/>
      <c r="E32" s="102"/>
      <c r="F32" s="10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uo9hpCaJTI3x1FhWWMMDEV+NKwfIRRxO1RauCN/SMlRNhBCDSretkPkmDcrlvDR8SigtAjI5ws3dTyy8a4219A==" saltValue="e1ZZWWzbgl5iad337Ag2lA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7" t="s">
        <v>115</v>
      </c>
      <c r="C1" s="97"/>
      <c r="D1" s="97"/>
      <c r="E1" s="97"/>
      <c r="F1" s="97"/>
      <c r="G1" s="97"/>
      <c r="H1" s="97"/>
      <c r="I1" s="1"/>
    </row>
    <row r="2" spans="1:9" ht="15" customHeight="1" x14ac:dyDescent="0.25">
      <c r="A2" s="1"/>
      <c r="B2" s="97"/>
      <c r="C2" s="97"/>
      <c r="D2" s="97"/>
      <c r="E2" s="97"/>
      <c r="F2" s="97"/>
      <c r="G2" s="97"/>
      <c r="H2" s="97"/>
      <c r="I2" s="1"/>
    </row>
    <row r="3" spans="1:9" ht="15" customHeight="1" x14ac:dyDescent="0.25">
      <c r="A3" s="1"/>
      <c r="B3" s="97"/>
      <c r="C3" s="97"/>
      <c r="D3" s="97"/>
      <c r="E3" s="97"/>
      <c r="F3" s="97"/>
      <c r="G3" s="97"/>
      <c r="H3" s="97"/>
      <c r="I3" s="1"/>
    </row>
    <row r="4" spans="1:9" x14ac:dyDescent="0.25">
      <c r="A4" s="1"/>
      <c r="B4" s="112" t="s">
        <v>54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43</v>
      </c>
      <c r="C5" s="116"/>
      <c r="D5" s="116"/>
      <c r="E5" s="116"/>
      <c r="F5" s="117"/>
      <c r="G5" s="24">
        <v>26927128.40936387</v>
      </c>
      <c r="H5" s="14" t="s">
        <v>3</v>
      </c>
      <c r="I5" s="1"/>
    </row>
    <row r="6" spans="1:9" x14ac:dyDescent="0.25">
      <c r="A6" s="1"/>
      <c r="B6" s="115" t="s">
        <v>44</v>
      </c>
      <c r="C6" s="116"/>
      <c r="D6" s="116"/>
      <c r="E6" s="116"/>
      <c r="F6" s="117"/>
      <c r="G6" s="24">
        <f>G5*'Fane 12. Nøgletal'!C29</f>
        <v>538542.56818727741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55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45</v>
      </c>
      <c r="C10" s="116"/>
      <c r="D10" s="116"/>
      <c r="E10" s="116"/>
      <c r="F10" s="117"/>
      <c r="G10" s="24">
        <f>(G5-G6)*(1+'Fane 12. Nøgletal'!C9)</f>
        <v>26723720.881359532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9">
        <v>0</v>
      </c>
      <c r="H11" s="14" t="s">
        <v>3</v>
      </c>
      <c r="I11" s="1"/>
    </row>
    <row r="12" spans="1:9" x14ac:dyDescent="0.25">
      <c r="A12" s="1"/>
      <c r="B12" s="115" t="s">
        <v>47</v>
      </c>
      <c r="C12" s="116"/>
      <c r="D12" s="116"/>
      <c r="E12" s="116"/>
      <c r="F12" s="117"/>
      <c r="G12" s="24">
        <f>(G10+G11)*'Fane 12. Nøgletal'!C29</f>
        <v>534474.41762719071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56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48</v>
      </c>
      <c r="C16" s="116"/>
      <c r="D16" s="116"/>
      <c r="E16" s="116"/>
      <c r="F16" s="117"/>
      <c r="G16" s="24">
        <f>(G10+G11-G12)*(1+'Fane 12. Nøgletal'!C11)</f>
        <v>26631844.728969418</v>
      </c>
      <c r="H16" s="14" t="s">
        <v>3</v>
      </c>
      <c r="I16" s="1"/>
    </row>
    <row r="17" spans="1:9" x14ac:dyDescent="0.25">
      <c r="A17" s="1"/>
      <c r="B17" s="115" t="s">
        <v>125</v>
      </c>
      <c r="C17" s="116"/>
      <c r="D17" s="116"/>
      <c r="E17" s="116"/>
      <c r="F17" s="117"/>
      <c r="G17" s="24">
        <v>-678105.39352235082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9">
        <v>0</v>
      </c>
      <c r="H18" s="14" t="s">
        <v>3</v>
      </c>
      <c r="I18" s="1"/>
    </row>
    <row r="19" spans="1:9" x14ac:dyDescent="0.25">
      <c r="A19" s="1"/>
      <c r="B19" s="115" t="s">
        <v>50</v>
      </c>
      <c r="C19" s="116"/>
      <c r="D19" s="116"/>
      <c r="E19" s="116"/>
      <c r="F19" s="117"/>
      <c r="G19" s="24">
        <f>SUM(G16:G18)*'Fane 12. Nøgletal'!C29</f>
        <v>519074.78670894133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57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51</v>
      </c>
      <c r="C23" s="116"/>
      <c r="D23" s="116"/>
      <c r="E23" s="116"/>
      <c r="F23" s="117"/>
      <c r="G23" s="24">
        <f>(SUM(G16:G18)-G19)*(1+'Fane 12. Nøgletal'!C11)</f>
        <v>25864510.379611798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1476515.7244094401</v>
      </c>
      <c r="H24" s="14" t="s">
        <v>3</v>
      </c>
      <c r="I24" s="1"/>
    </row>
    <row r="25" spans="1:9" x14ac:dyDescent="0.25">
      <c r="A25" s="1"/>
      <c r="B25" s="115" t="s">
        <v>53</v>
      </c>
      <c r="C25" s="116"/>
      <c r="D25" s="116"/>
      <c r="E25" s="116"/>
      <c r="F25" s="117"/>
      <c r="G25" s="24">
        <f>(G23+G24)*'Fane 12. Nøgletal'!C29</f>
        <v>546820.52208042471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175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60</v>
      </c>
      <c r="C29" s="116"/>
      <c r="D29" s="116"/>
      <c r="E29" s="116"/>
      <c r="F29" s="117"/>
      <c r="G29" s="24">
        <f>(G23+G24-G25)*(1+'Fane 12. Nøgletal'!C13)</f>
        <v>27121094.890040487</v>
      </c>
      <c r="H29" s="14" t="s">
        <v>3</v>
      </c>
      <c r="I29" s="1"/>
    </row>
    <row r="30" spans="1:9" x14ac:dyDescent="0.25">
      <c r="A30" s="1"/>
      <c r="B30" s="115" t="s">
        <v>147</v>
      </c>
      <c r="C30" s="116"/>
      <c r="D30" s="116"/>
      <c r="E30" s="116"/>
      <c r="F30" s="117"/>
      <c r="G30" s="24">
        <f>SUM('Fane 3. Omkostninger i ØR2021'!E10,'Fane 3. Omkostninger i ØR2021'!E12,'Fane 3. Omkostninger i ØR2021'!E14)*(1+'Fane 12. Nøgletal'!C13)</f>
        <v>427937.65768656001</v>
      </c>
      <c r="H30" s="14" t="s">
        <v>3</v>
      </c>
      <c r="I30" s="1"/>
    </row>
    <row r="31" spans="1:9" x14ac:dyDescent="0.25">
      <c r="A31" s="1"/>
      <c r="B31" s="115" t="s">
        <v>159</v>
      </c>
      <c r="C31" s="116"/>
      <c r="D31" s="116"/>
      <c r="E31" s="116"/>
      <c r="F31" s="117"/>
      <c r="G31" s="24">
        <f>(G29+G30)*'Fane 12. Nøgletal'!C29</f>
        <v>550980.65095454094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176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80</v>
      </c>
      <c r="C35" s="116"/>
      <c r="D35" s="116"/>
      <c r="E35" s="116"/>
      <c r="F35" s="117"/>
      <c r="G35" s="24">
        <f>(G29+G30-G31)*(1+'Fane 12. Nøgletal'!C13)</f>
        <v>27327428.129913133</v>
      </c>
      <c r="H35" s="14" t="s">
        <v>3</v>
      </c>
      <c r="I35" s="1"/>
    </row>
    <row r="36" spans="1:9" x14ac:dyDescent="0.25">
      <c r="A36" s="1"/>
      <c r="B36" s="37" t="s">
        <v>192</v>
      </c>
      <c r="C36" s="61"/>
      <c r="D36" s="61"/>
      <c r="E36" s="61"/>
      <c r="F36" s="62"/>
      <c r="G36" s="24">
        <f>SUM('Fane 2.1. Økonomisk ramme 2022'!C10)*(1+'Fane 12. Nøgletal'!C14)</f>
        <v>412332.55973849894</v>
      </c>
      <c r="H36" s="14" t="s">
        <v>3</v>
      </c>
      <c r="I36" s="1"/>
    </row>
    <row r="37" spans="1:9" x14ac:dyDescent="0.25">
      <c r="A37" s="1"/>
      <c r="B37" s="115" t="s">
        <v>221</v>
      </c>
      <c r="C37" s="116"/>
      <c r="D37" s="116"/>
      <c r="E37" s="116"/>
      <c r="F37" s="117"/>
      <c r="G37" s="24">
        <f>SUM('Fane 2.1. Økonomisk ramme 2022'!C12,'Fane 2.1. Økonomisk ramme 2022'!C14,'Fane 2.1. Økonomisk ramme 2022'!C16)*(1+'Fane 12. Nøgletal'!C14)</f>
        <v>1193713.6825678602</v>
      </c>
      <c r="H37" s="14" t="s">
        <v>3</v>
      </c>
      <c r="I37" s="1"/>
    </row>
    <row r="38" spans="1:9" x14ac:dyDescent="0.25">
      <c r="A38" s="1"/>
      <c r="B38" s="115" t="s">
        <v>177</v>
      </c>
      <c r="C38" s="116"/>
      <c r="D38" s="116"/>
      <c r="E38" s="116"/>
      <c r="F38" s="117"/>
      <c r="G38" s="24">
        <f>(G35+G37)*'Fane 12. Nøgletal'!C29</f>
        <v>570422.83624961984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81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79</v>
      </c>
      <c r="C42" s="116"/>
      <c r="D42" s="116"/>
      <c r="E42" s="116"/>
      <c r="F42" s="117"/>
      <c r="G42" s="24">
        <f>(G35+G37-G38)*(1+'Fane 12. Nøgletal'!C14)</f>
        <v>28042956.34885294</v>
      </c>
      <c r="H42" s="14" t="s">
        <v>3</v>
      </c>
      <c r="I42" s="1"/>
    </row>
    <row r="43" spans="1:9" x14ac:dyDescent="0.25">
      <c r="A43" s="1"/>
      <c r="B43" s="115" t="s">
        <v>92</v>
      </c>
      <c r="C43" s="116"/>
      <c r="D43" s="116"/>
      <c r="E43" s="116"/>
      <c r="F43" s="117"/>
      <c r="G43" s="9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5" t="s">
        <v>61</v>
      </c>
      <c r="C44" s="116"/>
      <c r="D44" s="116"/>
      <c r="E44" s="116"/>
      <c r="F44" s="117"/>
      <c r="G44" s="24">
        <f>(G42+G43)*'Fane 12. Nøgletal'!C29</f>
        <v>560859.12697705883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148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149</v>
      </c>
      <c r="C48" s="116"/>
      <c r="D48" s="116"/>
      <c r="E48" s="116"/>
      <c r="F48" s="117"/>
      <c r="G48" s="24">
        <f>(G42+G43-G44)*(1+'Fane 12. Nøgletal'!C14)</f>
        <v>27572788.142708074</v>
      </c>
      <c r="H48" s="14" t="s">
        <v>3</v>
      </c>
      <c r="I48" s="1"/>
    </row>
    <row r="49" spans="1:9" x14ac:dyDescent="0.25">
      <c r="A49" s="1"/>
      <c r="B49" s="115" t="s">
        <v>150</v>
      </c>
      <c r="C49" s="116"/>
      <c r="D49" s="116"/>
      <c r="E49" s="116"/>
      <c r="F49" s="117"/>
      <c r="G49" s="9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5" t="s">
        <v>151</v>
      </c>
      <c r="C50" s="116"/>
      <c r="D50" s="116"/>
      <c r="E50" s="116"/>
      <c r="F50" s="117"/>
      <c r="G50" s="24">
        <f>(G48+G49)*'Fane 12. Nøgletal'!C29</f>
        <v>551455.76285416144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198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199</v>
      </c>
      <c r="C54" s="116"/>
      <c r="D54" s="116"/>
      <c r="E54" s="116"/>
      <c r="F54" s="117"/>
      <c r="G54" s="24">
        <f>(G48+G49-G50)*(1+'Fane 12. Nøgletal'!C14)</f>
        <v>27110502.776707433</v>
      </c>
      <c r="H54" s="14" t="s">
        <v>3</v>
      </c>
      <c r="I54" s="1"/>
    </row>
    <row r="55" spans="1:9" x14ac:dyDescent="0.25">
      <c r="A55" s="1"/>
      <c r="B55" s="115" t="s">
        <v>200</v>
      </c>
      <c r="C55" s="116"/>
      <c r="D55" s="116"/>
      <c r="E55" s="116"/>
      <c r="F55" s="117"/>
      <c r="G55" s="9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5" t="s">
        <v>201</v>
      </c>
      <c r="C56" s="116"/>
      <c r="D56" s="116"/>
      <c r="E56" s="116"/>
      <c r="F56" s="117"/>
      <c r="G56" s="24">
        <f>(G54+G55)*'Fane 12. Nøgletal'!C29</f>
        <v>542210.05553414871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XiDHa/xZp1RR8tSuYuP6VFiv5CBt+7T1TLsDZapO1ABBkMbI6KXdBdsKWIWZ165C85l8fWY075aOYOFCwznabQ==" saltValue="P5/WA64CRa7tD+Z8XECaPA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61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2" t="s">
        <v>58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62</v>
      </c>
      <c r="C5" s="116"/>
      <c r="D5" s="116"/>
      <c r="E5" s="116"/>
      <c r="F5" s="117"/>
      <c r="G5" s="24">
        <v>37470175.350618713</v>
      </c>
      <c r="H5" s="14" t="s">
        <v>3</v>
      </c>
      <c r="I5" s="1"/>
    </row>
    <row r="6" spans="1:9" x14ac:dyDescent="0.25">
      <c r="A6" s="1"/>
      <c r="B6" s="115" t="s">
        <v>59</v>
      </c>
      <c r="C6" s="116"/>
      <c r="D6" s="116"/>
      <c r="E6" s="116"/>
      <c r="F6" s="117"/>
      <c r="G6" s="24">
        <f>G5*'Fane 12. Nøgletal'!C19</f>
        <v>340978.59569063032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63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64</v>
      </c>
      <c r="C10" s="116"/>
      <c r="D10" s="116"/>
      <c r="E10" s="116"/>
      <c r="F10" s="117"/>
      <c r="G10" s="24">
        <f>(G5-G6)*(1+'Fane 12. Nøgletal'!C9)</f>
        <v>37600737.553715669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9">
        <v>0</v>
      </c>
      <c r="H11" s="14" t="s">
        <v>3</v>
      </c>
      <c r="I11" s="1"/>
    </row>
    <row r="12" spans="1:9" x14ac:dyDescent="0.25">
      <c r="A12" s="1"/>
      <c r="B12" s="115" t="s">
        <v>66</v>
      </c>
      <c r="C12" s="116"/>
      <c r="D12" s="116"/>
      <c r="E12" s="116"/>
      <c r="F12" s="117"/>
      <c r="G12" s="24">
        <f>G10*'Fane 12. Nøgletal'!C19+G11*'Fane 12. Nøgletal'!C20</f>
        <v>342166.71173881262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67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68</v>
      </c>
      <c r="C16" s="116"/>
      <c r="D16" s="116"/>
      <c r="E16" s="116"/>
      <c r="F16" s="117"/>
      <c r="G16" s="24">
        <f>(G10+G11-G12)*(1+'Fane 12. Nøgletal'!C11)</f>
        <v>37888240.689206265</v>
      </c>
      <c r="H16" s="14" t="s">
        <v>3</v>
      </c>
      <c r="I16" s="1"/>
    </row>
    <row r="17" spans="1:9" x14ac:dyDescent="0.25">
      <c r="A17" s="1"/>
      <c r="B17" s="115" t="s">
        <v>126</v>
      </c>
      <c r="C17" s="116"/>
      <c r="D17" s="116"/>
      <c r="E17" s="116"/>
      <c r="F17" s="117"/>
      <c r="G17" s="24">
        <v>1370760.2013607777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223714.08086739996</v>
      </c>
      <c r="H18" s="14" t="s">
        <v>3</v>
      </c>
      <c r="I18" s="1"/>
    </row>
    <row r="19" spans="1:9" x14ac:dyDescent="0.25">
      <c r="A19" s="1"/>
      <c r="B19" s="115" t="s">
        <v>70</v>
      </c>
      <c r="C19" s="116"/>
      <c r="D19" s="116"/>
      <c r="E19" s="116"/>
      <c r="F19" s="117"/>
      <c r="G19" s="24">
        <f>(G16+G17+G18)*'Fane 12. Nøgletal'!C21</f>
        <v>343499.62025147962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71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72</v>
      </c>
      <c r="C23" s="116"/>
      <c r="D23" s="116"/>
      <c r="E23" s="116"/>
      <c r="F23" s="117"/>
      <c r="G23" s="24">
        <f>(SUM(G16:G18)-G19)*(1+'Fane 12. Nøgletal'!C11)</f>
        <v>39800668.090617955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410232.0731684076</v>
      </c>
      <c r="H24" s="14" t="s">
        <v>3</v>
      </c>
      <c r="I24" s="1"/>
    </row>
    <row r="25" spans="1:9" x14ac:dyDescent="0.25">
      <c r="A25" s="1"/>
      <c r="B25" s="115" t="s">
        <v>74</v>
      </c>
      <c r="C25" s="116"/>
      <c r="D25" s="116"/>
      <c r="E25" s="116"/>
      <c r="F25" s="117"/>
      <c r="G25" s="24">
        <f>G23*'Fane 12. Nøgletal'!C21+G24*'Fane 12. Nøgletal'!C22</f>
        <v>357916.40326635895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173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75</v>
      </c>
      <c r="C29" s="116"/>
      <c r="D29" s="116"/>
      <c r="E29" s="116"/>
      <c r="F29" s="117"/>
      <c r="G29" s="24">
        <f>(G23+G24-G25)*(1+'Fane 12. Nøgletal'!C13)</f>
        <v>40339190.162398346</v>
      </c>
      <c r="H29" s="14" t="s">
        <v>3</v>
      </c>
      <c r="I29" s="1"/>
    </row>
    <row r="30" spans="1:9" x14ac:dyDescent="0.25">
      <c r="A30" s="1"/>
      <c r="B30" s="115" t="s">
        <v>152</v>
      </c>
      <c r="C30" s="116"/>
      <c r="D30" s="116"/>
      <c r="E30" s="116"/>
      <c r="F30" s="117"/>
      <c r="G30" s="24">
        <v>371719.63828691997</v>
      </c>
      <c r="H30" s="14" t="s">
        <v>3</v>
      </c>
      <c r="I30" s="1"/>
    </row>
    <row r="31" spans="1:9" x14ac:dyDescent="0.25">
      <c r="A31" s="1"/>
      <c r="B31" s="115" t="s">
        <v>174</v>
      </c>
      <c r="C31" s="116"/>
      <c r="D31" s="116"/>
      <c r="E31" s="116"/>
      <c r="F31" s="117"/>
      <c r="G31" s="24">
        <f>(G29+G30)*'Fane 12. Nøgletal'!C23</f>
        <v>1119550.0195188448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178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78</v>
      </c>
      <c r="C35" s="116"/>
      <c r="D35" s="116"/>
      <c r="E35" s="116"/>
      <c r="F35" s="117"/>
      <c r="G35" s="24">
        <f>(G29+G30-G31)*(1+'Fane 12. Nøgletal'!C13)</f>
        <v>40074374.370496646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355367.47921303823</v>
      </c>
      <c r="H36" s="14" t="s">
        <v>3</v>
      </c>
      <c r="I36" s="38"/>
    </row>
    <row r="37" spans="1:9" x14ac:dyDescent="0.25">
      <c r="A37" s="1"/>
      <c r="B37" s="115" t="s">
        <v>193</v>
      </c>
      <c r="C37" s="116"/>
      <c r="D37" s="116"/>
      <c r="E37" s="116"/>
      <c r="F37" s="117"/>
      <c r="G37" s="24">
        <f>SUM('Fane 2.1. Økonomisk ramme 2022'!C13,'Fane 2.1. Økonomisk ramme 2022'!C15,'Fane 2.1. Økonomisk ramme 2022'!C17)*(1+'Fane 12. Nøgletal'!C14)</f>
        <v>36878.196566040009</v>
      </c>
      <c r="H37" s="14" t="s">
        <v>3</v>
      </c>
      <c r="I37" s="1"/>
    </row>
    <row r="38" spans="1:9" x14ac:dyDescent="0.25">
      <c r="A38" s="1"/>
      <c r="B38" s="115" t="s">
        <v>179</v>
      </c>
      <c r="C38" s="116"/>
      <c r="D38" s="116"/>
      <c r="E38" s="116"/>
      <c r="F38" s="117"/>
      <c r="G38" s="24">
        <f>G35*'Fane 12. Nøgletal'!C23+G37*'Fane 12. Nøgletal'!C24</f>
        <v>1102591.0924978352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82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77</v>
      </c>
      <c r="C42" s="116"/>
      <c r="D42" s="116"/>
      <c r="E42" s="116"/>
      <c r="F42" s="117"/>
      <c r="G42" s="24">
        <f>(G35+G37-G38)*(1+'Fane 12. Nøgletal'!C14)</f>
        <v>39137390.057430916</v>
      </c>
      <c r="H42" s="14" t="s">
        <v>3</v>
      </c>
      <c r="I42" s="1"/>
    </row>
    <row r="43" spans="1:9" x14ac:dyDescent="0.25">
      <c r="A43" s="1"/>
      <c r="B43" s="115" t="s">
        <v>96</v>
      </c>
      <c r="C43" s="116"/>
      <c r="D43" s="116"/>
      <c r="E43" s="116"/>
      <c r="F43" s="117"/>
      <c r="G43" s="9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5" t="s">
        <v>76</v>
      </c>
      <c r="C44" s="116"/>
      <c r="D44" s="116"/>
      <c r="E44" s="116"/>
      <c r="F44" s="117"/>
      <c r="G44" s="24">
        <f>(G42+G43)*'Fane 12. Nøgletal'!C24</f>
        <v>579233.37284997758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12" t="s">
        <v>153</v>
      </c>
      <c r="C51" s="113"/>
      <c r="D51" s="113"/>
      <c r="E51" s="113"/>
      <c r="F51" s="113"/>
      <c r="G51" s="113"/>
      <c r="H51" s="114"/>
      <c r="I51" s="1"/>
    </row>
    <row r="52" spans="1:9" x14ac:dyDescent="0.25">
      <c r="A52" s="1"/>
      <c r="B52" s="115" t="s">
        <v>154</v>
      </c>
      <c r="C52" s="116"/>
      <c r="D52" s="116"/>
      <c r="E52" s="116"/>
      <c r="F52" s="117"/>
      <c r="G52" s="24">
        <f>(G42+G43-G44)*(1+'Fane 12. Nøgletal'!C14)</f>
        <v>38685398.601640061</v>
      </c>
      <c r="H52" s="14" t="s">
        <v>3</v>
      </c>
      <c r="I52" s="1"/>
    </row>
    <row r="53" spans="1:9" x14ac:dyDescent="0.25">
      <c r="A53" s="1"/>
      <c r="B53" s="115" t="s">
        <v>155</v>
      </c>
      <c r="C53" s="116"/>
      <c r="D53" s="116"/>
      <c r="E53" s="116"/>
      <c r="F53" s="117"/>
      <c r="G53" s="9">
        <f>-'Fane 11. Bortfald'!E26*(1+'Fane 12. Nøgletal'!C13)</f>
        <v>0</v>
      </c>
      <c r="H53" s="14" t="s">
        <v>3</v>
      </c>
      <c r="I53" s="1"/>
    </row>
    <row r="54" spans="1:9" x14ac:dyDescent="0.25">
      <c r="A54" s="1"/>
      <c r="B54" s="115" t="s">
        <v>156</v>
      </c>
      <c r="C54" s="116"/>
      <c r="D54" s="116"/>
      <c r="E54" s="116"/>
      <c r="F54" s="117"/>
      <c r="G54" s="24">
        <f>(G52+G53)*'Fane 12. Nøgletal'!C24</f>
        <v>572543.89930427296</v>
      </c>
      <c r="H54" s="14" t="s">
        <v>3</v>
      </c>
      <c r="I54" s="1"/>
    </row>
    <row r="55" spans="1:9" x14ac:dyDescent="0.25">
      <c r="A55" s="1"/>
      <c r="B55" s="55"/>
      <c r="C55" s="56"/>
      <c r="D55" s="56"/>
      <c r="E55" s="56"/>
      <c r="F55" s="56"/>
      <c r="G55" s="56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12" t="s">
        <v>194</v>
      </c>
      <c r="C57" s="113"/>
      <c r="D57" s="113"/>
      <c r="E57" s="113"/>
      <c r="F57" s="113"/>
      <c r="G57" s="113"/>
      <c r="H57" s="114"/>
      <c r="I57" s="1"/>
    </row>
    <row r="58" spans="1:9" x14ac:dyDescent="0.25">
      <c r="A58" s="1"/>
      <c r="B58" s="115" t="s">
        <v>195</v>
      </c>
      <c r="C58" s="116"/>
      <c r="D58" s="116"/>
      <c r="E58" s="116"/>
      <c r="F58" s="117"/>
      <c r="G58" s="24">
        <f>(G52+G53-G54)*(1+'Fane 12. Nøgletal'!C14)</f>
        <v>38238627.122853503</v>
      </c>
      <c r="H58" s="14" t="s">
        <v>3</v>
      </c>
      <c r="I58" s="1"/>
    </row>
    <row r="59" spans="1:9" x14ac:dyDescent="0.25">
      <c r="A59" s="1"/>
      <c r="B59" s="115" t="s">
        <v>196</v>
      </c>
      <c r="C59" s="116"/>
      <c r="D59" s="116"/>
      <c r="E59" s="116"/>
      <c r="F59" s="117"/>
      <c r="G59" s="9">
        <f>-'Fane 11. Bortfald'!E33*(1+'Fane 12. Nøgletal'!C14)</f>
        <v>0</v>
      </c>
      <c r="H59" s="14" t="s">
        <v>3</v>
      </c>
      <c r="I59" s="1"/>
    </row>
    <row r="60" spans="1:9" x14ac:dyDescent="0.25">
      <c r="A60" s="1"/>
      <c r="B60" s="115" t="s">
        <v>197</v>
      </c>
      <c r="C60" s="116"/>
      <c r="D60" s="116"/>
      <c r="E60" s="116"/>
      <c r="F60" s="117"/>
      <c r="G60" s="24">
        <f>(G58+G59)*'Fane 12. Nøgletal'!C24</f>
        <v>565931.68141823192</v>
      </c>
      <c r="H60" s="14" t="s">
        <v>3</v>
      </c>
      <c r="I60" s="1"/>
    </row>
    <row r="61" spans="1:9" x14ac:dyDescent="0.25">
      <c r="A61" s="1"/>
      <c r="B61" s="55"/>
      <c r="C61" s="56"/>
      <c r="D61" s="56"/>
      <c r="E61" s="56"/>
      <c r="F61" s="56"/>
      <c r="G61" s="56"/>
      <c r="H61" s="20"/>
      <c r="I61" s="1"/>
    </row>
  </sheetData>
  <sheetProtection algorithmName="SHA-512" hashValue="3Qob05T7LhN4tW3MPG0xqk7BHsPFVI5FeSFp9SSjdeDcpnznGcmQA5pnifsBg68Gt6YmAQperaGrf79SxZNDyg==" saltValue="aUrYwsesn3ii9vfc7i8aOA==" spinCount="100000" sheet="1" objects="1" scenarios="1"/>
  <mergeCells count="37">
    <mergeCell ref="B1:H3"/>
    <mergeCell ref="B52:F52"/>
    <mergeCell ref="B53:F53"/>
    <mergeCell ref="B54:F54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51:H51"/>
    <mergeCell ref="B28:H28"/>
    <mergeCell ref="B29:F29"/>
    <mergeCell ref="B31:F31"/>
    <mergeCell ref="B34:H34"/>
    <mergeCell ref="B22:H22"/>
    <mergeCell ref="B23:F23"/>
    <mergeCell ref="B24:F24"/>
    <mergeCell ref="B25:F25"/>
    <mergeCell ref="B57:H57"/>
    <mergeCell ref="B58:F58"/>
    <mergeCell ref="B59:F59"/>
    <mergeCell ref="B60:F60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9</v>
      </c>
      <c r="C8" s="113"/>
      <c r="D8" s="113"/>
      <c r="E8" s="113"/>
      <c r="F8" s="113"/>
      <c r="G8" s="113"/>
      <c r="H8" s="114"/>
      <c r="I8" s="1"/>
    </row>
    <row r="9" spans="1:9" x14ac:dyDescent="0.25">
      <c r="A9" s="1"/>
      <c r="B9" s="115" t="s">
        <v>105</v>
      </c>
      <c r="C9" s="116"/>
      <c r="D9" s="116"/>
      <c r="E9" s="116"/>
      <c r="F9" s="117"/>
      <c r="G9" s="44">
        <v>1.8288366908669806E-2</v>
      </c>
      <c r="H9" s="14"/>
      <c r="I9" s="1"/>
    </row>
    <row r="10" spans="1:9" x14ac:dyDescent="0.25">
      <c r="A10" s="1"/>
      <c r="B10" s="115" t="s">
        <v>141</v>
      </c>
      <c r="C10" s="116"/>
      <c r="D10" s="116"/>
      <c r="E10" s="116"/>
      <c r="F10" s="117"/>
      <c r="G10" s="44">
        <v>1.9635025238424895E-2</v>
      </c>
      <c r="H10" s="14"/>
      <c r="I10" s="1"/>
    </row>
    <row r="11" spans="1:9" x14ac:dyDescent="0.25">
      <c r="A11" s="1"/>
      <c r="B11" s="55"/>
      <c r="C11" s="56"/>
      <c r="D11" s="56"/>
      <c r="E11" s="56"/>
      <c r="F11" s="56"/>
      <c r="G11" s="56"/>
      <c r="H11" s="20"/>
      <c r="I11" s="1"/>
    </row>
    <row r="12" spans="1:9" ht="14.25" customHeight="1" x14ac:dyDescent="0.25">
      <c r="A12" s="1"/>
      <c r="B12" s="124" t="s">
        <v>191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Q8dPNpVSrWTy3emwC+VNmCs520cbbMBbRx0sLaKSMGwo5zP4Cg8viTiU1E385/i41iuDF0BnmuNWCPXEm7qUvg==" saltValue="jjzmA80b2/tk89ADz5oyy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2021-10-11T13:13:52Z</dcterms:modified>
</cp:coreProperties>
</file>