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odeName="Denne_projektmappe" defaultThemeVersion="166925"/>
  <mc:AlternateContent xmlns:mc="http://schemas.openxmlformats.org/markup-compatibility/2006">
    <mc:Choice Requires="x15">
      <x15ac:absPath xmlns:x15ac="http://schemas.microsoft.com/office/spreadsheetml/2010/11/ac" url="E:\VAND\Sagsbehandling\Benchmarking\Benchmarking 2024\4. Modelpapirer\"/>
    </mc:Choice>
  </mc:AlternateContent>
  <xr:revisionPtr revIDLastSave="0" documentId="13_ncr:1_{E54656D6-4E05-4F50-B821-B9BB266C4445}" xr6:coauthVersionLast="36" xr6:coauthVersionMax="36" xr10:uidLastSave="{00000000-0000-0000-0000-000000000000}"/>
  <bookViews>
    <workbookView xWindow="0" yWindow="0" windowWidth="28800" windowHeight="10125" xr2:uid="{5C6ABBC3-0CC5-4A23-8F14-D8415CE049F7}"/>
  </bookViews>
  <sheets>
    <sheet name="Til R-koder" sheetId="12" r:id="rId1"/>
    <sheet name="Beskrivelse af data til R-koder" sheetId="13" r:id="rId2"/>
    <sheet name="Potentialer og krav" sheetId="2" r:id="rId3"/>
    <sheet name="Netvolumenmål 2021" sheetId="3" r:id="rId4"/>
    <sheet name="Netvolumenmål 2022" sheetId="4" r:id="rId5"/>
    <sheet name="Netvolumenmål gns." sheetId="5" r:id="rId6"/>
    <sheet name="Costdrivere 2021" sheetId="6" r:id="rId7"/>
    <sheet name="Costdrivere 2022" sheetId="7" r:id="rId8"/>
    <sheet name="Costdrivere gns." sheetId="8" r:id="rId9"/>
    <sheet name="Renseanlæg 2021" sheetId="9" r:id="rId10"/>
    <sheet name="Renseanlæg 2022" sheetId="10" r:id="rId11"/>
    <sheet name="Gennemførte investeringer" sheetId="11" r:id="rId12"/>
  </sheets>
  <externalReferences>
    <externalReference r:id="rId13"/>
  </externalReferences>
  <definedNames>
    <definedName name="_xlnm._FilterDatabase" localSheetId="2" hidden="1">'Potentialer og krav'!$A$1:$T$103</definedName>
    <definedName name="rente">'[1]Potentialer og krav'!#REF!</definedName>
    <definedName name="Z_018141D7_F6F9_4F4C_B889_2E6385DDD66A_.wvu.FilterData" localSheetId="2" hidden="1">'Potentialer og krav'!$A$1:$T$103</definedName>
    <definedName name="Z_51DDDE33_6D8E_453B_816E_0C30B5A1F676_.wvu.FilterData" localSheetId="2" hidden="1">'Potentialer og krav'!$A$1:$T$103</definedName>
    <definedName name="Z_5F830FBB_5A0A_4C19_BC3A_3AAA1FCBBA90_.wvu.FilterData" localSheetId="2" hidden="1">'Potentialer og krav'!$A$1:$T$103</definedName>
    <definedName name="Z_98BF53A4_FC50_4FA3_88E4_2619F48756FE_.wvu.FilterData" localSheetId="2" hidden="1">'Potentialer og krav'!$A$1:$T$103</definedName>
    <definedName name="Z_AC8FF9E0_71F1_4BA7_A007_AFA35B3320E8_.wvu.FilterData" localSheetId="2" hidden="1">'Potentialer og krav'!$A$1:$T$103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1" i="10" l="1"/>
  <c r="I479" i="10"/>
  <c r="I477" i="10"/>
  <c r="I475" i="10"/>
  <c r="I474" i="10"/>
  <c r="I462" i="10"/>
  <c r="I456" i="10"/>
  <c r="I452" i="10"/>
  <c r="I449" i="10"/>
  <c r="I447" i="10"/>
  <c r="I445" i="10"/>
  <c r="I443" i="10"/>
  <c r="I442" i="10"/>
  <c r="I439" i="10"/>
  <c r="I437" i="10"/>
  <c r="I435" i="10"/>
  <c r="I434" i="10"/>
  <c r="I430" i="10"/>
  <c r="I426" i="10"/>
  <c r="I418" i="10"/>
  <c r="I416" i="10"/>
  <c r="I410" i="10"/>
  <c r="I402" i="10"/>
  <c r="I398" i="10"/>
  <c r="I394" i="10"/>
  <c r="I386" i="10"/>
  <c r="I384" i="10"/>
  <c r="I380" i="10"/>
  <c r="I378" i="10"/>
  <c r="I377" i="10"/>
  <c r="I375" i="10"/>
  <c r="I373" i="10"/>
  <c r="I371" i="10"/>
  <c r="I370" i="10"/>
  <c r="I366" i="10"/>
  <c r="I362" i="10"/>
  <c r="I354" i="10"/>
  <c r="I352" i="10"/>
  <c r="I346" i="10"/>
  <c r="I338" i="10"/>
  <c r="I334" i="10"/>
  <c r="I330" i="10"/>
  <c r="I322" i="10"/>
  <c r="I320" i="10"/>
  <c r="I316" i="10"/>
  <c r="I314" i="10"/>
  <c r="I313" i="10"/>
  <c r="I311" i="10"/>
  <c r="I309" i="10"/>
  <c r="I307" i="10"/>
  <c r="I306" i="10"/>
  <c r="I302" i="10"/>
  <c r="I298" i="10"/>
  <c r="I290" i="10"/>
  <c r="I284" i="10"/>
  <c r="I282" i="10"/>
  <c r="I274" i="10"/>
  <c r="I270" i="10"/>
  <c r="I266" i="10"/>
  <c r="I264" i="10"/>
  <c r="I261" i="10"/>
  <c r="I258" i="10"/>
  <c r="I252" i="10"/>
  <c r="I250" i="10"/>
  <c r="I249" i="10"/>
  <c r="I247" i="10"/>
  <c r="I243" i="10"/>
  <c r="I242" i="10"/>
  <c r="I238" i="10"/>
  <c r="I234" i="10"/>
  <c r="I229" i="10"/>
  <c r="I226" i="10"/>
  <c r="I220" i="10"/>
  <c r="I218" i="10"/>
  <c r="I213" i="10"/>
  <c r="I210" i="10"/>
  <c r="I205" i="10"/>
  <c r="I202" i="10"/>
  <c r="I200" i="10"/>
  <c r="I194" i="10"/>
  <c r="I193" i="10"/>
  <c r="I191" i="10"/>
  <c r="I186" i="10"/>
  <c r="I182" i="10"/>
  <c r="I178" i="10"/>
  <c r="I173" i="10"/>
  <c r="I170" i="10"/>
  <c r="I162" i="10"/>
  <c r="I154" i="10"/>
  <c r="I150" i="10"/>
  <c r="I146" i="10"/>
  <c r="I144" i="10"/>
  <c r="I141" i="10"/>
  <c r="I138" i="10"/>
  <c r="I130" i="10"/>
  <c r="I129" i="10"/>
  <c r="I127" i="10"/>
  <c r="I122" i="10"/>
  <c r="I118" i="10"/>
  <c r="I114" i="10"/>
  <c r="I109" i="10"/>
  <c r="I106" i="10"/>
  <c r="I75" i="10"/>
  <c r="I68" i="10"/>
  <c r="I66" i="10"/>
  <c r="I63" i="10"/>
  <c r="I59" i="10"/>
  <c r="I55" i="10"/>
  <c r="I51" i="10"/>
  <c r="I43" i="10"/>
  <c r="I41" i="10"/>
  <c r="I40" i="10"/>
  <c r="I37" i="10"/>
  <c r="I36" i="10"/>
  <c r="I34" i="10"/>
  <c r="I31" i="10"/>
  <c r="I27" i="10"/>
  <c r="I23" i="10"/>
  <c r="I11" i="10"/>
  <c r="I9" i="10"/>
  <c r="I8" i="10"/>
  <c r="I5" i="10"/>
  <c r="I4" i="10"/>
  <c r="I481" i="9"/>
  <c r="I480" i="9"/>
  <c r="I479" i="9"/>
  <c r="I478" i="9"/>
  <c r="I477" i="9"/>
  <c r="I476" i="9"/>
  <c r="I475" i="9"/>
  <c r="I453" i="9"/>
  <c r="I449" i="9"/>
  <c r="I448" i="9"/>
  <c r="I447" i="9"/>
  <c r="I446" i="9"/>
  <c r="I444" i="9"/>
  <c r="I443" i="9"/>
  <c r="I421" i="9"/>
  <c r="I417" i="9"/>
  <c r="I416" i="9"/>
  <c r="I415" i="9"/>
  <c r="I412" i="9"/>
  <c r="I411" i="9"/>
  <c r="I403" i="9"/>
  <c r="I398" i="9"/>
  <c r="I389" i="9"/>
  <c r="I387" i="9"/>
  <c r="I386" i="9"/>
  <c r="I384" i="9"/>
  <c r="I383" i="9"/>
  <c r="I380" i="9"/>
  <c r="I379" i="9"/>
  <c r="I371" i="9"/>
  <c r="I363" i="9"/>
  <c r="I357" i="9"/>
  <c r="I348" i="9"/>
  <c r="I347" i="9"/>
  <c r="I345" i="9"/>
  <c r="I339" i="9"/>
  <c r="I338" i="9"/>
  <c r="I336" i="9"/>
  <c r="I335" i="9"/>
  <c r="I332" i="9"/>
  <c r="I329" i="9"/>
  <c r="I323" i="9"/>
  <c r="I322" i="9"/>
  <c r="I320" i="9"/>
  <c r="I319" i="9"/>
  <c r="I316" i="9"/>
  <c r="I315" i="9"/>
  <c r="I307" i="9"/>
  <c r="I306" i="9"/>
  <c r="I304" i="9"/>
  <c r="I303" i="9"/>
  <c r="I300" i="9"/>
  <c r="I299" i="9"/>
  <c r="I291" i="9"/>
  <c r="I289" i="9"/>
  <c r="I286" i="9"/>
  <c r="I283" i="9"/>
  <c r="I277" i="9"/>
  <c r="I269" i="9"/>
  <c r="I267" i="9"/>
  <c r="I260" i="9"/>
  <c r="I259" i="9"/>
  <c r="I251" i="9"/>
  <c r="I249" i="9"/>
  <c r="I246" i="9"/>
  <c r="I241" i="9"/>
  <c r="I238" i="9"/>
  <c r="I235" i="9"/>
  <c r="I233" i="9"/>
  <c r="I227" i="9"/>
  <c r="I226" i="9"/>
  <c r="I224" i="9"/>
  <c r="I223" i="9"/>
  <c r="I220" i="9"/>
  <c r="I219" i="9"/>
  <c r="I212" i="9"/>
  <c r="I210" i="9"/>
  <c r="I203" i="9"/>
  <c r="I198" i="9"/>
  <c r="I195" i="9"/>
  <c r="I189" i="9"/>
  <c r="I187" i="9"/>
  <c r="I179" i="9"/>
  <c r="I171" i="9"/>
  <c r="I169" i="9"/>
  <c r="I166" i="9"/>
  <c r="I163" i="9"/>
  <c r="I161" i="9"/>
  <c r="I155" i="9"/>
  <c r="I154" i="9"/>
  <c r="I152" i="9"/>
  <c r="I151" i="9"/>
  <c r="I148" i="9"/>
  <c r="I147" i="9"/>
  <c r="I139" i="9"/>
  <c r="I137" i="9"/>
  <c r="I134" i="9"/>
  <c r="I131" i="9"/>
  <c r="I125" i="9"/>
  <c r="I119" i="9"/>
  <c r="I116" i="9"/>
  <c r="I115" i="9"/>
  <c r="I107" i="9"/>
  <c r="I99" i="9"/>
  <c r="I96" i="9"/>
  <c r="I94" i="9"/>
  <c r="I79" i="9"/>
  <c r="I78" i="9"/>
  <c r="I74" i="9"/>
  <c r="I73" i="9"/>
  <c r="I70" i="9"/>
  <c r="I69" i="9"/>
  <c r="I66" i="9"/>
  <c r="I64" i="9"/>
  <c r="I62" i="9"/>
  <c r="I54" i="9"/>
  <c r="I51" i="9"/>
  <c r="I48" i="9"/>
  <c r="I46" i="9"/>
  <c r="I42" i="9"/>
  <c r="I37" i="9"/>
  <c r="I33" i="9"/>
  <c r="I30" i="9"/>
  <c r="I28" i="9"/>
  <c r="I26" i="9"/>
  <c r="I18" i="9"/>
  <c r="I16" i="9"/>
  <c r="I14" i="9"/>
  <c r="I10" i="9"/>
  <c r="I9" i="9"/>
  <c r="I6" i="9"/>
  <c r="I3" i="9"/>
  <c r="M104" i="9"/>
  <c r="AK105" i="8"/>
  <c r="AK104" i="8"/>
  <c r="AK103" i="8"/>
  <c r="AK102" i="8"/>
  <c r="AK101" i="8"/>
  <c r="AK100" i="8"/>
  <c r="AK99" i="8"/>
  <c r="AK98" i="8"/>
  <c r="AK97" i="8"/>
  <c r="AK96" i="8"/>
  <c r="AK95" i="8"/>
  <c r="AK94" i="8"/>
  <c r="AK93" i="8"/>
  <c r="AK92" i="8"/>
  <c r="AK91" i="8"/>
  <c r="AK90" i="8"/>
  <c r="AK89" i="8"/>
  <c r="AK88" i="8"/>
  <c r="AK87" i="8"/>
  <c r="AK86" i="8"/>
  <c r="AK85" i="8"/>
  <c r="AK84" i="8"/>
  <c r="AK83" i="8"/>
  <c r="AK82" i="8"/>
  <c r="AK81" i="8"/>
  <c r="AK80" i="8"/>
  <c r="AK79" i="8"/>
  <c r="AK78" i="8"/>
  <c r="AK77" i="8"/>
  <c r="AK76" i="8"/>
  <c r="AK75" i="8"/>
  <c r="AK74" i="8"/>
  <c r="AK73" i="8"/>
  <c r="AK72" i="8"/>
  <c r="AK71" i="8"/>
  <c r="AK70" i="8"/>
  <c r="AK69" i="8"/>
  <c r="AK68" i="8"/>
  <c r="AK67" i="8"/>
  <c r="AK66" i="8"/>
  <c r="AK65" i="8"/>
  <c r="AK64" i="8"/>
  <c r="AK63" i="8"/>
  <c r="AK62" i="8"/>
  <c r="AK61" i="8"/>
  <c r="AK60" i="8"/>
  <c r="AK59" i="8"/>
  <c r="AK58" i="8"/>
  <c r="AK57" i="8"/>
  <c r="AK56" i="8"/>
  <c r="AK55" i="8"/>
  <c r="AK54" i="8"/>
  <c r="AK53" i="8"/>
  <c r="AK52" i="8"/>
  <c r="AK51" i="8"/>
  <c r="AK50" i="8"/>
  <c r="AK49" i="8"/>
  <c r="AK48" i="8"/>
  <c r="AK47" i="8"/>
  <c r="AK46" i="8"/>
  <c r="AK45" i="8"/>
  <c r="AK44" i="8"/>
  <c r="AK43" i="8"/>
  <c r="AK42" i="8"/>
  <c r="AK41" i="8"/>
  <c r="AK40" i="8"/>
  <c r="AK39" i="8"/>
  <c r="AK38" i="8"/>
  <c r="AK37" i="8"/>
  <c r="AK36" i="8"/>
  <c r="AK35" i="8"/>
  <c r="AK34" i="8"/>
  <c r="AK33" i="8"/>
  <c r="AK32" i="8"/>
  <c r="AK31" i="8"/>
  <c r="AK30" i="8"/>
  <c r="AK29" i="8"/>
  <c r="AK28" i="8"/>
  <c r="AK27" i="8"/>
  <c r="AK26" i="8"/>
  <c r="AK25" i="8"/>
  <c r="AK24" i="8"/>
  <c r="AK23" i="8"/>
  <c r="AK22" i="8"/>
  <c r="AK21" i="8"/>
  <c r="AK20" i="8"/>
  <c r="AK19" i="8"/>
  <c r="AK18" i="8"/>
  <c r="AK17" i="8"/>
  <c r="AK16" i="8"/>
  <c r="AK15" i="8"/>
  <c r="AK14" i="8"/>
  <c r="AK13" i="8"/>
  <c r="AK12" i="8"/>
  <c r="AK11" i="8"/>
  <c r="AK10" i="8"/>
  <c r="AK9" i="8"/>
  <c r="AK8" i="8"/>
  <c r="AK7" i="8"/>
  <c r="AK6" i="8"/>
  <c r="AK5" i="8"/>
  <c r="AK4" i="8"/>
  <c r="F105" i="7"/>
  <c r="L105" i="7"/>
  <c r="K105" i="7"/>
  <c r="I105" i="7"/>
  <c r="H105" i="7"/>
  <c r="J104" i="7"/>
  <c r="H104" i="7"/>
  <c r="E104" i="7"/>
  <c r="L104" i="7"/>
  <c r="K104" i="7"/>
  <c r="F104" i="7"/>
  <c r="J103" i="7"/>
  <c r="H103" i="7"/>
  <c r="C103" i="7"/>
  <c r="L103" i="7"/>
  <c r="K103" i="7"/>
  <c r="F103" i="7"/>
  <c r="E103" i="7"/>
  <c r="J102" i="7"/>
  <c r="H102" i="7"/>
  <c r="C102" i="7"/>
  <c r="L102" i="7"/>
  <c r="K102" i="7"/>
  <c r="F102" i="7"/>
  <c r="E102" i="7"/>
  <c r="D102" i="7"/>
  <c r="K101" i="7"/>
  <c r="J101" i="7"/>
  <c r="F101" i="7"/>
  <c r="E101" i="7"/>
  <c r="D101" i="7"/>
  <c r="C101" i="7"/>
  <c r="L101" i="7"/>
  <c r="I101" i="7"/>
  <c r="H101" i="7"/>
  <c r="L100" i="7"/>
  <c r="K100" i="7"/>
  <c r="H100" i="7"/>
  <c r="F100" i="7"/>
  <c r="D100" i="7"/>
  <c r="I100" i="7"/>
  <c r="L99" i="7"/>
  <c r="I99" i="7"/>
  <c r="H99" i="7"/>
  <c r="C99" i="7"/>
  <c r="K99" i="7"/>
  <c r="J99" i="7"/>
  <c r="F99" i="7"/>
  <c r="E99" i="7"/>
  <c r="H98" i="7"/>
  <c r="D98" i="7"/>
  <c r="L98" i="7"/>
  <c r="K98" i="7"/>
  <c r="J98" i="7"/>
  <c r="F98" i="7"/>
  <c r="E98" i="7"/>
  <c r="C98" i="7"/>
  <c r="K97" i="7"/>
  <c r="J97" i="7"/>
  <c r="F97" i="7"/>
  <c r="E97" i="7"/>
  <c r="D97" i="7"/>
  <c r="C97" i="7"/>
  <c r="L97" i="7"/>
  <c r="I97" i="7"/>
  <c r="H97" i="7"/>
  <c r="F96" i="7"/>
  <c r="L96" i="7"/>
  <c r="K96" i="7"/>
  <c r="I96" i="7"/>
  <c r="H96" i="7"/>
  <c r="K95" i="7"/>
  <c r="I95" i="7"/>
  <c r="F95" i="7"/>
  <c r="L95" i="7"/>
  <c r="J95" i="7"/>
  <c r="H95" i="7"/>
  <c r="E95" i="7"/>
  <c r="J94" i="7"/>
  <c r="I94" i="7"/>
  <c r="H94" i="7"/>
  <c r="D94" i="7"/>
  <c r="L94" i="7"/>
  <c r="K94" i="7"/>
  <c r="F94" i="7"/>
  <c r="E94" i="7"/>
  <c r="C94" i="7"/>
  <c r="L93" i="7"/>
  <c r="J93" i="7"/>
  <c r="F93" i="7"/>
  <c r="K93" i="7"/>
  <c r="I93" i="7"/>
  <c r="H93" i="7"/>
  <c r="C93" i="7"/>
  <c r="L92" i="7"/>
  <c r="K92" i="7"/>
  <c r="I92" i="7"/>
  <c r="H92" i="7"/>
  <c r="F92" i="7"/>
  <c r="J91" i="7"/>
  <c r="F91" i="7"/>
  <c r="E91" i="7"/>
  <c r="L91" i="7"/>
  <c r="K91" i="7"/>
  <c r="H91" i="7"/>
  <c r="J90" i="7"/>
  <c r="I90" i="7"/>
  <c r="H90" i="7"/>
  <c r="C90" i="7"/>
  <c r="L90" i="7"/>
  <c r="K90" i="7"/>
  <c r="F90" i="7"/>
  <c r="E90" i="7"/>
  <c r="J89" i="7"/>
  <c r="I89" i="7"/>
  <c r="F89" i="7"/>
  <c r="E89" i="7"/>
  <c r="L89" i="7"/>
  <c r="K89" i="7"/>
  <c r="H89" i="7"/>
  <c r="K88" i="7"/>
  <c r="J88" i="7"/>
  <c r="I88" i="7"/>
  <c r="E88" i="7"/>
  <c r="D88" i="7"/>
  <c r="L88" i="7"/>
  <c r="H88" i="7"/>
  <c r="F88" i="7"/>
  <c r="L87" i="7"/>
  <c r="J87" i="7"/>
  <c r="E87" i="7"/>
  <c r="K87" i="7"/>
  <c r="H87" i="7"/>
  <c r="F87" i="7"/>
  <c r="H86" i="7"/>
  <c r="F86" i="7"/>
  <c r="E86" i="7"/>
  <c r="L86" i="7"/>
  <c r="K86" i="7"/>
  <c r="J86" i="7"/>
  <c r="L85" i="7"/>
  <c r="I85" i="7"/>
  <c r="H85" i="7"/>
  <c r="F85" i="7"/>
  <c r="E85" i="7"/>
  <c r="K85" i="7"/>
  <c r="J85" i="7"/>
  <c r="I84" i="7"/>
  <c r="H84" i="7"/>
  <c r="L84" i="7"/>
  <c r="K84" i="7"/>
  <c r="F84" i="7"/>
  <c r="J83" i="7"/>
  <c r="E83" i="7"/>
  <c r="C83" i="7"/>
  <c r="L83" i="7"/>
  <c r="K83" i="7"/>
  <c r="H83" i="7"/>
  <c r="F83" i="7"/>
  <c r="J82" i="7"/>
  <c r="H82" i="7"/>
  <c r="E82" i="7"/>
  <c r="L82" i="7"/>
  <c r="K82" i="7"/>
  <c r="F82" i="7"/>
  <c r="C82" i="7"/>
  <c r="K81" i="7"/>
  <c r="J81" i="7"/>
  <c r="F81" i="7"/>
  <c r="D81" i="7"/>
  <c r="C81" i="7"/>
  <c r="L81" i="7"/>
  <c r="I81" i="7"/>
  <c r="H81" i="7"/>
  <c r="L80" i="7"/>
  <c r="F80" i="7"/>
  <c r="K80" i="7"/>
  <c r="I80" i="7"/>
  <c r="H80" i="7"/>
  <c r="K79" i="7"/>
  <c r="I79" i="7"/>
  <c r="F79" i="7"/>
  <c r="L79" i="7"/>
  <c r="J79" i="7"/>
  <c r="H79" i="7"/>
  <c r="E79" i="7"/>
  <c r="I78" i="7"/>
  <c r="H78" i="7"/>
  <c r="D78" i="7"/>
  <c r="C78" i="7"/>
  <c r="L78" i="7"/>
  <c r="K78" i="7"/>
  <c r="F78" i="7"/>
  <c r="E78" i="7"/>
  <c r="J77" i="7"/>
  <c r="I77" i="7"/>
  <c r="F77" i="7"/>
  <c r="E77" i="7"/>
  <c r="L77" i="7"/>
  <c r="K77" i="7"/>
  <c r="H77" i="7"/>
  <c r="K76" i="7"/>
  <c r="I76" i="7"/>
  <c r="D76" i="7"/>
  <c r="L76" i="7"/>
  <c r="H76" i="7"/>
  <c r="F76" i="7"/>
  <c r="L75" i="7"/>
  <c r="J75" i="7"/>
  <c r="E75" i="7"/>
  <c r="K75" i="7"/>
  <c r="H75" i="7"/>
  <c r="F75" i="7"/>
  <c r="H74" i="7"/>
  <c r="L74" i="7"/>
  <c r="K74" i="7"/>
  <c r="F74" i="7"/>
  <c r="E74" i="7"/>
  <c r="K73" i="7"/>
  <c r="I73" i="7"/>
  <c r="H73" i="7"/>
  <c r="F73" i="7"/>
  <c r="D73" i="7"/>
  <c r="C73" i="7"/>
  <c r="L73" i="7"/>
  <c r="J73" i="7"/>
  <c r="L72" i="7"/>
  <c r="J72" i="7"/>
  <c r="I72" i="7"/>
  <c r="H72" i="7"/>
  <c r="E72" i="7"/>
  <c r="K72" i="7"/>
  <c r="F72" i="7"/>
  <c r="J71" i="7"/>
  <c r="I71" i="7"/>
  <c r="H71" i="7"/>
  <c r="D71" i="7"/>
  <c r="L71" i="7"/>
  <c r="K71" i="7"/>
  <c r="F71" i="7"/>
  <c r="E71" i="7"/>
  <c r="H70" i="7"/>
  <c r="C70" i="7"/>
  <c r="L70" i="7"/>
  <c r="K70" i="7"/>
  <c r="F70" i="7"/>
  <c r="E70" i="7"/>
  <c r="L69" i="7"/>
  <c r="J69" i="7"/>
  <c r="F69" i="7"/>
  <c r="E69" i="7"/>
  <c r="K69" i="7"/>
  <c r="I69" i="7"/>
  <c r="H69" i="7"/>
  <c r="C69" i="7"/>
  <c r="K68" i="7"/>
  <c r="D68" i="7"/>
  <c r="L68" i="7"/>
  <c r="I68" i="7"/>
  <c r="H68" i="7"/>
  <c r="F68" i="7"/>
  <c r="K67" i="7"/>
  <c r="I67" i="7"/>
  <c r="F67" i="7"/>
  <c r="L67" i="7"/>
  <c r="J67" i="7"/>
  <c r="H67" i="7"/>
  <c r="E67" i="7"/>
  <c r="I66" i="7"/>
  <c r="H66" i="7"/>
  <c r="D66" i="7"/>
  <c r="L66" i="7"/>
  <c r="K66" i="7"/>
  <c r="F66" i="7"/>
  <c r="E66" i="7"/>
  <c r="J65" i="7"/>
  <c r="H65" i="7"/>
  <c r="F65" i="7"/>
  <c r="C65" i="7"/>
  <c r="L65" i="7"/>
  <c r="K65" i="7"/>
  <c r="I64" i="7"/>
  <c r="H64" i="7"/>
  <c r="D64" i="7"/>
  <c r="L64" i="7"/>
  <c r="K64" i="7"/>
  <c r="F64" i="7"/>
  <c r="K63" i="7"/>
  <c r="J63" i="7"/>
  <c r="L63" i="7"/>
  <c r="H63" i="7"/>
  <c r="F63" i="7"/>
  <c r="E63" i="7"/>
  <c r="I62" i="7"/>
  <c r="H62" i="7"/>
  <c r="L62" i="7"/>
  <c r="K62" i="7"/>
  <c r="F62" i="7"/>
  <c r="E62" i="7"/>
  <c r="K61" i="7"/>
  <c r="J61" i="7"/>
  <c r="F61" i="7"/>
  <c r="D61" i="7"/>
  <c r="L61" i="7"/>
  <c r="H61" i="7"/>
  <c r="C61" i="7"/>
  <c r="K60" i="7"/>
  <c r="D60" i="7"/>
  <c r="L60" i="7"/>
  <c r="I60" i="7"/>
  <c r="H60" i="7"/>
  <c r="F60" i="7"/>
  <c r="K59" i="7"/>
  <c r="I59" i="7"/>
  <c r="F59" i="7"/>
  <c r="L59" i="7"/>
  <c r="J59" i="7"/>
  <c r="H59" i="7"/>
  <c r="E59" i="7"/>
  <c r="I58" i="7"/>
  <c r="H58" i="7"/>
  <c r="D58" i="7"/>
  <c r="L58" i="7"/>
  <c r="K58" i="7"/>
  <c r="F58" i="7"/>
  <c r="E58" i="7"/>
  <c r="J57" i="7"/>
  <c r="H57" i="7"/>
  <c r="F57" i="7"/>
  <c r="C57" i="7"/>
  <c r="L57" i="7"/>
  <c r="K57" i="7"/>
  <c r="L56" i="7"/>
  <c r="I56" i="7"/>
  <c r="H56" i="7"/>
  <c r="D56" i="7"/>
  <c r="K56" i="7"/>
  <c r="F56" i="7"/>
  <c r="K55" i="7"/>
  <c r="J55" i="7"/>
  <c r="E55" i="7"/>
  <c r="L55" i="7"/>
  <c r="H55" i="7"/>
  <c r="F55" i="7"/>
  <c r="J54" i="7"/>
  <c r="H54" i="7"/>
  <c r="E54" i="7"/>
  <c r="L54" i="7"/>
  <c r="K54" i="7"/>
  <c r="F54" i="7"/>
  <c r="H53" i="7"/>
  <c r="F53" i="7"/>
  <c r="E53" i="7"/>
  <c r="C53" i="7"/>
  <c r="L53" i="7"/>
  <c r="K53" i="7"/>
  <c r="J52" i="7"/>
  <c r="I52" i="7"/>
  <c r="E52" i="7"/>
  <c r="D52" i="7"/>
  <c r="L52" i="7"/>
  <c r="K52" i="7"/>
  <c r="H52" i="7"/>
  <c r="F52" i="7"/>
  <c r="L51" i="7"/>
  <c r="J51" i="7"/>
  <c r="E51" i="7"/>
  <c r="K51" i="7"/>
  <c r="H51" i="7"/>
  <c r="F51" i="7"/>
  <c r="I50" i="7"/>
  <c r="H50" i="7"/>
  <c r="L50" i="7"/>
  <c r="K50" i="7"/>
  <c r="F50" i="7"/>
  <c r="E50" i="7"/>
  <c r="K49" i="7"/>
  <c r="H49" i="7"/>
  <c r="L49" i="7"/>
  <c r="F49" i="7"/>
  <c r="L48" i="7"/>
  <c r="J48" i="7"/>
  <c r="H48" i="7"/>
  <c r="D48" i="7"/>
  <c r="K48" i="7"/>
  <c r="F48" i="7"/>
  <c r="J47" i="7"/>
  <c r="H47" i="7"/>
  <c r="F47" i="7"/>
  <c r="E47" i="7"/>
  <c r="L47" i="7"/>
  <c r="K47" i="7"/>
  <c r="J46" i="7"/>
  <c r="F46" i="7"/>
  <c r="E46" i="7"/>
  <c r="L46" i="7"/>
  <c r="K46" i="7"/>
  <c r="H46" i="7"/>
  <c r="D46" i="7"/>
  <c r="K45" i="7"/>
  <c r="J45" i="7"/>
  <c r="F45" i="7"/>
  <c r="L45" i="7"/>
  <c r="H45" i="7"/>
  <c r="E45" i="7"/>
  <c r="K44" i="7"/>
  <c r="J44" i="7"/>
  <c r="H44" i="7"/>
  <c r="D44" i="7"/>
  <c r="L44" i="7"/>
  <c r="F44" i="7"/>
  <c r="J43" i="7"/>
  <c r="H43" i="7"/>
  <c r="F43" i="7"/>
  <c r="L43" i="7"/>
  <c r="K43" i="7"/>
  <c r="H42" i="7"/>
  <c r="C42" i="7"/>
  <c r="L42" i="7"/>
  <c r="K42" i="7"/>
  <c r="F42" i="7"/>
  <c r="I41" i="7"/>
  <c r="H41" i="7"/>
  <c r="F41" i="7"/>
  <c r="E41" i="7"/>
  <c r="D41" i="7"/>
  <c r="L41" i="7"/>
  <c r="K41" i="7"/>
  <c r="K40" i="7"/>
  <c r="J40" i="7"/>
  <c r="I40" i="7"/>
  <c r="F40" i="7"/>
  <c r="D40" i="7"/>
  <c r="L40" i="7"/>
  <c r="H40" i="7"/>
  <c r="I39" i="7"/>
  <c r="H39" i="7"/>
  <c r="F39" i="7"/>
  <c r="D39" i="7"/>
  <c r="L39" i="7"/>
  <c r="K39" i="7"/>
  <c r="J39" i="7"/>
  <c r="E39" i="7"/>
  <c r="H38" i="7"/>
  <c r="F38" i="7"/>
  <c r="L38" i="7"/>
  <c r="K38" i="7"/>
  <c r="J38" i="7"/>
  <c r="E38" i="7"/>
  <c r="J37" i="7"/>
  <c r="H37" i="7"/>
  <c r="E37" i="7"/>
  <c r="D37" i="7"/>
  <c r="L37" i="7"/>
  <c r="K37" i="7"/>
  <c r="F37" i="7"/>
  <c r="J36" i="7"/>
  <c r="H36" i="7"/>
  <c r="F36" i="7"/>
  <c r="E36" i="7"/>
  <c r="L36" i="7"/>
  <c r="K36" i="7"/>
  <c r="I35" i="7"/>
  <c r="H35" i="7"/>
  <c r="F35" i="7"/>
  <c r="E35" i="7"/>
  <c r="D35" i="7"/>
  <c r="L35" i="7"/>
  <c r="K35" i="7"/>
  <c r="J34" i="7"/>
  <c r="I34" i="7"/>
  <c r="H34" i="7"/>
  <c r="L34" i="7"/>
  <c r="K34" i="7"/>
  <c r="F34" i="7"/>
  <c r="J33" i="7"/>
  <c r="H33" i="7"/>
  <c r="E33" i="7"/>
  <c r="D33" i="7"/>
  <c r="L33" i="7"/>
  <c r="K33" i="7"/>
  <c r="F33" i="7"/>
  <c r="J32" i="7"/>
  <c r="H32" i="7"/>
  <c r="F32" i="7"/>
  <c r="E32" i="7"/>
  <c r="L32" i="7"/>
  <c r="K32" i="7"/>
  <c r="J31" i="7"/>
  <c r="I31" i="7"/>
  <c r="H31" i="7"/>
  <c r="F31" i="7"/>
  <c r="E31" i="7"/>
  <c r="D31" i="7"/>
  <c r="L31" i="7"/>
  <c r="K31" i="7"/>
  <c r="J30" i="7"/>
  <c r="I30" i="7"/>
  <c r="H30" i="7"/>
  <c r="L30" i="7"/>
  <c r="K30" i="7"/>
  <c r="F30" i="7"/>
  <c r="J29" i="7"/>
  <c r="H29" i="7"/>
  <c r="E29" i="7"/>
  <c r="L29" i="7"/>
  <c r="K29" i="7"/>
  <c r="F29" i="7"/>
  <c r="J28" i="7"/>
  <c r="H28" i="7"/>
  <c r="F28" i="7"/>
  <c r="E28" i="7"/>
  <c r="L28" i="7"/>
  <c r="K28" i="7"/>
  <c r="J27" i="7"/>
  <c r="I27" i="7"/>
  <c r="H27" i="7"/>
  <c r="F27" i="7"/>
  <c r="E27" i="7"/>
  <c r="D27" i="7"/>
  <c r="L27" i="7"/>
  <c r="K27" i="7"/>
  <c r="H26" i="7"/>
  <c r="E26" i="7"/>
  <c r="D26" i="7"/>
  <c r="L26" i="7"/>
  <c r="K26" i="7"/>
  <c r="J26" i="7"/>
  <c r="F26" i="7"/>
  <c r="J25" i="7"/>
  <c r="H25" i="7"/>
  <c r="E25" i="7"/>
  <c r="D25" i="7"/>
  <c r="L25" i="7"/>
  <c r="K25" i="7"/>
  <c r="F25" i="7"/>
  <c r="J24" i="7"/>
  <c r="H24" i="7"/>
  <c r="F24" i="7"/>
  <c r="E24" i="7"/>
  <c r="L24" i="7"/>
  <c r="K24" i="7"/>
  <c r="J23" i="7"/>
  <c r="I23" i="7"/>
  <c r="H23" i="7"/>
  <c r="F23" i="7"/>
  <c r="E23" i="7"/>
  <c r="D23" i="7"/>
  <c r="L23" i="7"/>
  <c r="K23" i="7"/>
  <c r="H22" i="7"/>
  <c r="E22" i="7"/>
  <c r="L22" i="7"/>
  <c r="K22" i="7"/>
  <c r="J22" i="7"/>
  <c r="F22" i="7"/>
  <c r="J21" i="7"/>
  <c r="H21" i="7"/>
  <c r="E21" i="7"/>
  <c r="L21" i="7"/>
  <c r="K21" i="7"/>
  <c r="F21" i="7"/>
  <c r="I20" i="7"/>
  <c r="H20" i="7"/>
  <c r="F20" i="7"/>
  <c r="E20" i="7"/>
  <c r="D20" i="7"/>
  <c r="L20" i="7"/>
  <c r="K20" i="7"/>
  <c r="J20" i="7"/>
  <c r="L19" i="7"/>
  <c r="I19" i="7"/>
  <c r="H19" i="7"/>
  <c r="F19" i="7"/>
  <c r="D19" i="7"/>
  <c r="K19" i="7"/>
  <c r="L18" i="7"/>
  <c r="K18" i="7"/>
  <c r="H18" i="7"/>
  <c r="F18" i="7"/>
  <c r="J18" i="7"/>
  <c r="L17" i="7"/>
  <c r="I17" i="7"/>
  <c r="H17" i="7"/>
  <c r="D17" i="7"/>
  <c r="K17" i="7"/>
  <c r="F17" i="7"/>
  <c r="L16" i="7"/>
  <c r="K16" i="7"/>
  <c r="I16" i="7"/>
  <c r="H16" i="7"/>
  <c r="F16" i="7"/>
  <c r="J16" i="7"/>
  <c r="E16" i="7"/>
  <c r="L15" i="7"/>
  <c r="K15" i="7"/>
  <c r="F15" i="7"/>
  <c r="I15" i="7"/>
  <c r="H15" i="7"/>
  <c r="K14" i="7"/>
  <c r="J14" i="7"/>
  <c r="E14" i="7"/>
  <c r="L14" i="7"/>
  <c r="H14" i="7"/>
  <c r="F14" i="7"/>
  <c r="L13" i="7"/>
  <c r="K13" i="7"/>
  <c r="H13" i="7"/>
  <c r="F13" i="7"/>
  <c r="J12" i="7"/>
  <c r="H12" i="7"/>
  <c r="F12" i="7"/>
  <c r="E12" i="7"/>
  <c r="L12" i="7"/>
  <c r="K12" i="7"/>
  <c r="J11" i="7"/>
  <c r="I11" i="7"/>
  <c r="H11" i="7"/>
  <c r="F11" i="7"/>
  <c r="E11" i="7"/>
  <c r="L11" i="7"/>
  <c r="K11" i="7"/>
  <c r="H10" i="7"/>
  <c r="E10" i="7"/>
  <c r="L10" i="7"/>
  <c r="K10" i="7"/>
  <c r="F10" i="7"/>
  <c r="J9" i="7"/>
  <c r="I9" i="7"/>
  <c r="H9" i="7"/>
  <c r="E9" i="7"/>
  <c r="L9" i="7"/>
  <c r="K9" i="7"/>
  <c r="F9" i="7"/>
  <c r="L8" i="7"/>
  <c r="J8" i="7"/>
  <c r="I8" i="7"/>
  <c r="H8" i="7"/>
  <c r="F8" i="7"/>
  <c r="C8" i="7"/>
  <c r="K8" i="7"/>
  <c r="E8" i="7"/>
  <c r="L7" i="7"/>
  <c r="K7" i="7"/>
  <c r="F7" i="7"/>
  <c r="D7" i="7"/>
  <c r="H7" i="7"/>
  <c r="K6" i="7"/>
  <c r="E6" i="7"/>
  <c r="L6" i="7"/>
  <c r="H6" i="7"/>
  <c r="F6" i="7"/>
  <c r="L5" i="7"/>
  <c r="K5" i="7"/>
  <c r="J5" i="7"/>
  <c r="H5" i="7"/>
  <c r="F5" i="7"/>
  <c r="E5" i="7"/>
  <c r="H4" i="7"/>
  <c r="F4" i="7"/>
  <c r="E4" i="7"/>
  <c r="C4" i="7"/>
  <c r="L4" i="7"/>
  <c r="K4" i="7"/>
  <c r="AP105" i="8"/>
  <c r="AO105" i="8"/>
  <c r="AN105" i="8"/>
  <c r="AL105" i="8"/>
  <c r="AJ105" i="8"/>
  <c r="AI105" i="8"/>
  <c r="AH105" i="8"/>
  <c r="AG105" i="8"/>
  <c r="AF105" i="8"/>
  <c r="AE105" i="8"/>
  <c r="AD105" i="8"/>
  <c r="AC105" i="8"/>
  <c r="AB105" i="8"/>
  <c r="AA105" i="6"/>
  <c r="G105" i="6" s="1"/>
  <c r="Y105" i="8"/>
  <c r="X105" i="8"/>
  <c r="W105" i="8"/>
  <c r="V105" i="8"/>
  <c r="U105" i="8"/>
  <c r="T105" i="8"/>
  <c r="R105" i="8"/>
  <c r="Q105" i="8"/>
  <c r="P105" i="8"/>
  <c r="O105" i="8"/>
  <c r="K105" i="6"/>
  <c r="K105" i="8" s="1"/>
  <c r="J105" i="6"/>
  <c r="E105" i="6"/>
  <c r="AP104" i="8"/>
  <c r="AO104" i="8"/>
  <c r="AN104" i="8"/>
  <c r="AL104" i="8"/>
  <c r="AJ104" i="8"/>
  <c r="AI104" i="8"/>
  <c r="AH104" i="8"/>
  <c r="AG104" i="8"/>
  <c r="AE104" i="8"/>
  <c r="AD104" i="8"/>
  <c r="AB104" i="8"/>
  <c r="Z104" i="8"/>
  <c r="Y104" i="8"/>
  <c r="W104" i="8"/>
  <c r="V104" i="8"/>
  <c r="T104" i="8"/>
  <c r="S104" i="8"/>
  <c r="R104" i="8"/>
  <c r="Q104" i="8"/>
  <c r="P104" i="8"/>
  <c r="O104" i="8"/>
  <c r="L104" i="6"/>
  <c r="L104" i="8" s="1"/>
  <c r="K104" i="6"/>
  <c r="K104" i="8" s="1"/>
  <c r="F104" i="6"/>
  <c r="F104" i="8" s="1"/>
  <c r="AP103" i="8"/>
  <c r="AO103" i="8"/>
  <c r="AN103" i="8"/>
  <c r="AL103" i="8"/>
  <c r="AJ103" i="8"/>
  <c r="AI103" i="8"/>
  <c r="AH103" i="8"/>
  <c r="AG103" i="8"/>
  <c r="AF103" i="8"/>
  <c r="AE103" i="8"/>
  <c r="AD103" i="8"/>
  <c r="Z103" i="8"/>
  <c r="Y103" i="8"/>
  <c r="X103" i="8"/>
  <c r="W103" i="8"/>
  <c r="U103" i="8"/>
  <c r="T103" i="8"/>
  <c r="S103" i="8"/>
  <c r="R103" i="8"/>
  <c r="Q103" i="8"/>
  <c r="P103" i="8"/>
  <c r="O103" i="8"/>
  <c r="L103" i="6"/>
  <c r="L103" i="8" s="1"/>
  <c r="K103" i="6"/>
  <c r="K103" i="8" s="1"/>
  <c r="F103" i="6"/>
  <c r="F103" i="8" s="1"/>
  <c r="E103" i="6"/>
  <c r="E103" i="8" s="1"/>
  <c r="AP102" i="8"/>
  <c r="AO102" i="8"/>
  <c r="AN102" i="8"/>
  <c r="AL102" i="8"/>
  <c r="AJ102" i="8"/>
  <c r="AI102" i="8"/>
  <c r="AH102" i="8"/>
  <c r="AG102" i="8"/>
  <c r="AF102" i="8"/>
  <c r="AE102" i="8"/>
  <c r="AD102" i="8"/>
  <c r="AC102" i="8"/>
  <c r="Z102" i="8"/>
  <c r="Y102" i="8"/>
  <c r="W102" i="8"/>
  <c r="V102" i="8"/>
  <c r="U102" i="8"/>
  <c r="T102" i="8"/>
  <c r="S102" i="8"/>
  <c r="R102" i="8"/>
  <c r="Q102" i="8"/>
  <c r="P102" i="8"/>
  <c r="O102" i="8"/>
  <c r="L102" i="6"/>
  <c r="L102" i="8" s="1"/>
  <c r="K102" i="6"/>
  <c r="K102" i="8" s="1"/>
  <c r="F102" i="6"/>
  <c r="F102" i="8" s="1"/>
  <c r="D102" i="6"/>
  <c r="D102" i="8" s="1"/>
  <c r="AP101" i="8"/>
  <c r="AO101" i="8"/>
  <c r="AN101" i="8"/>
  <c r="AL101" i="8"/>
  <c r="AJ101" i="8"/>
  <c r="AI101" i="8"/>
  <c r="AH101" i="8"/>
  <c r="AG101" i="8"/>
  <c r="AF101" i="8"/>
  <c r="AE101" i="8"/>
  <c r="AC101" i="8"/>
  <c r="AB101" i="8"/>
  <c r="Y101" i="8"/>
  <c r="W101" i="8"/>
  <c r="U101" i="8"/>
  <c r="T101" i="8"/>
  <c r="S101" i="8"/>
  <c r="R101" i="8"/>
  <c r="Q101" i="8"/>
  <c r="P101" i="8"/>
  <c r="O101" i="8"/>
  <c r="L101" i="6"/>
  <c r="L101" i="8" s="1"/>
  <c r="H101" i="6"/>
  <c r="H101" i="8" s="1"/>
  <c r="AP100" i="8"/>
  <c r="AO100" i="8"/>
  <c r="AN100" i="8"/>
  <c r="AL100" i="8"/>
  <c r="AJ100" i="8"/>
  <c r="AI100" i="8"/>
  <c r="AH100" i="8"/>
  <c r="AG100" i="8"/>
  <c r="AE100" i="8"/>
  <c r="AD100" i="8"/>
  <c r="AB100" i="8"/>
  <c r="Z100" i="8"/>
  <c r="Y100" i="8"/>
  <c r="W100" i="8"/>
  <c r="V100" i="8"/>
  <c r="U100" i="8"/>
  <c r="T100" i="8"/>
  <c r="S100" i="8"/>
  <c r="R100" i="8"/>
  <c r="Q100" i="8"/>
  <c r="P100" i="8"/>
  <c r="O100" i="8"/>
  <c r="L100" i="6"/>
  <c r="H100" i="6"/>
  <c r="F100" i="6"/>
  <c r="AP99" i="8"/>
  <c r="AO99" i="8"/>
  <c r="AN99" i="8"/>
  <c r="AL99" i="8"/>
  <c r="AJ99" i="8"/>
  <c r="AI99" i="8"/>
  <c r="AH99" i="8"/>
  <c r="AG99" i="8"/>
  <c r="AF99" i="8"/>
  <c r="AE99" i="8"/>
  <c r="AD99" i="8"/>
  <c r="Z99" i="8"/>
  <c r="Y99" i="8"/>
  <c r="W99" i="8"/>
  <c r="U99" i="8"/>
  <c r="T99" i="8"/>
  <c r="S99" i="8"/>
  <c r="R99" i="8"/>
  <c r="Q99" i="8"/>
  <c r="P99" i="8"/>
  <c r="O99" i="8"/>
  <c r="F99" i="6"/>
  <c r="F99" i="8" s="1"/>
  <c r="AP98" i="8"/>
  <c r="AO98" i="8"/>
  <c r="AN98" i="8"/>
  <c r="AL98" i="8"/>
  <c r="AJ98" i="8"/>
  <c r="AI98" i="8"/>
  <c r="AH98" i="8"/>
  <c r="AG98" i="8"/>
  <c r="AF98" i="8"/>
  <c r="AE98" i="8"/>
  <c r="AD98" i="8"/>
  <c r="AC98" i="8"/>
  <c r="Z98" i="8"/>
  <c r="Y98" i="8"/>
  <c r="W98" i="8"/>
  <c r="V98" i="8"/>
  <c r="U98" i="8"/>
  <c r="T98" i="8"/>
  <c r="S98" i="8"/>
  <c r="R98" i="8"/>
  <c r="Q98" i="8"/>
  <c r="P98" i="8"/>
  <c r="O98" i="8"/>
  <c r="L98" i="6"/>
  <c r="L98" i="8" s="1"/>
  <c r="I98" i="6"/>
  <c r="AP97" i="8"/>
  <c r="AO97" i="8"/>
  <c r="AN97" i="8"/>
  <c r="AL97" i="8"/>
  <c r="AJ97" i="8"/>
  <c r="AI97" i="8"/>
  <c r="AH97" i="8"/>
  <c r="AG97" i="8"/>
  <c r="AF97" i="8"/>
  <c r="AE97" i="8"/>
  <c r="AC97" i="8"/>
  <c r="AB97" i="8"/>
  <c r="Y97" i="8"/>
  <c r="W97" i="8"/>
  <c r="U97" i="8"/>
  <c r="T97" i="8"/>
  <c r="S97" i="8"/>
  <c r="R97" i="8"/>
  <c r="Q97" i="8"/>
  <c r="P97" i="8"/>
  <c r="O97" i="8"/>
  <c r="J97" i="6"/>
  <c r="AP96" i="8"/>
  <c r="AO96" i="8"/>
  <c r="AN96" i="8"/>
  <c r="AL96" i="8"/>
  <c r="AJ96" i="8"/>
  <c r="AI96" i="8"/>
  <c r="AH96" i="8"/>
  <c r="AG96" i="8"/>
  <c r="AE96" i="8"/>
  <c r="AD96" i="8"/>
  <c r="AB96" i="8"/>
  <c r="Z96" i="8"/>
  <c r="Y96" i="8"/>
  <c r="W96" i="8"/>
  <c r="V96" i="8"/>
  <c r="U96" i="8"/>
  <c r="T96" i="8"/>
  <c r="S96" i="8"/>
  <c r="R96" i="8"/>
  <c r="Q96" i="8"/>
  <c r="P96" i="8"/>
  <c r="O96" i="8"/>
  <c r="H96" i="6"/>
  <c r="H96" i="8" s="1"/>
  <c r="AP95" i="8"/>
  <c r="AO95" i="8"/>
  <c r="AN95" i="8"/>
  <c r="AL95" i="8"/>
  <c r="AJ95" i="8"/>
  <c r="AI95" i="8"/>
  <c r="AH95" i="8"/>
  <c r="AF95" i="8"/>
  <c r="AE95" i="8"/>
  <c r="AC95" i="8"/>
  <c r="AB95" i="8"/>
  <c r="Z95" i="8"/>
  <c r="Y95" i="8"/>
  <c r="W95" i="8"/>
  <c r="U95" i="8"/>
  <c r="T95" i="8"/>
  <c r="S95" i="8"/>
  <c r="R95" i="8"/>
  <c r="Q95" i="8"/>
  <c r="P95" i="8"/>
  <c r="O95" i="8"/>
  <c r="K95" i="6"/>
  <c r="F95" i="6"/>
  <c r="AP94" i="8"/>
  <c r="AO94" i="8"/>
  <c r="AN94" i="8"/>
  <c r="AL94" i="8"/>
  <c r="AJ94" i="8"/>
  <c r="AI94" i="8"/>
  <c r="AH94" i="8"/>
  <c r="AG94" i="8"/>
  <c r="AF94" i="8"/>
  <c r="AE94" i="8"/>
  <c r="AC94" i="8"/>
  <c r="Z94" i="8"/>
  <c r="Y94" i="8"/>
  <c r="W94" i="8"/>
  <c r="V94" i="8"/>
  <c r="U94" i="8"/>
  <c r="T94" i="8"/>
  <c r="S94" i="8"/>
  <c r="R94" i="8"/>
  <c r="Q94" i="8"/>
  <c r="P94" i="8"/>
  <c r="O94" i="8"/>
  <c r="K94" i="6"/>
  <c r="K94" i="8" s="1"/>
  <c r="J94" i="6"/>
  <c r="F94" i="6"/>
  <c r="F94" i="8" s="1"/>
  <c r="AP93" i="8"/>
  <c r="AO93" i="8"/>
  <c r="AN93" i="8"/>
  <c r="AL93" i="8"/>
  <c r="AJ93" i="8"/>
  <c r="AI93" i="8"/>
  <c r="AH93" i="8"/>
  <c r="AG93" i="8"/>
  <c r="AF93" i="8"/>
  <c r="AE93" i="8"/>
  <c r="AD93" i="8"/>
  <c r="AB93" i="8"/>
  <c r="Y93" i="8"/>
  <c r="X93" i="8"/>
  <c r="W93" i="8"/>
  <c r="V93" i="8"/>
  <c r="T93" i="8"/>
  <c r="S93" i="8"/>
  <c r="Q93" i="8"/>
  <c r="P93" i="8"/>
  <c r="O93" i="8"/>
  <c r="L93" i="6"/>
  <c r="K93" i="6"/>
  <c r="K93" i="8" s="1"/>
  <c r="J93" i="6"/>
  <c r="E93" i="6"/>
  <c r="AP92" i="8"/>
  <c r="AO92" i="8"/>
  <c r="AN92" i="8"/>
  <c r="AL92" i="8"/>
  <c r="AJ92" i="8"/>
  <c r="AI92" i="8"/>
  <c r="AH92" i="8"/>
  <c r="AG92" i="8"/>
  <c r="AE92" i="8"/>
  <c r="AC92" i="8"/>
  <c r="AB92" i="8"/>
  <c r="Z92" i="8"/>
  <c r="Y92" i="8"/>
  <c r="W92" i="8"/>
  <c r="V92" i="8"/>
  <c r="U92" i="8"/>
  <c r="T92" i="8"/>
  <c r="R92" i="8"/>
  <c r="Q92" i="8"/>
  <c r="O92" i="8"/>
  <c r="L92" i="6"/>
  <c r="L92" i="8" s="1"/>
  <c r="K92" i="6"/>
  <c r="K92" i="8" s="1"/>
  <c r="H92" i="6"/>
  <c r="H92" i="8" s="1"/>
  <c r="F92" i="6"/>
  <c r="F92" i="8" s="1"/>
  <c r="AP91" i="8"/>
  <c r="AO91" i="8"/>
  <c r="AN91" i="8"/>
  <c r="AL91" i="8"/>
  <c r="AJ91" i="8"/>
  <c r="AI91" i="8"/>
  <c r="AH91" i="8"/>
  <c r="AF91" i="8"/>
  <c r="AE91" i="8"/>
  <c r="AC91" i="8"/>
  <c r="AB91" i="8"/>
  <c r="Z91" i="8"/>
  <c r="Y91" i="8"/>
  <c r="W91" i="8"/>
  <c r="U91" i="8"/>
  <c r="T91" i="8"/>
  <c r="S91" i="8"/>
  <c r="R91" i="8"/>
  <c r="Q91" i="8"/>
  <c r="P91" i="8"/>
  <c r="O91" i="8"/>
  <c r="L91" i="6"/>
  <c r="L91" i="8" s="1"/>
  <c r="K91" i="6"/>
  <c r="K91" i="8" s="1"/>
  <c r="F91" i="6"/>
  <c r="AP90" i="8"/>
  <c r="AO90" i="8"/>
  <c r="AN90" i="8"/>
  <c r="AL90" i="8"/>
  <c r="AJ90" i="8"/>
  <c r="AI90" i="8"/>
  <c r="AH90" i="8"/>
  <c r="AG90" i="8"/>
  <c r="AF90" i="8"/>
  <c r="AE90" i="8"/>
  <c r="AD90" i="8"/>
  <c r="Z90" i="8"/>
  <c r="Y90" i="8"/>
  <c r="W90" i="8"/>
  <c r="V90" i="8"/>
  <c r="U90" i="8"/>
  <c r="T90" i="8"/>
  <c r="S90" i="8"/>
  <c r="R90" i="8"/>
  <c r="Q90" i="8"/>
  <c r="P90" i="8"/>
  <c r="O90" i="8"/>
  <c r="L90" i="6"/>
  <c r="L90" i="8" s="1"/>
  <c r="K90" i="6"/>
  <c r="K90" i="8" s="1"/>
  <c r="F90" i="6"/>
  <c r="F90" i="8" s="1"/>
  <c r="AP89" i="8"/>
  <c r="AO89" i="8"/>
  <c r="AN89" i="8"/>
  <c r="AL89" i="8"/>
  <c r="AJ89" i="8"/>
  <c r="AI89" i="8"/>
  <c r="AH89" i="8"/>
  <c r="AG89" i="8"/>
  <c r="AF89" i="8"/>
  <c r="AE89" i="8"/>
  <c r="AD89" i="8"/>
  <c r="AB89" i="8"/>
  <c r="Y89" i="8"/>
  <c r="X89" i="8"/>
  <c r="W89" i="8"/>
  <c r="V89" i="8"/>
  <c r="T89" i="8"/>
  <c r="S89" i="8"/>
  <c r="R89" i="8"/>
  <c r="Q89" i="8"/>
  <c r="P89" i="8"/>
  <c r="O89" i="8"/>
  <c r="M89" i="8"/>
  <c r="L89" i="6"/>
  <c r="L89" i="8" s="1"/>
  <c r="K89" i="6"/>
  <c r="K89" i="8" s="1"/>
  <c r="H89" i="6"/>
  <c r="H89" i="8" s="1"/>
  <c r="E89" i="6"/>
  <c r="E89" i="8" s="1"/>
  <c r="AP88" i="8"/>
  <c r="AO88" i="8"/>
  <c r="AN88" i="8"/>
  <c r="AL88" i="8"/>
  <c r="AJ88" i="8"/>
  <c r="AI88" i="8"/>
  <c r="AH88" i="8"/>
  <c r="AG88" i="8"/>
  <c r="AE88" i="8"/>
  <c r="AC88" i="8"/>
  <c r="AB88" i="8"/>
  <c r="Z88" i="8"/>
  <c r="Y88" i="8"/>
  <c r="W88" i="8"/>
  <c r="V88" i="8"/>
  <c r="U88" i="8"/>
  <c r="T88" i="8"/>
  <c r="R88" i="8"/>
  <c r="Q88" i="8"/>
  <c r="P88" i="8"/>
  <c r="O88" i="8"/>
  <c r="K88" i="6"/>
  <c r="H88" i="6"/>
  <c r="H88" i="8" s="1"/>
  <c r="F88" i="6"/>
  <c r="F88" i="8" s="1"/>
  <c r="AP87" i="8"/>
  <c r="AO87" i="8"/>
  <c r="AN87" i="8"/>
  <c r="AL87" i="8"/>
  <c r="AJ87" i="8"/>
  <c r="AI87" i="8"/>
  <c r="AH87" i="8"/>
  <c r="AG87" i="8"/>
  <c r="AE87" i="8"/>
  <c r="AD87" i="8"/>
  <c r="AC87" i="8"/>
  <c r="AB87" i="8"/>
  <c r="Z87" i="8"/>
  <c r="Y87" i="8"/>
  <c r="W87" i="8"/>
  <c r="U87" i="8"/>
  <c r="T87" i="8"/>
  <c r="S87" i="8"/>
  <c r="R87" i="8"/>
  <c r="Q87" i="8"/>
  <c r="P87" i="8"/>
  <c r="O87" i="8"/>
  <c r="K87" i="6"/>
  <c r="K87" i="8" s="1"/>
  <c r="H87" i="6"/>
  <c r="H87" i="8" s="1"/>
  <c r="F87" i="6"/>
  <c r="F87" i="8" s="1"/>
  <c r="AP86" i="8"/>
  <c r="AO86" i="8"/>
  <c r="AN86" i="8"/>
  <c r="AL86" i="8"/>
  <c r="AJ86" i="8"/>
  <c r="AI86" i="8"/>
  <c r="AH86" i="8"/>
  <c r="AG86" i="8"/>
  <c r="AF86" i="8"/>
  <c r="AE86" i="8"/>
  <c r="AC86" i="8"/>
  <c r="Z86" i="8"/>
  <c r="Y86" i="8"/>
  <c r="V86" i="8"/>
  <c r="U86" i="8"/>
  <c r="T86" i="8"/>
  <c r="S86" i="8"/>
  <c r="R86" i="8"/>
  <c r="Q86" i="8"/>
  <c r="P86" i="8"/>
  <c r="O86" i="8"/>
  <c r="L86" i="6"/>
  <c r="L86" i="8" s="1"/>
  <c r="F86" i="6"/>
  <c r="AP85" i="8"/>
  <c r="AO85" i="8"/>
  <c r="AN85" i="8"/>
  <c r="AL85" i="8"/>
  <c r="AJ85" i="8"/>
  <c r="AI85" i="8"/>
  <c r="AH85" i="8"/>
  <c r="AG85" i="8"/>
  <c r="AF85" i="8"/>
  <c r="AE85" i="8"/>
  <c r="AD85" i="8"/>
  <c r="Y85" i="8"/>
  <c r="X85" i="8"/>
  <c r="W85" i="8"/>
  <c r="V85" i="8"/>
  <c r="T85" i="8"/>
  <c r="S85" i="8"/>
  <c r="R85" i="8"/>
  <c r="Q85" i="8"/>
  <c r="P85" i="8"/>
  <c r="O85" i="8"/>
  <c r="L85" i="6"/>
  <c r="K85" i="6"/>
  <c r="K85" i="8" s="1"/>
  <c r="AP84" i="8"/>
  <c r="AO84" i="8"/>
  <c r="AN84" i="8"/>
  <c r="AL84" i="8"/>
  <c r="AJ84" i="8"/>
  <c r="AI84" i="8"/>
  <c r="AH84" i="8"/>
  <c r="AG84" i="8"/>
  <c r="AE84" i="8"/>
  <c r="AC84" i="8"/>
  <c r="AB84" i="8"/>
  <c r="Y84" i="8"/>
  <c r="W84" i="8"/>
  <c r="V84" i="8"/>
  <c r="U84" i="8"/>
  <c r="T84" i="8"/>
  <c r="R84" i="8"/>
  <c r="Q84" i="8"/>
  <c r="P84" i="8"/>
  <c r="O84" i="8"/>
  <c r="K84" i="6"/>
  <c r="K84" i="8" s="1"/>
  <c r="H84" i="6"/>
  <c r="C84" i="6"/>
  <c r="AP83" i="8"/>
  <c r="AO83" i="8"/>
  <c r="AN83" i="8"/>
  <c r="AL83" i="8"/>
  <c r="AJ83" i="8"/>
  <c r="AI83" i="8"/>
  <c r="AH83" i="8"/>
  <c r="AG83" i="8"/>
  <c r="AE83" i="8"/>
  <c r="AD83" i="8"/>
  <c r="AC83" i="8"/>
  <c r="AB83" i="8"/>
  <c r="Z83" i="8"/>
  <c r="Y83" i="8"/>
  <c r="W83" i="8"/>
  <c r="U83" i="8"/>
  <c r="T83" i="8"/>
  <c r="S83" i="8"/>
  <c r="R83" i="8"/>
  <c r="Q83" i="8"/>
  <c r="P83" i="8"/>
  <c r="O83" i="8"/>
  <c r="L83" i="6"/>
  <c r="L83" i="8" s="1"/>
  <c r="I83" i="6"/>
  <c r="H83" i="6"/>
  <c r="H83" i="8" s="1"/>
  <c r="AP82" i="8"/>
  <c r="AO82" i="8"/>
  <c r="AN82" i="8"/>
  <c r="AL82" i="8"/>
  <c r="AJ82" i="8"/>
  <c r="AI82" i="8"/>
  <c r="AH82" i="8"/>
  <c r="AG82" i="8"/>
  <c r="AF82" i="8"/>
  <c r="AE82" i="8"/>
  <c r="AD82" i="8"/>
  <c r="Z82" i="8"/>
  <c r="Y82" i="8"/>
  <c r="V82" i="8"/>
  <c r="U82" i="8"/>
  <c r="T82" i="8"/>
  <c r="S82" i="8"/>
  <c r="R82" i="8"/>
  <c r="Q82" i="8"/>
  <c r="P82" i="8"/>
  <c r="O82" i="8"/>
  <c r="K82" i="6"/>
  <c r="K82" i="8" s="1"/>
  <c r="AP81" i="8"/>
  <c r="AO81" i="8"/>
  <c r="AN81" i="8"/>
  <c r="AL81" i="8"/>
  <c r="AJ81" i="8"/>
  <c r="AI81" i="8"/>
  <c r="AH81" i="8"/>
  <c r="AG81" i="8"/>
  <c r="AF81" i="8"/>
  <c r="AE81" i="8"/>
  <c r="AD81" i="8"/>
  <c r="Y81" i="8"/>
  <c r="X81" i="8"/>
  <c r="W81" i="8"/>
  <c r="V81" i="8"/>
  <c r="T81" i="8"/>
  <c r="S81" i="8"/>
  <c r="R81" i="8"/>
  <c r="Q81" i="8"/>
  <c r="P81" i="8"/>
  <c r="O81" i="8"/>
  <c r="L81" i="6"/>
  <c r="L81" i="8" s="1"/>
  <c r="K81" i="6"/>
  <c r="J81" i="6"/>
  <c r="E81" i="6"/>
  <c r="AP80" i="8"/>
  <c r="AO80" i="8"/>
  <c r="AN80" i="8"/>
  <c r="AL80" i="8"/>
  <c r="AJ80" i="8"/>
  <c r="AI80" i="8"/>
  <c r="AH80" i="8"/>
  <c r="AG80" i="8"/>
  <c r="AE80" i="8"/>
  <c r="AC80" i="8"/>
  <c r="AB80" i="8"/>
  <c r="Y80" i="8"/>
  <c r="W80" i="8"/>
  <c r="V80" i="8"/>
  <c r="U80" i="8"/>
  <c r="T80" i="8"/>
  <c r="R80" i="8"/>
  <c r="Q80" i="8"/>
  <c r="P80" i="8"/>
  <c r="O80" i="8"/>
  <c r="K80" i="6"/>
  <c r="K80" i="8" s="1"/>
  <c r="H80" i="6"/>
  <c r="H80" i="8" s="1"/>
  <c r="C80" i="6"/>
  <c r="AP79" i="8"/>
  <c r="AO79" i="8"/>
  <c r="AN79" i="8"/>
  <c r="AL79" i="8"/>
  <c r="AJ79" i="8"/>
  <c r="AI79" i="8"/>
  <c r="AH79" i="8"/>
  <c r="AG79" i="8"/>
  <c r="AE79" i="8"/>
  <c r="AD79" i="8"/>
  <c r="AC79" i="8"/>
  <c r="AB79" i="8"/>
  <c r="Z79" i="8"/>
  <c r="Y79" i="8"/>
  <c r="W79" i="8"/>
  <c r="U79" i="8"/>
  <c r="T79" i="8"/>
  <c r="S79" i="8"/>
  <c r="R79" i="8"/>
  <c r="Q79" i="8"/>
  <c r="P79" i="8"/>
  <c r="O79" i="8"/>
  <c r="L79" i="6"/>
  <c r="L79" i="8" s="1"/>
  <c r="I79" i="6"/>
  <c r="I79" i="8" s="1"/>
  <c r="H79" i="6"/>
  <c r="H79" i="8" s="1"/>
  <c r="AP78" i="8"/>
  <c r="AO78" i="8"/>
  <c r="AN78" i="8"/>
  <c r="AL78" i="8"/>
  <c r="AJ78" i="8"/>
  <c r="AI78" i="8"/>
  <c r="AH78" i="8"/>
  <c r="AG78" i="8"/>
  <c r="AF78" i="8"/>
  <c r="AE78" i="8"/>
  <c r="AD78" i="8"/>
  <c r="Z78" i="8"/>
  <c r="Y78" i="8"/>
  <c r="V78" i="8"/>
  <c r="U78" i="8"/>
  <c r="T78" i="8"/>
  <c r="S78" i="8"/>
  <c r="R78" i="8"/>
  <c r="Q78" i="8"/>
  <c r="P78" i="8"/>
  <c r="O78" i="8"/>
  <c r="K78" i="6"/>
  <c r="K78" i="8" s="1"/>
  <c r="AP77" i="8"/>
  <c r="AO77" i="8"/>
  <c r="AN77" i="8"/>
  <c r="AL77" i="8"/>
  <c r="AJ77" i="8"/>
  <c r="AI77" i="8"/>
  <c r="AH77" i="8"/>
  <c r="AG77" i="8"/>
  <c r="AF77" i="8"/>
  <c r="AE77" i="8"/>
  <c r="AD77" i="8"/>
  <c r="Y77" i="8"/>
  <c r="X77" i="8"/>
  <c r="W77" i="8"/>
  <c r="V77" i="8"/>
  <c r="T77" i="8"/>
  <c r="S77" i="8"/>
  <c r="R77" i="8"/>
  <c r="Q77" i="8"/>
  <c r="P77" i="8"/>
  <c r="O77" i="8"/>
  <c r="L77" i="6"/>
  <c r="L77" i="8" s="1"/>
  <c r="K77" i="6"/>
  <c r="K77" i="8" s="1"/>
  <c r="J77" i="6"/>
  <c r="E77" i="6"/>
  <c r="E77" i="8" s="1"/>
  <c r="AP76" i="8"/>
  <c r="AO76" i="8"/>
  <c r="AN76" i="8"/>
  <c r="AL76" i="8"/>
  <c r="AJ76" i="8"/>
  <c r="AI76" i="8"/>
  <c r="AH76" i="8"/>
  <c r="AG76" i="8"/>
  <c r="AE76" i="8"/>
  <c r="AC76" i="8"/>
  <c r="AB76" i="8"/>
  <c r="Y76" i="8"/>
  <c r="W76" i="8"/>
  <c r="V76" i="8"/>
  <c r="U76" i="8"/>
  <c r="T76" i="8"/>
  <c r="R76" i="8"/>
  <c r="Q76" i="8"/>
  <c r="P76" i="8"/>
  <c r="O76" i="8"/>
  <c r="K76" i="6"/>
  <c r="C76" i="6"/>
  <c r="AP75" i="8"/>
  <c r="AO75" i="8"/>
  <c r="AN75" i="8"/>
  <c r="AL75" i="8"/>
  <c r="AJ75" i="8"/>
  <c r="AI75" i="8"/>
  <c r="AH75" i="8"/>
  <c r="AG75" i="8"/>
  <c r="AE75" i="8"/>
  <c r="AD75" i="8"/>
  <c r="AC75" i="8"/>
  <c r="AB75" i="8"/>
  <c r="Z75" i="8"/>
  <c r="Y75" i="8"/>
  <c r="W75" i="8"/>
  <c r="U75" i="8"/>
  <c r="T75" i="8"/>
  <c r="S75" i="8"/>
  <c r="R75" i="8"/>
  <c r="Q75" i="8"/>
  <c r="P75" i="8"/>
  <c r="O75" i="8"/>
  <c r="L75" i="6"/>
  <c r="I75" i="6"/>
  <c r="H75" i="6"/>
  <c r="H75" i="8" s="1"/>
  <c r="F75" i="6"/>
  <c r="F75" i="8" s="1"/>
  <c r="AP74" i="8"/>
  <c r="AO74" i="8"/>
  <c r="AN74" i="8"/>
  <c r="AL74" i="8"/>
  <c r="AJ74" i="8"/>
  <c r="AI74" i="8"/>
  <c r="AH74" i="8"/>
  <c r="AG74" i="8"/>
  <c r="AF74" i="8"/>
  <c r="AE74" i="8"/>
  <c r="AD74" i="8"/>
  <c r="Z74" i="8"/>
  <c r="Y74" i="8"/>
  <c r="V74" i="8"/>
  <c r="U74" i="8"/>
  <c r="T74" i="8"/>
  <c r="S74" i="8"/>
  <c r="R74" i="8"/>
  <c r="Q74" i="8"/>
  <c r="P74" i="8"/>
  <c r="O74" i="8"/>
  <c r="K74" i="6"/>
  <c r="K74" i="8" s="1"/>
  <c r="AP73" i="8"/>
  <c r="AO73" i="8"/>
  <c r="AN73" i="8"/>
  <c r="AL73" i="8"/>
  <c r="AJ73" i="8"/>
  <c r="AI73" i="8"/>
  <c r="AH73" i="8"/>
  <c r="AG73" i="8"/>
  <c r="AF73" i="8"/>
  <c r="AE73" i="8"/>
  <c r="AD73" i="8"/>
  <c r="Y73" i="8"/>
  <c r="X73" i="8"/>
  <c r="W73" i="8"/>
  <c r="V73" i="8"/>
  <c r="T73" i="8"/>
  <c r="S73" i="8"/>
  <c r="R73" i="8"/>
  <c r="Q73" i="8"/>
  <c r="P73" i="8"/>
  <c r="O73" i="8"/>
  <c r="L73" i="6"/>
  <c r="L73" i="8" s="1"/>
  <c r="K73" i="6"/>
  <c r="J73" i="6"/>
  <c r="J73" i="8" s="1"/>
  <c r="E73" i="6"/>
  <c r="AP72" i="8"/>
  <c r="AO72" i="8"/>
  <c r="AN72" i="8"/>
  <c r="AL72" i="8"/>
  <c r="AJ72" i="8"/>
  <c r="AI72" i="8"/>
  <c r="AH72" i="8"/>
  <c r="AG72" i="8"/>
  <c r="AE72" i="8"/>
  <c r="AC72" i="8"/>
  <c r="AB72" i="8"/>
  <c r="Y72" i="8"/>
  <c r="W72" i="8"/>
  <c r="V72" i="8"/>
  <c r="U72" i="8"/>
  <c r="T72" i="8"/>
  <c r="R72" i="8"/>
  <c r="Q72" i="8"/>
  <c r="P72" i="8"/>
  <c r="O72" i="8"/>
  <c r="K72" i="6"/>
  <c r="K72" i="8" s="1"/>
  <c r="C72" i="6"/>
  <c r="AP71" i="8"/>
  <c r="AO71" i="8"/>
  <c r="AN71" i="8"/>
  <c r="AL71" i="8"/>
  <c r="AJ71" i="8"/>
  <c r="AI71" i="8"/>
  <c r="AH71" i="8"/>
  <c r="AG71" i="8"/>
  <c r="AF71" i="8"/>
  <c r="AE71" i="8"/>
  <c r="AD71" i="8"/>
  <c r="AC71" i="8"/>
  <c r="AB71" i="8"/>
  <c r="Z71" i="8"/>
  <c r="Y71" i="8"/>
  <c r="X71" i="8"/>
  <c r="W71" i="8"/>
  <c r="U71" i="8"/>
  <c r="T71" i="8"/>
  <c r="S71" i="8"/>
  <c r="R71" i="8"/>
  <c r="Q71" i="8"/>
  <c r="P71" i="8"/>
  <c r="O71" i="8"/>
  <c r="L71" i="6"/>
  <c r="L71" i="8" s="1"/>
  <c r="I71" i="6"/>
  <c r="I71" i="8" s="1"/>
  <c r="H71" i="6"/>
  <c r="F71" i="6"/>
  <c r="F71" i="8" s="1"/>
  <c r="AP70" i="8"/>
  <c r="AO70" i="8"/>
  <c r="AN70" i="8"/>
  <c r="AL70" i="8"/>
  <c r="AJ70" i="8"/>
  <c r="AI70" i="8"/>
  <c r="AH70" i="8"/>
  <c r="AG70" i="8"/>
  <c r="AF70" i="8"/>
  <c r="AE70" i="8"/>
  <c r="AD70" i="8"/>
  <c r="AC70" i="8"/>
  <c r="Z70" i="8"/>
  <c r="Y70" i="8"/>
  <c r="V70" i="8"/>
  <c r="U70" i="8"/>
  <c r="T70" i="8"/>
  <c r="S70" i="8"/>
  <c r="R70" i="8"/>
  <c r="Q70" i="8"/>
  <c r="P70" i="8"/>
  <c r="O70" i="8"/>
  <c r="N70" i="8"/>
  <c r="K70" i="6"/>
  <c r="K70" i="8" s="1"/>
  <c r="AP69" i="8"/>
  <c r="AO69" i="8"/>
  <c r="AN69" i="8"/>
  <c r="AL69" i="8"/>
  <c r="AJ69" i="8"/>
  <c r="AI69" i="8"/>
  <c r="AH69" i="8"/>
  <c r="AG69" i="8"/>
  <c r="AF69" i="8"/>
  <c r="AE69" i="8"/>
  <c r="AD69" i="8"/>
  <c r="Y69" i="8"/>
  <c r="X69" i="8"/>
  <c r="W69" i="8"/>
  <c r="V69" i="8"/>
  <c r="T69" i="8"/>
  <c r="S69" i="8"/>
  <c r="R69" i="8"/>
  <c r="Q69" i="8"/>
  <c r="P69" i="8"/>
  <c r="O69" i="8"/>
  <c r="L69" i="6"/>
  <c r="K69" i="6"/>
  <c r="K69" i="8" s="1"/>
  <c r="J69" i="6"/>
  <c r="E69" i="6"/>
  <c r="E69" i="8" s="1"/>
  <c r="AP68" i="8"/>
  <c r="AO68" i="8"/>
  <c r="AN68" i="8"/>
  <c r="AL68" i="8"/>
  <c r="AJ68" i="8"/>
  <c r="AH68" i="8"/>
  <c r="AG68" i="8"/>
  <c r="AE68" i="8"/>
  <c r="AC68" i="8"/>
  <c r="AB68" i="8"/>
  <c r="Y68" i="8"/>
  <c r="W68" i="8"/>
  <c r="V68" i="8"/>
  <c r="U68" i="8"/>
  <c r="T68" i="8"/>
  <c r="R68" i="8"/>
  <c r="Q68" i="8"/>
  <c r="P68" i="8"/>
  <c r="O68" i="8"/>
  <c r="H68" i="6"/>
  <c r="H68" i="8" s="1"/>
  <c r="AP67" i="8"/>
  <c r="AO67" i="8"/>
  <c r="AN67" i="8"/>
  <c r="AL67" i="8"/>
  <c r="AJ67" i="8"/>
  <c r="AI67" i="8"/>
  <c r="AH67" i="8"/>
  <c r="AG67" i="8"/>
  <c r="AF67" i="8"/>
  <c r="AE67" i="8"/>
  <c r="AD67" i="8"/>
  <c r="AC67" i="8"/>
  <c r="AB67" i="8"/>
  <c r="Z67" i="8"/>
  <c r="Y67" i="8"/>
  <c r="X67" i="8"/>
  <c r="W67" i="8"/>
  <c r="U67" i="8"/>
  <c r="T67" i="8"/>
  <c r="S67" i="8"/>
  <c r="R67" i="8"/>
  <c r="Q67" i="8"/>
  <c r="P67" i="8"/>
  <c r="O67" i="8"/>
  <c r="L67" i="6"/>
  <c r="L67" i="8" s="1"/>
  <c r="K67" i="6"/>
  <c r="H67" i="6"/>
  <c r="H67" i="8" s="1"/>
  <c r="F67" i="6"/>
  <c r="AP66" i="8"/>
  <c r="AO66" i="8"/>
  <c r="AN66" i="8"/>
  <c r="AL66" i="8"/>
  <c r="AJ66" i="8"/>
  <c r="AI66" i="8"/>
  <c r="AH66" i="8"/>
  <c r="AG66" i="8"/>
  <c r="AF66" i="8"/>
  <c r="AE66" i="8"/>
  <c r="AD66" i="8"/>
  <c r="AC66" i="8"/>
  <c r="Z66" i="8"/>
  <c r="Y66" i="8"/>
  <c r="V66" i="8"/>
  <c r="U66" i="8"/>
  <c r="T66" i="8"/>
  <c r="S66" i="8"/>
  <c r="R66" i="8"/>
  <c r="Q66" i="8"/>
  <c r="P66" i="8"/>
  <c r="O66" i="8"/>
  <c r="N66" i="8"/>
  <c r="L66" i="6"/>
  <c r="L66" i="8" s="1"/>
  <c r="F66" i="6"/>
  <c r="F66" i="8" s="1"/>
  <c r="AP65" i="8"/>
  <c r="AO65" i="8"/>
  <c r="AN65" i="8"/>
  <c r="AL65" i="8"/>
  <c r="AJ65" i="8"/>
  <c r="AI65" i="8"/>
  <c r="AH65" i="8"/>
  <c r="AG65" i="8"/>
  <c r="AF65" i="8"/>
  <c r="AE65" i="8"/>
  <c r="AD65" i="8"/>
  <c r="Y65" i="8"/>
  <c r="X65" i="8"/>
  <c r="W65" i="8"/>
  <c r="V65" i="8"/>
  <c r="T65" i="8"/>
  <c r="S65" i="8"/>
  <c r="R65" i="8"/>
  <c r="Q65" i="8"/>
  <c r="P65" i="8"/>
  <c r="O65" i="8"/>
  <c r="L65" i="6"/>
  <c r="L65" i="8" s="1"/>
  <c r="K65" i="6"/>
  <c r="K65" i="8" s="1"/>
  <c r="E65" i="6"/>
  <c r="AP64" i="8"/>
  <c r="AO64" i="8"/>
  <c r="AN64" i="8"/>
  <c r="AL64" i="8"/>
  <c r="AJ64" i="8"/>
  <c r="AH64" i="8"/>
  <c r="AG64" i="8"/>
  <c r="AE64" i="8"/>
  <c r="AC64" i="8"/>
  <c r="AB64" i="8"/>
  <c r="Y64" i="8"/>
  <c r="W64" i="8"/>
  <c r="V64" i="8"/>
  <c r="U64" i="8"/>
  <c r="T64" i="8"/>
  <c r="R64" i="8"/>
  <c r="Q64" i="8"/>
  <c r="P64" i="8"/>
  <c r="O64" i="8"/>
  <c r="L64" i="6"/>
  <c r="L64" i="8" s="1"/>
  <c r="H64" i="6"/>
  <c r="AP63" i="8"/>
  <c r="AO63" i="8"/>
  <c r="AN63" i="8"/>
  <c r="AL63" i="8"/>
  <c r="AJ63" i="8"/>
  <c r="AI63" i="8"/>
  <c r="AH63" i="8"/>
  <c r="AG63" i="8"/>
  <c r="AF63" i="8"/>
  <c r="AE63" i="8"/>
  <c r="AD63" i="8"/>
  <c r="AC63" i="8"/>
  <c r="AB63" i="8"/>
  <c r="Z63" i="8"/>
  <c r="Y63" i="8"/>
  <c r="X63" i="8"/>
  <c r="W63" i="8"/>
  <c r="U63" i="8"/>
  <c r="T63" i="8"/>
  <c r="S63" i="8"/>
  <c r="R63" i="8"/>
  <c r="Q63" i="8"/>
  <c r="P63" i="8"/>
  <c r="O63" i="8"/>
  <c r="L63" i="6"/>
  <c r="L63" i="8" s="1"/>
  <c r="K63" i="6"/>
  <c r="F63" i="6"/>
  <c r="F63" i="8" s="1"/>
  <c r="AP62" i="8"/>
  <c r="AO62" i="8"/>
  <c r="AN62" i="8"/>
  <c r="AL62" i="8"/>
  <c r="AJ62" i="8"/>
  <c r="AI62" i="8"/>
  <c r="AH62" i="8"/>
  <c r="AG62" i="8"/>
  <c r="AF62" i="8"/>
  <c r="AE62" i="8"/>
  <c r="AD62" i="8"/>
  <c r="AC62" i="8"/>
  <c r="Z62" i="8"/>
  <c r="Y62" i="8"/>
  <c r="V62" i="8"/>
  <c r="U62" i="8"/>
  <c r="T62" i="8"/>
  <c r="S62" i="8"/>
  <c r="R62" i="8"/>
  <c r="Q62" i="8"/>
  <c r="P62" i="8"/>
  <c r="O62" i="8"/>
  <c r="N62" i="8"/>
  <c r="L62" i="6"/>
  <c r="L62" i="8" s="1"/>
  <c r="K62" i="6"/>
  <c r="K62" i="8" s="1"/>
  <c r="AP61" i="8"/>
  <c r="AO61" i="8"/>
  <c r="AN61" i="8"/>
  <c r="AL61" i="8"/>
  <c r="AJ61" i="8"/>
  <c r="AI61" i="8"/>
  <c r="AH61" i="8"/>
  <c r="AG61" i="8"/>
  <c r="AF61" i="8"/>
  <c r="AE61" i="8"/>
  <c r="AD61" i="8"/>
  <c r="Y61" i="8"/>
  <c r="X61" i="8"/>
  <c r="W61" i="8"/>
  <c r="V61" i="8"/>
  <c r="T61" i="8"/>
  <c r="S61" i="8"/>
  <c r="R61" i="8"/>
  <c r="Q61" i="8"/>
  <c r="P61" i="8"/>
  <c r="O61" i="8"/>
  <c r="L61" i="6"/>
  <c r="L61" i="8" s="1"/>
  <c r="K61" i="6"/>
  <c r="AP60" i="8"/>
  <c r="AO60" i="8"/>
  <c r="AN60" i="8"/>
  <c r="AL60" i="8"/>
  <c r="AJ60" i="8"/>
  <c r="AH60" i="8"/>
  <c r="AG60" i="8"/>
  <c r="AE60" i="8"/>
  <c r="AC60" i="8"/>
  <c r="AB60" i="8"/>
  <c r="Y60" i="8"/>
  <c r="W60" i="8"/>
  <c r="V60" i="8"/>
  <c r="U60" i="8"/>
  <c r="T60" i="8"/>
  <c r="R60" i="8"/>
  <c r="Q60" i="8"/>
  <c r="P60" i="8"/>
  <c r="O60" i="8"/>
  <c r="L60" i="6"/>
  <c r="L60" i="8" s="1"/>
  <c r="H60" i="6"/>
  <c r="H60" i="8" s="1"/>
  <c r="AP59" i="8"/>
  <c r="AO59" i="8"/>
  <c r="AN59" i="8"/>
  <c r="AL59" i="8"/>
  <c r="AJ59" i="8"/>
  <c r="AI59" i="8"/>
  <c r="AH59" i="8"/>
  <c r="AG59" i="8"/>
  <c r="AF59" i="8"/>
  <c r="AE59" i="8"/>
  <c r="AD59" i="8"/>
  <c r="AC59" i="8"/>
  <c r="AB59" i="8"/>
  <c r="Z59" i="8"/>
  <c r="Y59" i="8"/>
  <c r="X59" i="8"/>
  <c r="W59" i="8"/>
  <c r="U59" i="8"/>
  <c r="T59" i="8"/>
  <c r="S59" i="8"/>
  <c r="R59" i="8"/>
  <c r="Q59" i="8"/>
  <c r="P59" i="8"/>
  <c r="O59" i="8"/>
  <c r="L59" i="6"/>
  <c r="L59" i="8" s="1"/>
  <c r="K59" i="6"/>
  <c r="F59" i="6"/>
  <c r="AP58" i="8"/>
  <c r="AO58" i="8"/>
  <c r="AN58" i="8"/>
  <c r="AL58" i="8"/>
  <c r="AJ58" i="8"/>
  <c r="AI58" i="8"/>
  <c r="AH58" i="8"/>
  <c r="AG58" i="8"/>
  <c r="AF58" i="8"/>
  <c r="AE58" i="8"/>
  <c r="AD58" i="8"/>
  <c r="AC58" i="8"/>
  <c r="Z58" i="8"/>
  <c r="Y58" i="8"/>
  <c r="V58" i="8"/>
  <c r="U58" i="8"/>
  <c r="T58" i="8"/>
  <c r="S58" i="8"/>
  <c r="R58" i="8"/>
  <c r="Q58" i="8"/>
  <c r="P58" i="8"/>
  <c r="O58" i="8"/>
  <c r="N58" i="8"/>
  <c r="L58" i="6"/>
  <c r="L58" i="8" s="1"/>
  <c r="K58" i="6"/>
  <c r="K58" i="8" s="1"/>
  <c r="F58" i="6"/>
  <c r="F58" i="8" s="1"/>
  <c r="AP57" i="8"/>
  <c r="AO57" i="8"/>
  <c r="AN57" i="8"/>
  <c r="AL57" i="8"/>
  <c r="AJ57" i="8"/>
  <c r="AI57" i="8"/>
  <c r="AH57" i="8"/>
  <c r="AG57" i="8"/>
  <c r="AF57" i="8"/>
  <c r="AE57" i="8"/>
  <c r="AD57" i="8"/>
  <c r="Y57" i="8"/>
  <c r="X57" i="8"/>
  <c r="W57" i="8"/>
  <c r="V57" i="8"/>
  <c r="T57" i="8"/>
  <c r="S57" i="8"/>
  <c r="R57" i="8"/>
  <c r="Q57" i="8"/>
  <c r="P57" i="8"/>
  <c r="O57" i="8"/>
  <c r="L57" i="6"/>
  <c r="L57" i="8" s="1"/>
  <c r="K57" i="6"/>
  <c r="K57" i="8" s="1"/>
  <c r="E57" i="6"/>
  <c r="AP56" i="8"/>
  <c r="AO56" i="8"/>
  <c r="AN56" i="8"/>
  <c r="AL56" i="8"/>
  <c r="AJ56" i="8"/>
  <c r="AH56" i="8"/>
  <c r="AG56" i="8"/>
  <c r="AE56" i="8"/>
  <c r="AC56" i="8"/>
  <c r="AB56" i="8"/>
  <c r="Y56" i="8"/>
  <c r="W56" i="8"/>
  <c r="V56" i="8"/>
  <c r="U56" i="8"/>
  <c r="T56" i="8"/>
  <c r="R56" i="8"/>
  <c r="Q56" i="8"/>
  <c r="P56" i="8"/>
  <c r="O56" i="8"/>
  <c r="C56" i="6"/>
  <c r="L56" i="6"/>
  <c r="H56" i="6"/>
  <c r="AP55" i="8"/>
  <c r="AO55" i="8"/>
  <c r="AN55" i="8"/>
  <c r="AL55" i="8"/>
  <c r="AJ55" i="8"/>
  <c r="AI55" i="8"/>
  <c r="AH55" i="8"/>
  <c r="AG55" i="8"/>
  <c r="AF55" i="8"/>
  <c r="AE55" i="8"/>
  <c r="AC55" i="8"/>
  <c r="AB55" i="8"/>
  <c r="Z55" i="8"/>
  <c r="Y55" i="8"/>
  <c r="X55" i="8"/>
  <c r="W55" i="8"/>
  <c r="U55" i="8"/>
  <c r="T55" i="8"/>
  <c r="S55" i="8"/>
  <c r="R55" i="8"/>
  <c r="Q55" i="8"/>
  <c r="P55" i="8"/>
  <c r="O55" i="8"/>
  <c r="N55" i="8"/>
  <c r="L55" i="6"/>
  <c r="L55" i="8" s="1"/>
  <c r="K55" i="6"/>
  <c r="AP54" i="8"/>
  <c r="AO54" i="8"/>
  <c r="AN54" i="8"/>
  <c r="AL54" i="8"/>
  <c r="AJ54" i="8"/>
  <c r="AI54" i="8"/>
  <c r="AH54" i="8"/>
  <c r="AG54" i="8"/>
  <c r="AF54" i="8"/>
  <c r="AE54" i="8"/>
  <c r="AD54" i="8"/>
  <c r="AC54" i="8"/>
  <c r="Z54" i="8"/>
  <c r="Y54" i="8"/>
  <c r="W54" i="8"/>
  <c r="V54" i="8"/>
  <c r="U54" i="8"/>
  <c r="S54" i="8"/>
  <c r="R54" i="8"/>
  <c r="Q54" i="8"/>
  <c r="P54" i="8"/>
  <c r="O54" i="8"/>
  <c r="N54" i="8"/>
  <c r="L54" i="6"/>
  <c r="L54" i="8" s="1"/>
  <c r="K54" i="6"/>
  <c r="K54" i="8" s="1"/>
  <c r="J54" i="6"/>
  <c r="J54" i="8" s="1"/>
  <c r="AP53" i="8"/>
  <c r="AO53" i="8"/>
  <c r="AN53" i="8"/>
  <c r="AL53" i="8"/>
  <c r="AJ53" i="8"/>
  <c r="AI53" i="8"/>
  <c r="AH53" i="8"/>
  <c r="AG53" i="8"/>
  <c r="AF53" i="8"/>
  <c r="AE53" i="8"/>
  <c r="AD53" i="8"/>
  <c r="Y53" i="8"/>
  <c r="X53" i="8"/>
  <c r="W53" i="8"/>
  <c r="V53" i="8"/>
  <c r="U53" i="8"/>
  <c r="T53" i="8"/>
  <c r="S53" i="8"/>
  <c r="R53" i="8"/>
  <c r="Q53" i="8"/>
  <c r="P53" i="8"/>
  <c r="O53" i="8"/>
  <c r="L53" i="6"/>
  <c r="L53" i="8" s="1"/>
  <c r="K53" i="6"/>
  <c r="K53" i="8" s="1"/>
  <c r="J53" i="6"/>
  <c r="E53" i="6"/>
  <c r="E53" i="8" s="1"/>
  <c r="AP52" i="8"/>
  <c r="AO52" i="8"/>
  <c r="AN52" i="8"/>
  <c r="AL52" i="8"/>
  <c r="AJ52" i="8"/>
  <c r="AI52" i="8"/>
  <c r="AH52" i="8"/>
  <c r="AG52" i="8"/>
  <c r="AE52" i="8"/>
  <c r="AC52" i="8"/>
  <c r="AB52" i="8"/>
  <c r="Y52" i="8"/>
  <c r="W52" i="8"/>
  <c r="V52" i="8"/>
  <c r="U52" i="8"/>
  <c r="T52" i="8"/>
  <c r="R52" i="8"/>
  <c r="Q52" i="8"/>
  <c r="P52" i="8"/>
  <c r="O52" i="8"/>
  <c r="N52" i="8"/>
  <c r="L52" i="6"/>
  <c r="L52" i="8" s="1"/>
  <c r="K52" i="6"/>
  <c r="K52" i="8" s="1"/>
  <c r="AP51" i="8"/>
  <c r="AO51" i="8"/>
  <c r="AN51" i="8"/>
  <c r="AL51" i="8"/>
  <c r="AJ51" i="8"/>
  <c r="AI51" i="8"/>
  <c r="AH51" i="8"/>
  <c r="AG51" i="8"/>
  <c r="AF51" i="8"/>
  <c r="AE51" i="8"/>
  <c r="AC51" i="8"/>
  <c r="AB51" i="8"/>
  <c r="Z51" i="8"/>
  <c r="Y51" i="8"/>
  <c r="X51" i="8"/>
  <c r="W51" i="8"/>
  <c r="U51" i="8"/>
  <c r="T51" i="8"/>
  <c r="S51" i="8"/>
  <c r="R51" i="8"/>
  <c r="Q51" i="8"/>
  <c r="P51" i="8"/>
  <c r="O51" i="8"/>
  <c r="N51" i="8"/>
  <c r="L51" i="6"/>
  <c r="L51" i="8" s="1"/>
  <c r="K51" i="6"/>
  <c r="K51" i="8" s="1"/>
  <c r="AP50" i="8"/>
  <c r="AO50" i="8"/>
  <c r="AN50" i="8"/>
  <c r="AL50" i="8"/>
  <c r="AJ50" i="8"/>
  <c r="AI50" i="8"/>
  <c r="AH50" i="8"/>
  <c r="AG50" i="8"/>
  <c r="AF50" i="8"/>
  <c r="AE50" i="8"/>
  <c r="AD50" i="8"/>
  <c r="AB50" i="8"/>
  <c r="Z50" i="8"/>
  <c r="Y50" i="8"/>
  <c r="W50" i="8"/>
  <c r="U50" i="8"/>
  <c r="T50" i="8"/>
  <c r="S50" i="8"/>
  <c r="R50" i="8"/>
  <c r="Q50" i="8"/>
  <c r="P50" i="8"/>
  <c r="O50" i="8"/>
  <c r="N50" i="8"/>
  <c r="L50" i="6"/>
  <c r="L50" i="8" s="1"/>
  <c r="K50" i="6"/>
  <c r="K50" i="8" s="1"/>
  <c r="J50" i="6"/>
  <c r="AP49" i="8"/>
  <c r="AO49" i="8"/>
  <c r="AN49" i="8"/>
  <c r="AL49" i="8"/>
  <c r="AJ49" i="8"/>
  <c r="AI49" i="8"/>
  <c r="AH49" i="8"/>
  <c r="AG49" i="8"/>
  <c r="AF49" i="8"/>
  <c r="AE49" i="8"/>
  <c r="AD49" i="8"/>
  <c r="Y49" i="8"/>
  <c r="W49" i="8"/>
  <c r="V49" i="8"/>
  <c r="U49" i="8"/>
  <c r="S49" i="8"/>
  <c r="R49" i="8"/>
  <c r="Q49" i="8"/>
  <c r="O49" i="8"/>
  <c r="N49" i="8"/>
  <c r="L49" i="6"/>
  <c r="L49" i="8" s="1"/>
  <c r="K49" i="6"/>
  <c r="AP48" i="8"/>
  <c r="AO48" i="8"/>
  <c r="AN48" i="8"/>
  <c r="AL48" i="8"/>
  <c r="AH48" i="8"/>
  <c r="AG48" i="8"/>
  <c r="AF48" i="8"/>
  <c r="AE48" i="8"/>
  <c r="AC48" i="8"/>
  <c r="Y48" i="8"/>
  <c r="W48" i="8"/>
  <c r="V48" i="8"/>
  <c r="U48" i="8"/>
  <c r="T48" i="8"/>
  <c r="R48" i="8"/>
  <c r="Q48" i="8"/>
  <c r="P48" i="8"/>
  <c r="O48" i="8"/>
  <c r="C48" i="6"/>
  <c r="J48" i="6"/>
  <c r="J48" i="8" s="1"/>
  <c r="AP47" i="8"/>
  <c r="AO47" i="8"/>
  <c r="AN47" i="8"/>
  <c r="AL47" i="8"/>
  <c r="AJ47" i="8"/>
  <c r="AH47" i="8"/>
  <c r="AG47" i="8"/>
  <c r="AE47" i="8"/>
  <c r="AC47" i="8"/>
  <c r="AB47" i="8"/>
  <c r="Z47" i="8"/>
  <c r="Y47" i="8"/>
  <c r="X47" i="8"/>
  <c r="W47" i="8"/>
  <c r="V47" i="8"/>
  <c r="U47" i="8"/>
  <c r="S47" i="8"/>
  <c r="R47" i="8"/>
  <c r="Q47" i="8"/>
  <c r="P47" i="8"/>
  <c r="O47" i="8"/>
  <c r="N47" i="8"/>
  <c r="L47" i="6"/>
  <c r="L47" i="8" s="1"/>
  <c r="H47" i="6"/>
  <c r="H47" i="8" s="1"/>
  <c r="AP46" i="8"/>
  <c r="AO46" i="8"/>
  <c r="AN46" i="8"/>
  <c r="AL46" i="8"/>
  <c r="AH46" i="8"/>
  <c r="AG46" i="8"/>
  <c r="AF46" i="8"/>
  <c r="AE46" i="8"/>
  <c r="AD46" i="8"/>
  <c r="AC46" i="8"/>
  <c r="Y46" i="8"/>
  <c r="W46" i="8"/>
  <c r="V46" i="8"/>
  <c r="U46" i="8"/>
  <c r="S46" i="8"/>
  <c r="R46" i="8"/>
  <c r="Q46" i="8"/>
  <c r="P46" i="8"/>
  <c r="O46" i="8"/>
  <c r="N46" i="8"/>
  <c r="AP45" i="8"/>
  <c r="AO45" i="8"/>
  <c r="AN45" i="8"/>
  <c r="AL45" i="8"/>
  <c r="AJ45" i="8"/>
  <c r="AI45" i="8"/>
  <c r="AH45" i="8"/>
  <c r="AG45" i="8"/>
  <c r="AE45" i="8"/>
  <c r="AD45" i="8"/>
  <c r="AC45" i="8"/>
  <c r="Y45" i="8"/>
  <c r="W45" i="8"/>
  <c r="U45" i="8"/>
  <c r="T45" i="8"/>
  <c r="S45" i="8"/>
  <c r="R45" i="8"/>
  <c r="Q45" i="8"/>
  <c r="P45" i="8"/>
  <c r="O45" i="8"/>
  <c r="L45" i="6"/>
  <c r="L45" i="8" s="1"/>
  <c r="AP44" i="8"/>
  <c r="AO44" i="8"/>
  <c r="AN44" i="8"/>
  <c r="AL44" i="8"/>
  <c r="AJ44" i="8"/>
  <c r="AI44" i="8"/>
  <c r="AH44" i="8"/>
  <c r="AG44" i="8"/>
  <c r="AE44" i="8"/>
  <c r="AC44" i="8"/>
  <c r="Y44" i="8"/>
  <c r="W44" i="8"/>
  <c r="V44" i="8"/>
  <c r="U44" i="8"/>
  <c r="T44" i="8"/>
  <c r="S44" i="8"/>
  <c r="R44" i="8"/>
  <c r="Q44" i="8"/>
  <c r="O44" i="8"/>
  <c r="N44" i="8"/>
  <c r="L44" i="6"/>
  <c r="L44" i="8" s="1"/>
  <c r="K44" i="6"/>
  <c r="K44" i="8" s="1"/>
  <c r="D44" i="6"/>
  <c r="D44" i="8" s="1"/>
  <c r="AP43" i="8"/>
  <c r="AO43" i="8"/>
  <c r="AN43" i="8"/>
  <c r="AL43" i="8"/>
  <c r="AI43" i="8"/>
  <c r="AH43" i="8"/>
  <c r="AG43" i="8"/>
  <c r="AE43" i="8"/>
  <c r="AD43" i="8"/>
  <c r="AC43" i="8"/>
  <c r="AB43" i="8"/>
  <c r="Y43" i="8"/>
  <c r="X43" i="8"/>
  <c r="W43" i="8"/>
  <c r="V43" i="8"/>
  <c r="U43" i="8"/>
  <c r="T43" i="8"/>
  <c r="S43" i="8"/>
  <c r="R43" i="8"/>
  <c r="Q43" i="8"/>
  <c r="P43" i="8"/>
  <c r="O43" i="8"/>
  <c r="N43" i="8"/>
  <c r="K43" i="6"/>
  <c r="K43" i="8" s="1"/>
  <c r="AP42" i="8"/>
  <c r="AO42" i="8"/>
  <c r="AN42" i="8"/>
  <c r="AL42" i="8"/>
  <c r="AJ42" i="8"/>
  <c r="AI42" i="8"/>
  <c r="AG42" i="8"/>
  <c r="AF42" i="8"/>
  <c r="AE42" i="8"/>
  <c r="AD42" i="8"/>
  <c r="AC42" i="8"/>
  <c r="Y42" i="8"/>
  <c r="W42" i="8"/>
  <c r="V42" i="8"/>
  <c r="U42" i="8"/>
  <c r="S42" i="8"/>
  <c r="R42" i="8"/>
  <c r="Q42" i="8"/>
  <c r="P42" i="8"/>
  <c r="O42" i="8"/>
  <c r="N42" i="8"/>
  <c r="L42" i="6"/>
  <c r="L42" i="8" s="1"/>
  <c r="K42" i="6"/>
  <c r="K42" i="8" s="1"/>
  <c r="AP41" i="8"/>
  <c r="AO41" i="8"/>
  <c r="AN41" i="8"/>
  <c r="AL41" i="8"/>
  <c r="AJ41" i="8"/>
  <c r="AI41" i="8"/>
  <c r="AH41" i="8"/>
  <c r="AG41" i="8"/>
  <c r="AE41" i="8"/>
  <c r="AD41" i="8"/>
  <c r="AC41" i="8"/>
  <c r="Z41" i="8"/>
  <c r="Y41" i="8"/>
  <c r="W41" i="8"/>
  <c r="V41" i="8"/>
  <c r="U41" i="8"/>
  <c r="T41" i="8"/>
  <c r="S41" i="8"/>
  <c r="R41" i="8"/>
  <c r="Q41" i="8"/>
  <c r="P41" i="8"/>
  <c r="O41" i="8"/>
  <c r="L41" i="6"/>
  <c r="L41" i="8" s="1"/>
  <c r="K41" i="6"/>
  <c r="K41" i="8" s="1"/>
  <c r="F41" i="6"/>
  <c r="F41" i="8" s="1"/>
  <c r="AP40" i="8"/>
  <c r="AO40" i="8"/>
  <c r="AN40" i="8"/>
  <c r="AL40" i="8"/>
  <c r="AH40" i="8"/>
  <c r="AG40" i="8"/>
  <c r="AF40" i="8"/>
  <c r="AE40" i="8"/>
  <c r="AC40" i="8"/>
  <c r="AB40" i="8"/>
  <c r="Y40" i="8"/>
  <c r="W40" i="8"/>
  <c r="V40" i="8"/>
  <c r="U40" i="8"/>
  <c r="T40" i="8"/>
  <c r="R40" i="8"/>
  <c r="Q40" i="8"/>
  <c r="P40" i="8"/>
  <c r="N40" i="8"/>
  <c r="J40" i="6"/>
  <c r="J40" i="8" s="1"/>
  <c r="H40" i="6"/>
  <c r="H40" i="8" s="1"/>
  <c r="AP39" i="8"/>
  <c r="AO39" i="8"/>
  <c r="AN39" i="8"/>
  <c r="AL39" i="8"/>
  <c r="AI39" i="8"/>
  <c r="AH39" i="8"/>
  <c r="AG39" i="8"/>
  <c r="AF39" i="8"/>
  <c r="AE39" i="8"/>
  <c r="AD39" i="8"/>
  <c r="Z39" i="8"/>
  <c r="Y39" i="8"/>
  <c r="X39" i="8"/>
  <c r="W39" i="8"/>
  <c r="V39" i="8"/>
  <c r="T39" i="8"/>
  <c r="S39" i="8"/>
  <c r="R39" i="8"/>
  <c r="Q39" i="8"/>
  <c r="P39" i="8"/>
  <c r="O39" i="8"/>
  <c r="K39" i="6"/>
  <c r="K39" i="8" s="1"/>
  <c r="F39" i="6"/>
  <c r="F39" i="8" s="1"/>
  <c r="E39" i="6"/>
  <c r="E39" i="8" s="1"/>
  <c r="AP38" i="8"/>
  <c r="AO38" i="8"/>
  <c r="AN38" i="8"/>
  <c r="AL38" i="8"/>
  <c r="AJ38" i="8"/>
  <c r="AI38" i="8"/>
  <c r="AH38" i="8"/>
  <c r="AG38" i="8"/>
  <c r="AF38" i="8"/>
  <c r="AE38" i="8"/>
  <c r="AD38" i="8"/>
  <c r="AC38" i="8"/>
  <c r="AB38" i="8"/>
  <c r="Y38" i="8"/>
  <c r="X38" i="8"/>
  <c r="W38" i="8"/>
  <c r="V38" i="8"/>
  <c r="U38" i="8"/>
  <c r="T38" i="8"/>
  <c r="R38" i="8"/>
  <c r="Q38" i="8"/>
  <c r="P38" i="8"/>
  <c r="O38" i="8"/>
  <c r="L38" i="6"/>
  <c r="L38" i="8" s="1"/>
  <c r="H38" i="6"/>
  <c r="H38" i="8" s="1"/>
  <c r="E38" i="6"/>
  <c r="E38" i="8" s="1"/>
  <c r="AP37" i="8"/>
  <c r="AO37" i="8"/>
  <c r="AN37" i="8"/>
  <c r="AL37" i="8"/>
  <c r="AJ37" i="8"/>
  <c r="AI37" i="8"/>
  <c r="AH37" i="8"/>
  <c r="AG37" i="8"/>
  <c r="AE37" i="8"/>
  <c r="AD37" i="8"/>
  <c r="AB37" i="8"/>
  <c r="Z37" i="8"/>
  <c r="Y37" i="8"/>
  <c r="W37" i="8"/>
  <c r="V37" i="8"/>
  <c r="U37" i="8"/>
  <c r="T37" i="8"/>
  <c r="R37" i="8"/>
  <c r="Q37" i="8"/>
  <c r="P37" i="8"/>
  <c r="O37" i="8"/>
  <c r="L37" i="6"/>
  <c r="L37" i="8" s="1"/>
  <c r="H37" i="6"/>
  <c r="H37" i="8" s="1"/>
  <c r="F37" i="6"/>
  <c r="F37" i="8" s="1"/>
  <c r="AP36" i="8"/>
  <c r="AO36" i="8"/>
  <c r="AN36" i="8"/>
  <c r="AL36" i="8"/>
  <c r="AI36" i="8"/>
  <c r="AH36" i="8"/>
  <c r="AG36" i="8"/>
  <c r="AF36" i="8"/>
  <c r="AE36" i="8"/>
  <c r="AD36" i="8"/>
  <c r="AC36" i="8"/>
  <c r="Y36" i="8"/>
  <c r="X36" i="8"/>
  <c r="W36" i="8"/>
  <c r="V36" i="8"/>
  <c r="U36" i="8"/>
  <c r="T36" i="8"/>
  <c r="R36" i="8"/>
  <c r="Q36" i="8"/>
  <c r="P36" i="8"/>
  <c r="O36" i="8"/>
  <c r="N36" i="8"/>
  <c r="AP35" i="8"/>
  <c r="AO35" i="8"/>
  <c r="AN35" i="8"/>
  <c r="AL35" i="8"/>
  <c r="AI35" i="8"/>
  <c r="AH35" i="8"/>
  <c r="AG35" i="8"/>
  <c r="AE35" i="8"/>
  <c r="AD35" i="8"/>
  <c r="AC35" i="8"/>
  <c r="AB35" i="8"/>
  <c r="Z35" i="8"/>
  <c r="Y35" i="8"/>
  <c r="W35" i="8"/>
  <c r="V35" i="8"/>
  <c r="T35" i="8"/>
  <c r="S35" i="8"/>
  <c r="R35" i="8"/>
  <c r="Q35" i="8"/>
  <c r="P35" i="8"/>
  <c r="N35" i="8"/>
  <c r="H35" i="6"/>
  <c r="H35" i="8" s="1"/>
  <c r="F35" i="6"/>
  <c r="F35" i="8" s="1"/>
  <c r="AP34" i="8"/>
  <c r="AO34" i="8"/>
  <c r="AN34" i="8"/>
  <c r="AL34" i="8"/>
  <c r="AJ34" i="8"/>
  <c r="AI34" i="8"/>
  <c r="AH34" i="8"/>
  <c r="AG34" i="8"/>
  <c r="AF34" i="8"/>
  <c r="AE34" i="8"/>
  <c r="AD34" i="8"/>
  <c r="AC34" i="8"/>
  <c r="Y34" i="8"/>
  <c r="X34" i="8"/>
  <c r="W34" i="8"/>
  <c r="U34" i="8"/>
  <c r="T34" i="8"/>
  <c r="S34" i="8"/>
  <c r="R34" i="8"/>
  <c r="Q34" i="8"/>
  <c r="P34" i="8"/>
  <c r="O34" i="8"/>
  <c r="L34" i="6"/>
  <c r="L34" i="8" s="1"/>
  <c r="AP33" i="8"/>
  <c r="AO33" i="8"/>
  <c r="AN33" i="8"/>
  <c r="AL33" i="8"/>
  <c r="AI33" i="8"/>
  <c r="AH33" i="8"/>
  <c r="AG33" i="8"/>
  <c r="AF33" i="8"/>
  <c r="AE33" i="8"/>
  <c r="AD33" i="8"/>
  <c r="AC33" i="8"/>
  <c r="AB33" i="8"/>
  <c r="X33" i="8"/>
  <c r="W33" i="8"/>
  <c r="V33" i="8"/>
  <c r="U33" i="8"/>
  <c r="T33" i="8"/>
  <c r="R33" i="8"/>
  <c r="Q33" i="8"/>
  <c r="P33" i="8"/>
  <c r="O33" i="8"/>
  <c r="K33" i="6"/>
  <c r="K33" i="8" s="1"/>
  <c r="H33" i="6"/>
  <c r="H33" i="8" s="1"/>
  <c r="AP32" i="8"/>
  <c r="AO32" i="8"/>
  <c r="AN32" i="8"/>
  <c r="AL32" i="8"/>
  <c r="AH32" i="8"/>
  <c r="AG32" i="8"/>
  <c r="AE32" i="8"/>
  <c r="AC32" i="8"/>
  <c r="Z32" i="8"/>
  <c r="Y32" i="8"/>
  <c r="V32" i="8"/>
  <c r="U32" i="8"/>
  <c r="T32" i="8"/>
  <c r="S32" i="8"/>
  <c r="R32" i="8"/>
  <c r="Q32" i="8"/>
  <c r="P32" i="8"/>
  <c r="O32" i="8"/>
  <c r="F32" i="6"/>
  <c r="F32" i="8" s="1"/>
  <c r="AP31" i="8"/>
  <c r="AO31" i="8"/>
  <c r="AN31" i="8"/>
  <c r="AL31" i="8"/>
  <c r="AJ31" i="8"/>
  <c r="AI31" i="8"/>
  <c r="AH31" i="8"/>
  <c r="AG31" i="8"/>
  <c r="AD31" i="8"/>
  <c r="AC31" i="8"/>
  <c r="Y31" i="8"/>
  <c r="W31" i="8"/>
  <c r="V31" i="8"/>
  <c r="U31" i="8"/>
  <c r="S31" i="8"/>
  <c r="R31" i="8"/>
  <c r="Q31" i="8"/>
  <c r="P31" i="8"/>
  <c r="N31" i="8"/>
  <c r="K31" i="6"/>
  <c r="K31" i="8" s="1"/>
  <c r="AP30" i="8"/>
  <c r="AO30" i="8"/>
  <c r="AN30" i="8"/>
  <c r="AL30" i="8"/>
  <c r="AJ30" i="8"/>
  <c r="AI30" i="8"/>
  <c r="AG30" i="8"/>
  <c r="AF30" i="8"/>
  <c r="AE30" i="8"/>
  <c r="AD30" i="8"/>
  <c r="AC30" i="8"/>
  <c r="Y30" i="8"/>
  <c r="W30" i="8"/>
  <c r="V30" i="8"/>
  <c r="U30" i="8"/>
  <c r="T30" i="8"/>
  <c r="R30" i="8"/>
  <c r="Q30" i="8"/>
  <c r="P30" i="8"/>
  <c r="O30" i="8"/>
  <c r="L30" i="6"/>
  <c r="L30" i="8" s="1"/>
  <c r="AP29" i="8"/>
  <c r="AO29" i="8"/>
  <c r="AN29" i="8"/>
  <c r="AL29" i="8"/>
  <c r="AJ29" i="8"/>
  <c r="AI29" i="8"/>
  <c r="AH29" i="8"/>
  <c r="AG29" i="8"/>
  <c r="AE29" i="8"/>
  <c r="AD29" i="8"/>
  <c r="AB29" i="8"/>
  <c r="Z29" i="8"/>
  <c r="Y29" i="8"/>
  <c r="W29" i="8"/>
  <c r="U29" i="8"/>
  <c r="T29" i="8"/>
  <c r="S29" i="8"/>
  <c r="R29" i="8"/>
  <c r="Q29" i="8"/>
  <c r="P29" i="8"/>
  <c r="O29" i="8"/>
  <c r="L29" i="6"/>
  <c r="L29" i="8" s="1"/>
  <c r="K29" i="6"/>
  <c r="K29" i="8" s="1"/>
  <c r="AP28" i="8"/>
  <c r="AO28" i="8"/>
  <c r="AN28" i="8"/>
  <c r="AL28" i="8"/>
  <c r="AJ28" i="8"/>
  <c r="AI28" i="8"/>
  <c r="AH28" i="8"/>
  <c r="AG28" i="8"/>
  <c r="AF28" i="8"/>
  <c r="AE28" i="8"/>
  <c r="AD28" i="8"/>
  <c r="Z28" i="8"/>
  <c r="Y28" i="8"/>
  <c r="X28" i="8"/>
  <c r="W28" i="8"/>
  <c r="V28" i="8"/>
  <c r="T28" i="8"/>
  <c r="S28" i="8"/>
  <c r="R28" i="8"/>
  <c r="Q28" i="8"/>
  <c r="P28" i="8"/>
  <c r="O28" i="8"/>
  <c r="L28" i="6"/>
  <c r="L28" i="8" s="1"/>
  <c r="K28" i="6"/>
  <c r="K28" i="8" s="1"/>
  <c r="F28" i="6"/>
  <c r="F28" i="8" s="1"/>
  <c r="AP27" i="8"/>
  <c r="AO27" i="8"/>
  <c r="AN27" i="8"/>
  <c r="AL27" i="8"/>
  <c r="AI27" i="8"/>
  <c r="AH27" i="8"/>
  <c r="AG27" i="8"/>
  <c r="AF27" i="8"/>
  <c r="AD27" i="8"/>
  <c r="AC27" i="8"/>
  <c r="Y27" i="8"/>
  <c r="W27" i="8"/>
  <c r="V27" i="8"/>
  <c r="U27" i="8"/>
  <c r="S27" i="8"/>
  <c r="R27" i="8"/>
  <c r="Q27" i="8"/>
  <c r="P27" i="8"/>
  <c r="N27" i="8"/>
  <c r="K27" i="6"/>
  <c r="K27" i="8" s="1"/>
  <c r="AP26" i="8"/>
  <c r="AO26" i="8"/>
  <c r="AN26" i="8"/>
  <c r="AL26" i="8"/>
  <c r="AJ26" i="8"/>
  <c r="AI26" i="8"/>
  <c r="AG26" i="8"/>
  <c r="AF26" i="8"/>
  <c r="AE26" i="8"/>
  <c r="AD26" i="8"/>
  <c r="AC26" i="8"/>
  <c r="AB26" i="8"/>
  <c r="Y26" i="8"/>
  <c r="W26" i="8"/>
  <c r="V26" i="8"/>
  <c r="U26" i="8"/>
  <c r="T26" i="8"/>
  <c r="R26" i="8"/>
  <c r="Q26" i="8"/>
  <c r="P26" i="8"/>
  <c r="O26" i="8"/>
  <c r="K26" i="6"/>
  <c r="K26" i="8" s="1"/>
  <c r="AP25" i="8"/>
  <c r="AO25" i="8"/>
  <c r="AN25" i="8"/>
  <c r="AL25" i="8"/>
  <c r="AJ25" i="8"/>
  <c r="AI25" i="8"/>
  <c r="AH25" i="8"/>
  <c r="AG25" i="8"/>
  <c r="AE25" i="8"/>
  <c r="AD25" i="8"/>
  <c r="AB25" i="8"/>
  <c r="Z25" i="8"/>
  <c r="Y25" i="8"/>
  <c r="W25" i="8"/>
  <c r="U25" i="8"/>
  <c r="T25" i="8"/>
  <c r="S25" i="8"/>
  <c r="R25" i="8"/>
  <c r="Q25" i="8"/>
  <c r="P25" i="8"/>
  <c r="O25" i="8"/>
  <c r="K25" i="6"/>
  <c r="K25" i="8" s="1"/>
  <c r="AP24" i="8"/>
  <c r="AO24" i="8"/>
  <c r="AN24" i="8"/>
  <c r="AL24" i="8"/>
  <c r="AJ24" i="8"/>
  <c r="AI24" i="8"/>
  <c r="AH24" i="8"/>
  <c r="AG24" i="8"/>
  <c r="AF24" i="8"/>
  <c r="AE24" i="8"/>
  <c r="AD24" i="8"/>
  <c r="Z24" i="8"/>
  <c r="Y24" i="8"/>
  <c r="X24" i="8"/>
  <c r="W24" i="8"/>
  <c r="V24" i="8"/>
  <c r="T24" i="8"/>
  <c r="S24" i="8"/>
  <c r="R24" i="8"/>
  <c r="Q24" i="8"/>
  <c r="P24" i="8"/>
  <c r="O24" i="8"/>
  <c r="K24" i="6"/>
  <c r="K24" i="8" s="1"/>
  <c r="F24" i="6"/>
  <c r="F24" i="8" s="1"/>
  <c r="AP23" i="8"/>
  <c r="AO23" i="8"/>
  <c r="AN23" i="8"/>
  <c r="AL23" i="8"/>
  <c r="AI23" i="8"/>
  <c r="AH23" i="8"/>
  <c r="AG23" i="8"/>
  <c r="AF23" i="8"/>
  <c r="AD23" i="8"/>
  <c r="AC23" i="8"/>
  <c r="Y23" i="8"/>
  <c r="W23" i="8"/>
  <c r="V23" i="8"/>
  <c r="U23" i="8"/>
  <c r="S23" i="8"/>
  <c r="R23" i="8"/>
  <c r="Q23" i="8"/>
  <c r="P23" i="8"/>
  <c r="N23" i="8"/>
  <c r="K23" i="6"/>
  <c r="K23" i="8" s="1"/>
  <c r="J23" i="6"/>
  <c r="J23" i="8" s="1"/>
  <c r="AP22" i="8"/>
  <c r="AO22" i="8"/>
  <c r="AN22" i="8"/>
  <c r="AL22" i="8"/>
  <c r="AJ22" i="8"/>
  <c r="AI22" i="8"/>
  <c r="AG22" i="8"/>
  <c r="AF22" i="8"/>
  <c r="AE22" i="8"/>
  <c r="AD22" i="8"/>
  <c r="AC22" i="8"/>
  <c r="AB22" i="8"/>
  <c r="Y22" i="8"/>
  <c r="W22" i="8"/>
  <c r="V22" i="8"/>
  <c r="U22" i="8"/>
  <c r="T22" i="8"/>
  <c r="R22" i="8"/>
  <c r="Q22" i="8"/>
  <c r="P22" i="8"/>
  <c r="O22" i="8"/>
  <c r="I22" i="6"/>
  <c r="H22" i="6"/>
  <c r="H22" i="8" s="1"/>
  <c r="AP21" i="8"/>
  <c r="AO21" i="8"/>
  <c r="AN21" i="8"/>
  <c r="AL21" i="8"/>
  <c r="AJ21" i="8"/>
  <c r="AI21" i="8"/>
  <c r="AH21" i="8"/>
  <c r="AG21" i="8"/>
  <c r="AE21" i="8"/>
  <c r="AD21" i="8"/>
  <c r="AB21" i="8"/>
  <c r="Z21" i="8"/>
  <c r="Y21" i="8"/>
  <c r="W21" i="8"/>
  <c r="U21" i="8"/>
  <c r="T21" i="8"/>
  <c r="S21" i="8"/>
  <c r="R21" i="8"/>
  <c r="Q21" i="8"/>
  <c r="P21" i="8"/>
  <c r="O21" i="8"/>
  <c r="H21" i="6"/>
  <c r="H21" i="8" s="1"/>
  <c r="AP20" i="8"/>
  <c r="AO20" i="8"/>
  <c r="AN20" i="8"/>
  <c r="AL20" i="8"/>
  <c r="AJ20" i="8"/>
  <c r="AI20" i="8"/>
  <c r="AH20" i="8"/>
  <c r="AG20" i="8"/>
  <c r="AF20" i="8"/>
  <c r="AE20" i="8"/>
  <c r="AD20" i="8"/>
  <c r="Z20" i="8"/>
  <c r="Y20" i="8"/>
  <c r="X20" i="8"/>
  <c r="W20" i="8"/>
  <c r="V20" i="8"/>
  <c r="T20" i="8"/>
  <c r="S20" i="8"/>
  <c r="R20" i="8"/>
  <c r="Q20" i="8"/>
  <c r="P20" i="8"/>
  <c r="O20" i="8"/>
  <c r="F20" i="6"/>
  <c r="F20" i="8" s="1"/>
  <c r="E20" i="6"/>
  <c r="E20" i="8" s="1"/>
  <c r="AP19" i="8"/>
  <c r="AO19" i="8"/>
  <c r="AN19" i="8"/>
  <c r="AL19" i="8"/>
  <c r="AI19" i="8"/>
  <c r="AH19" i="8"/>
  <c r="AG19" i="8"/>
  <c r="AF19" i="8"/>
  <c r="AD19" i="8"/>
  <c r="AC19" i="8"/>
  <c r="Y19" i="8"/>
  <c r="W19" i="8"/>
  <c r="V19" i="8"/>
  <c r="U19" i="8"/>
  <c r="S19" i="8"/>
  <c r="R19" i="8"/>
  <c r="Q19" i="8"/>
  <c r="P19" i="8"/>
  <c r="N19" i="8"/>
  <c r="AP18" i="8"/>
  <c r="AO18" i="8"/>
  <c r="AN18" i="8"/>
  <c r="AL18" i="8"/>
  <c r="AJ18" i="8"/>
  <c r="AI18" i="8"/>
  <c r="AG18" i="8"/>
  <c r="AF18" i="8"/>
  <c r="AE18" i="8"/>
  <c r="AD18" i="8"/>
  <c r="AC18" i="8"/>
  <c r="AB18" i="8"/>
  <c r="Y18" i="8"/>
  <c r="W18" i="8"/>
  <c r="V18" i="8"/>
  <c r="U18" i="8"/>
  <c r="T18" i="8"/>
  <c r="R18" i="8"/>
  <c r="Q18" i="8"/>
  <c r="P18" i="8"/>
  <c r="O18" i="8"/>
  <c r="K18" i="6"/>
  <c r="K18" i="8" s="1"/>
  <c r="I18" i="6"/>
  <c r="H18" i="6"/>
  <c r="H18" i="8" s="1"/>
  <c r="AP17" i="8"/>
  <c r="AO17" i="8"/>
  <c r="AN17" i="8"/>
  <c r="AL17" i="8"/>
  <c r="AJ17" i="8"/>
  <c r="AI17" i="8"/>
  <c r="AH17" i="8"/>
  <c r="AG17" i="8"/>
  <c r="AE17" i="8"/>
  <c r="AD17" i="8"/>
  <c r="AB17" i="8"/>
  <c r="Z17" i="8"/>
  <c r="Y17" i="8"/>
  <c r="W17" i="8"/>
  <c r="V17" i="8"/>
  <c r="U17" i="8"/>
  <c r="S17" i="8"/>
  <c r="R17" i="8"/>
  <c r="Q17" i="8"/>
  <c r="P17" i="8"/>
  <c r="O17" i="8"/>
  <c r="K17" i="6"/>
  <c r="K17" i="8" s="1"/>
  <c r="F17" i="6"/>
  <c r="F17" i="8" s="1"/>
  <c r="AP16" i="8"/>
  <c r="AO16" i="8"/>
  <c r="AN16" i="8"/>
  <c r="AL16" i="8"/>
  <c r="AJ16" i="8"/>
  <c r="AI16" i="8"/>
  <c r="AH16" i="8"/>
  <c r="AG16" i="8"/>
  <c r="AF16" i="8"/>
  <c r="AE16" i="8"/>
  <c r="AD16" i="8"/>
  <c r="Z16" i="8"/>
  <c r="Y16" i="8"/>
  <c r="X16" i="8"/>
  <c r="W16" i="8"/>
  <c r="V16" i="8"/>
  <c r="T16" i="8"/>
  <c r="S16" i="8"/>
  <c r="R16" i="8"/>
  <c r="Q16" i="8"/>
  <c r="P16" i="8"/>
  <c r="O16" i="8"/>
  <c r="K16" i="6"/>
  <c r="K16" i="8" s="1"/>
  <c r="F16" i="6"/>
  <c r="F16" i="8" s="1"/>
  <c r="AP15" i="8"/>
  <c r="AO15" i="8"/>
  <c r="AN15" i="8"/>
  <c r="AL15" i="8"/>
  <c r="AI15" i="8"/>
  <c r="AH15" i="8"/>
  <c r="AG15" i="8"/>
  <c r="AF15" i="8"/>
  <c r="AD15" i="8"/>
  <c r="AC15" i="8"/>
  <c r="Y15" i="8"/>
  <c r="W15" i="8"/>
  <c r="V15" i="8"/>
  <c r="U15" i="8"/>
  <c r="T15" i="8"/>
  <c r="R15" i="8"/>
  <c r="Q15" i="8"/>
  <c r="P15" i="8"/>
  <c r="N15" i="8"/>
  <c r="AP14" i="8"/>
  <c r="AO14" i="8"/>
  <c r="AN14" i="8"/>
  <c r="AL14" i="8"/>
  <c r="AJ14" i="8"/>
  <c r="AI14" i="8"/>
  <c r="AH14" i="8"/>
  <c r="AG14" i="8"/>
  <c r="AE14" i="8"/>
  <c r="AD14" i="8"/>
  <c r="AC14" i="8"/>
  <c r="AB14" i="8"/>
  <c r="Y14" i="8"/>
  <c r="W14" i="8"/>
  <c r="V14" i="8"/>
  <c r="U14" i="8"/>
  <c r="T14" i="8"/>
  <c r="R14" i="8"/>
  <c r="Q14" i="8"/>
  <c r="P14" i="8"/>
  <c r="O14" i="8"/>
  <c r="L14" i="6"/>
  <c r="L14" i="8" s="1"/>
  <c r="K14" i="6"/>
  <c r="K14" i="8" s="1"/>
  <c r="H14" i="6"/>
  <c r="H14" i="8" s="1"/>
  <c r="AP13" i="8"/>
  <c r="AO13" i="8"/>
  <c r="AN13" i="8"/>
  <c r="AL13" i="8"/>
  <c r="AJ13" i="8"/>
  <c r="AI13" i="8"/>
  <c r="AH13" i="8"/>
  <c r="AG13" i="8"/>
  <c r="AE13" i="8"/>
  <c r="AD13" i="8"/>
  <c r="AB13" i="8"/>
  <c r="Z13" i="8"/>
  <c r="Y13" i="8"/>
  <c r="W13" i="8"/>
  <c r="U13" i="8"/>
  <c r="T13" i="8"/>
  <c r="S13" i="8"/>
  <c r="R13" i="8"/>
  <c r="Q13" i="8"/>
  <c r="P13" i="8"/>
  <c r="O13" i="8"/>
  <c r="L13" i="6"/>
  <c r="L13" i="8" s="1"/>
  <c r="K13" i="6"/>
  <c r="K13" i="8" s="1"/>
  <c r="AP12" i="8"/>
  <c r="AO12" i="8"/>
  <c r="AN12" i="8"/>
  <c r="AL12" i="8"/>
  <c r="AJ12" i="8"/>
  <c r="AI12" i="8"/>
  <c r="AH12" i="8"/>
  <c r="AG12" i="8"/>
  <c r="AF12" i="8"/>
  <c r="AE12" i="8"/>
  <c r="AD12" i="8"/>
  <c r="Z12" i="8"/>
  <c r="Y12" i="8"/>
  <c r="X12" i="8"/>
  <c r="W12" i="8"/>
  <c r="V12" i="8"/>
  <c r="U12" i="8"/>
  <c r="T12" i="8"/>
  <c r="S12" i="8"/>
  <c r="R12" i="8"/>
  <c r="Q12" i="8"/>
  <c r="P12" i="8"/>
  <c r="O12" i="8"/>
  <c r="L12" i="6"/>
  <c r="L12" i="8" s="1"/>
  <c r="K12" i="6"/>
  <c r="K12" i="8" s="1"/>
  <c r="E12" i="6"/>
  <c r="E12" i="8" s="1"/>
  <c r="AP11" i="8"/>
  <c r="AO11" i="8"/>
  <c r="AN11" i="8"/>
  <c r="AL11" i="8"/>
  <c r="AJ11" i="8"/>
  <c r="AH11" i="8"/>
  <c r="AG11" i="8"/>
  <c r="AF11" i="8"/>
  <c r="AD11" i="8"/>
  <c r="AC11" i="8"/>
  <c r="Y11" i="8"/>
  <c r="W11" i="8"/>
  <c r="V11" i="8"/>
  <c r="U11" i="8"/>
  <c r="T11" i="8"/>
  <c r="Q11" i="8"/>
  <c r="P11" i="8"/>
  <c r="N11" i="8"/>
  <c r="AP10" i="8"/>
  <c r="AO10" i="8"/>
  <c r="AN10" i="8"/>
  <c r="AL10" i="8"/>
  <c r="AJ10" i="8"/>
  <c r="AI10" i="8"/>
  <c r="AH10" i="8"/>
  <c r="AG10" i="8"/>
  <c r="AE10" i="8"/>
  <c r="AD10" i="8"/>
  <c r="AC10" i="8"/>
  <c r="AB10" i="8"/>
  <c r="Y10" i="8"/>
  <c r="W10" i="8"/>
  <c r="V10" i="8"/>
  <c r="U10" i="8"/>
  <c r="T10" i="8"/>
  <c r="R10" i="8"/>
  <c r="Q10" i="8"/>
  <c r="P10" i="8"/>
  <c r="O10" i="8"/>
  <c r="L10" i="6"/>
  <c r="L10" i="8" s="1"/>
  <c r="K10" i="6"/>
  <c r="K10" i="8" s="1"/>
  <c r="AP9" i="8"/>
  <c r="AO9" i="8"/>
  <c r="AN9" i="8"/>
  <c r="AL9" i="8"/>
  <c r="AJ9" i="8"/>
  <c r="AI9" i="8"/>
  <c r="AH9" i="8"/>
  <c r="AG9" i="8"/>
  <c r="AE9" i="8"/>
  <c r="AD9" i="8"/>
  <c r="AB9" i="8"/>
  <c r="Z9" i="8"/>
  <c r="Y9" i="8"/>
  <c r="W9" i="8"/>
  <c r="U9" i="8"/>
  <c r="T9" i="8"/>
  <c r="S9" i="8"/>
  <c r="R9" i="8"/>
  <c r="Q9" i="8"/>
  <c r="P9" i="8"/>
  <c r="O9" i="8"/>
  <c r="L9" i="6"/>
  <c r="L9" i="8" s="1"/>
  <c r="K9" i="6"/>
  <c r="K9" i="8" s="1"/>
  <c r="F9" i="6"/>
  <c r="F9" i="8" s="1"/>
  <c r="AP8" i="8"/>
  <c r="AO8" i="8"/>
  <c r="AN8" i="8"/>
  <c r="AL8" i="8"/>
  <c r="AI8" i="8"/>
  <c r="AH8" i="8"/>
  <c r="AG8" i="8"/>
  <c r="AF8" i="8"/>
  <c r="AE8" i="8"/>
  <c r="AD8" i="8"/>
  <c r="Z8" i="8"/>
  <c r="Y8" i="8"/>
  <c r="X8" i="8"/>
  <c r="W8" i="8"/>
  <c r="V8" i="8"/>
  <c r="U8" i="8"/>
  <c r="S8" i="8"/>
  <c r="R8" i="8"/>
  <c r="Q8" i="8"/>
  <c r="P8" i="8"/>
  <c r="O8" i="8"/>
  <c r="K8" i="6"/>
  <c r="K8" i="8" s="1"/>
  <c r="F8" i="6"/>
  <c r="F8" i="8" s="1"/>
  <c r="E8" i="6"/>
  <c r="E8" i="8" s="1"/>
  <c r="AP7" i="8"/>
  <c r="AO7" i="8"/>
  <c r="AN7" i="8"/>
  <c r="AL7" i="8"/>
  <c r="AJ7" i="8"/>
  <c r="AG7" i="8"/>
  <c r="AF7" i="8"/>
  <c r="AD7" i="8"/>
  <c r="AC7" i="8"/>
  <c r="Y7" i="8"/>
  <c r="W7" i="8"/>
  <c r="V7" i="8"/>
  <c r="U7" i="8"/>
  <c r="T7" i="8"/>
  <c r="Q7" i="8"/>
  <c r="P7" i="8"/>
  <c r="N7" i="8"/>
  <c r="L7" i="6"/>
  <c r="L7" i="8" s="1"/>
  <c r="AP6" i="8"/>
  <c r="AO6" i="8"/>
  <c r="AN6" i="8"/>
  <c r="AL6" i="8"/>
  <c r="AJ6" i="8"/>
  <c r="AI6" i="8"/>
  <c r="AH6" i="8"/>
  <c r="AG6" i="8"/>
  <c r="AE6" i="8"/>
  <c r="AD6" i="8"/>
  <c r="AC6" i="8"/>
  <c r="AB6" i="8"/>
  <c r="Y6" i="8"/>
  <c r="W6" i="8"/>
  <c r="V6" i="8"/>
  <c r="U6" i="8"/>
  <c r="T6" i="8"/>
  <c r="R6" i="8"/>
  <c r="Q6" i="8"/>
  <c r="P6" i="8"/>
  <c r="O6" i="8"/>
  <c r="L6" i="6"/>
  <c r="L6" i="8" s="1"/>
  <c r="I6" i="6"/>
  <c r="H6" i="6"/>
  <c r="H6" i="8" s="1"/>
  <c r="AP5" i="8"/>
  <c r="AO5" i="8"/>
  <c r="AN5" i="8"/>
  <c r="AL5" i="8"/>
  <c r="AI5" i="8"/>
  <c r="AH5" i="8"/>
  <c r="AG5" i="8"/>
  <c r="AE5" i="8"/>
  <c r="AD5" i="8"/>
  <c r="AB5" i="8"/>
  <c r="Z5" i="8"/>
  <c r="Y5" i="8"/>
  <c r="W5" i="8"/>
  <c r="U5" i="8"/>
  <c r="T5" i="8"/>
  <c r="S5" i="8"/>
  <c r="R5" i="8"/>
  <c r="Q5" i="8"/>
  <c r="P5" i="8"/>
  <c r="O5" i="8"/>
  <c r="H5" i="6"/>
  <c r="H5" i="8" s="1"/>
  <c r="F5" i="6"/>
  <c r="F5" i="8" s="1"/>
  <c r="AP4" i="8"/>
  <c r="AO4" i="8"/>
  <c r="AN4" i="8"/>
  <c r="AL4" i="8"/>
  <c r="AI4" i="8"/>
  <c r="AH4" i="8"/>
  <c r="AG4" i="8"/>
  <c r="AF4" i="8"/>
  <c r="AE4" i="8"/>
  <c r="AD4" i="8"/>
  <c r="Z4" i="8"/>
  <c r="Y4" i="8"/>
  <c r="X4" i="8"/>
  <c r="W4" i="8"/>
  <c r="V4" i="8"/>
  <c r="U4" i="8"/>
  <c r="S4" i="8"/>
  <c r="R4" i="8"/>
  <c r="Q4" i="8"/>
  <c r="P4" i="8"/>
  <c r="O4" i="8"/>
  <c r="K4" i="6"/>
  <c r="K4" i="8" s="1"/>
  <c r="F4" i="6"/>
  <c r="F4" i="8" s="1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  <c r="J104" i="4"/>
  <c r="K104" i="4" s="1"/>
  <c r="Q104" i="4" s="1"/>
  <c r="F104" i="4"/>
  <c r="J103" i="4"/>
  <c r="K103" i="4" s="1"/>
  <c r="F103" i="4"/>
  <c r="D103" i="4"/>
  <c r="J102" i="4"/>
  <c r="K102" i="4" s="1"/>
  <c r="F102" i="4"/>
  <c r="J101" i="4"/>
  <c r="K101" i="4" s="1"/>
  <c r="F101" i="4"/>
  <c r="D101" i="4"/>
  <c r="J100" i="4"/>
  <c r="K100" i="4" s="1"/>
  <c r="F100" i="4"/>
  <c r="J99" i="4"/>
  <c r="K99" i="4" s="1"/>
  <c r="F99" i="4"/>
  <c r="J98" i="4"/>
  <c r="K98" i="4" s="1"/>
  <c r="F98" i="4"/>
  <c r="J97" i="4"/>
  <c r="K97" i="4" s="1"/>
  <c r="F97" i="4"/>
  <c r="D97" i="4"/>
  <c r="J96" i="4"/>
  <c r="K96" i="4" s="1"/>
  <c r="F96" i="4"/>
  <c r="J95" i="4"/>
  <c r="K95" i="4"/>
  <c r="F95" i="4"/>
  <c r="J94" i="4"/>
  <c r="K94" i="4" s="1"/>
  <c r="F94" i="4"/>
  <c r="J93" i="4"/>
  <c r="K93" i="4" s="1"/>
  <c r="F93" i="4"/>
  <c r="D93" i="4"/>
  <c r="J92" i="4"/>
  <c r="K92" i="4" s="1"/>
  <c r="F92" i="4"/>
  <c r="J91" i="4"/>
  <c r="K91" i="4" s="1"/>
  <c r="F91" i="4"/>
  <c r="J90" i="4"/>
  <c r="K90" i="4" s="1"/>
  <c r="F90" i="4"/>
  <c r="J89" i="4"/>
  <c r="K89" i="4" s="1"/>
  <c r="F89" i="4"/>
  <c r="J88" i="4"/>
  <c r="K88" i="4" s="1"/>
  <c r="F88" i="4"/>
  <c r="D88" i="4"/>
  <c r="J87" i="4"/>
  <c r="K87" i="4" s="1"/>
  <c r="F87" i="4"/>
  <c r="J86" i="4"/>
  <c r="K86" i="4" s="1"/>
  <c r="F86" i="4"/>
  <c r="J85" i="4"/>
  <c r="K85" i="4" s="1"/>
  <c r="F85" i="4"/>
  <c r="D85" i="4"/>
  <c r="J84" i="4"/>
  <c r="K84" i="4" s="1"/>
  <c r="F84" i="4"/>
  <c r="D84" i="4"/>
  <c r="J83" i="4"/>
  <c r="K83" i="4" s="1"/>
  <c r="F83" i="4"/>
  <c r="J82" i="4"/>
  <c r="K82" i="4" s="1"/>
  <c r="F82" i="4"/>
  <c r="J81" i="4"/>
  <c r="K81" i="4" s="1"/>
  <c r="F81" i="4"/>
  <c r="D81" i="4"/>
  <c r="J80" i="4"/>
  <c r="K80" i="4" s="1"/>
  <c r="F80" i="4"/>
  <c r="J79" i="4"/>
  <c r="K79" i="4" s="1"/>
  <c r="F79" i="4"/>
  <c r="J78" i="4"/>
  <c r="K78" i="4" s="1"/>
  <c r="F78" i="4"/>
  <c r="J77" i="4"/>
  <c r="K77" i="4" s="1"/>
  <c r="F77" i="4"/>
  <c r="D77" i="4"/>
  <c r="J76" i="4"/>
  <c r="K76" i="4" s="1"/>
  <c r="F76" i="4"/>
  <c r="D76" i="4"/>
  <c r="J75" i="4"/>
  <c r="K75" i="4" s="1"/>
  <c r="F75" i="4"/>
  <c r="J74" i="4"/>
  <c r="K74" i="4" s="1"/>
  <c r="F74" i="4"/>
  <c r="J73" i="4"/>
  <c r="F73" i="4"/>
  <c r="D73" i="4"/>
  <c r="J72" i="4"/>
  <c r="K72" i="4" s="1"/>
  <c r="F72" i="4"/>
  <c r="J71" i="4"/>
  <c r="K71" i="4" s="1"/>
  <c r="F71" i="4"/>
  <c r="D71" i="4"/>
  <c r="J70" i="4"/>
  <c r="F70" i="4"/>
  <c r="J69" i="4"/>
  <c r="K69" i="4" s="1"/>
  <c r="F69" i="4"/>
  <c r="D69" i="4"/>
  <c r="J68" i="4"/>
  <c r="F68" i="4"/>
  <c r="J67" i="4"/>
  <c r="K67" i="4" s="1"/>
  <c r="F67" i="4"/>
  <c r="J66" i="4"/>
  <c r="K66" i="4" s="1"/>
  <c r="F66" i="4"/>
  <c r="J65" i="4"/>
  <c r="K65" i="4" s="1"/>
  <c r="F65" i="4"/>
  <c r="D65" i="4"/>
  <c r="J64" i="4"/>
  <c r="K64" i="4" s="1"/>
  <c r="F64" i="4"/>
  <c r="J63" i="4"/>
  <c r="K63" i="4" s="1"/>
  <c r="F63" i="4"/>
  <c r="J62" i="4"/>
  <c r="F62" i="4"/>
  <c r="J61" i="4"/>
  <c r="F61" i="4"/>
  <c r="D61" i="4"/>
  <c r="J60" i="4"/>
  <c r="F60" i="4"/>
  <c r="J59" i="4"/>
  <c r="K59" i="4" s="1"/>
  <c r="F59" i="4"/>
  <c r="J58" i="4"/>
  <c r="K58" i="4" s="1"/>
  <c r="F58" i="4"/>
  <c r="J57" i="4"/>
  <c r="F57" i="4"/>
  <c r="D57" i="4"/>
  <c r="J56" i="4"/>
  <c r="K56" i="4" s="1"/>
  <c r="F56" i="4"/>
  <c r="J55" i="4"/>
  <c r="F55" i="4"/>
  <c r="J54" i="4"/>
  <c r="F54" i="4"/>
  <c r="J53" i="4"/>
  <c r="F53" i="4"/>
  <c r="D53" i="4"/>
  <c r="J52" i="4"/>
  <c r="K52" i="4" s="1"/>
  <c r="Q52" i="4" s="1"/>
  <c r="F52" i="4"/>
  <c r="J51" i="4"/>
  <c r="K51" i="4" s="1"/>
  <c r="L51" i="4" s="1"/>
  <c r="F51" i="4"/>
  <c r="J50" i="4"/>
  <c r="K50" i="4" s="1"/>
  <c r="F50" i="4"/>
  <c r="J49" i="4"/>
  <c r="K49" i="4" s="1"/>
  <c r="F49" i="4"/>
  <c r="D49" i="4"/>
  <c r="J48" i="4"/>
  <c r="F48" i="4"/>
  <c r="J47" i="4"/>
  <c r="K47" i="4" s="1"/>
  <c r="F47" i="4"/>
  <c r="J46" i="4"/>
  <c r="K46" i="4" s="1"/>
  <c r="Q46" i="4" s="1"/>
  <c r="F46" i="4"/>
  <c r="J45" i="4"/>
  <c r="K45" i="4"/>
  <c r="Q45" i="4" s="1"/>
  <c r="F45" i="4"/>
  <c r="J44" i="4"/>
  <c r="F44" i="4"/>
  <c r="J43" i="4"/>
  <c r="K43" i="4" s="1"/>
  <c r="L43" i="4" s="1"/>
  <c r="F43" i="4"/>
  <c r="J42" i="4"/>
  <c r="K42" i="4" s="1"/>
  <c r="F42" i="4"/>
  <c r="J41" i="4"/>
  <c r="K41" i="4" s="1"/>
  <c r="F41" i="4"/>
  <c r="D41" i="4"/>
  <c r="J40" i="4"/>
  <c r="K40" i="4"/>
  <c r="Q40" i="4" s="1"/>
  <c r="F40" i="4"/>
  <c r="J39" i="4"/>
  <c r="K39" i="4" s="1"/>
  <c r="F39" i="4"/>
  <c r="D39" i="4"/>
  <c r="J38" i="4"/>
  <c r="K38" i="4" s="1"/>
  <c r="F38" i="4"/>
  <c r="D38" i="4"/>
  <c r="J37" i="4"/>
  <c r="F37" i="4"/>
  <c r="J36" i="4"/>
  <c r="K36" i="4" s="1"/>
  <c r="Q36" i="4" s="1"/>
  <c r="F36" i="4"/>
  <c r="J35" i="4"/>
  <c r="F35" i="4"/>
  <c r="D35" i="4"/>
  <c r="J34" i="4"/>
  <c r="K34" i="4" s="1"/>
  <c r="Q34" i="4" s="1"/>
  <c r="F34" i="4"/>
  <c r="J33" i="4"/>
  <c r="K33" i="4" s="1"/>
  <c r="F33" i="4"/>
  <c r="D33" i="4"/>
  <c r="J32" i="4"/>
  <c r="K32" i="4" s="1"/>
  <c r="Q32" i="4" s="1"/>
  <c r="F32" i="4"/>
  <c r="D32" i="4"/>
  <c r="J31" i="4"/>
  <c r="F31" i="4"/>
  <c r="J30" i="4"/>
  <c r="K30" i="4" s="1"/>
  <c r="Q30" i="4" s="1"/>
  <c r="F30" i="4"/>
  <c r="J29" i="4"/>
  <c r="F29" i="4"/>
  <c r="D29" i="4"/>
  <c r="K28" i="4"/>
  <c r="Q28" i="4" s="1"/>
  <c r="J28" i="4"/>
  <c r="F28" i="4"/>
  <c r="D28" i="4"/>
  <c r="J27" i="4"/>
  <c r="K27" i="4" s="1"/>
  <c r="Q27" i="4" s="1"/>
  <c r="F27" i="4"/>
  <c r="D27" i="4"/>
  <c r="J26" i="4"/>
  <c r="F26" i="4"/>
  <c r="J25" i="4"/>
  <c r="F25" i="4"/>
  <c r="J24" i="4"/>
  <c r="F24" i="4"/>
  <c r="D24" i="4"/>
  <c r="J23" i="4"/>
  <c r="K23" i="4" s="1"/>
  <c r="P23" i="4"/>
  <c r="F23" i="4"/>
  <c r="D23" i="4"/>
  <c r="J22" i="4"/>
  <c r="F22" i="4"/>
  <c r="J21" i="4"/>
  <c r="K21" i="4" s="1"/>
  <c r="Q21" i="4" s="1"/>
  <c r="F21" i="4"/>
  <c r="J20" i="4"/>
  <c r="P20" i="4"/>
  <c r="F20" i="4"/>
  <c r="D20" i="4"/>
  <c r="J19" i="4"/>
  <c r="F19" i="4"/>
  <c r="J18" i="4"/>
  <c r="K18" i="4" s="1"/>
  <c r="Q18" i="4" s="1"/>
  <c r="F18" i="4"/>
  <c r="J17" i="4"/>
  <c r="F17" i="4"/>
  <c r="J16" i="4"/>
  <c r="P16" i="4"/>
  <c r="F16" i="4"/>
  <c r="J15" i="4"/>
  <c r="K15" i="4" s="1"/>
  <c r="Q15" i="4" s="1"/>
  <c r="F15" i="4"/>
  <c r="J14" i="4"/>
  <c r="F14" i="4"/>
  <c r="J13" i="4"/>
  <c r="P13" i="4"/>
  <c r="F13" i="4"/>
  <c r="J12" i="4"/>
  <c r="P12" i="4"/>
  <c r="F12" i="4"/>
  <c r="J11" i="4"/>
  <c r="F11" i="4"/>
  <c r="J10" i="4"/>
  <c r="P10" i="4"/>
  <c r="F10" i="4"/>
  <c r="D10" i="4"/>
  <c r="J9" i="4"/>
  <c r="P9" i="4"/>
  <c r="F9" i="4"/>
  <c r="J8" i="4"/>
  <c r="K8" i="4" s="1"/>
  <c r="F8" i="4"/>
  <c r="J7" i="4"/>
  <c r="P7" i="4"/>
  <c r="F7" i="4"/>
  <c r="J6" i="4"/>
  <c r="P6" i="4"/>
  <c r="F6" i="4"/>
  <c r="J5" i="4"/>
  <c r="F5" i="4"/>
  <c r="J4" i="4"/>
  <c r="P4" i="4"/>
  <c r="F4" i="4"/>
  <c r="J3" i="4"/>
  <c r="F3" i="4"/>
  <c r="Q104" i="5"/>
  <c r="P104" i="5"/>
  <c r="O104" i="5"/>
  <c r="J104" i="3"/>
  <c r="L104" i="5" s="1"/>
  <c r="K104" i="5"/>
  <c r="I104" i="5"/>
  <c r="F104" i="3"/>
  <c r="C104" i="5"/>
  <c r="Q103" i="5"/>
  <c r="P103" i="5"/>
  <c r="O103" i="5"/>
  <c r="J103" i="3"/>
  <c r="L103" i="5" s="1"/>
  <c r="K103" i="5"/>
  <c r="J103" i="5"/>
  <c r="I103" i="5"/>
  <c r="F103" i="3"/>
  <c r="C103" i="5"/>
  <c r="Q102" i="5"/>
  <c r="P102" i="5"/>
  <c r="O102" i="5"/>
  <c r="J102" i="3"/>
  <c r="L102" i="5" s="1"/>
  <c r="K102" i="5"/>
  <c r="I102" i="5"/>
  <c r="F102" i="3"/>
  <c r="C102" i="5"/>
  <c r="Q101" i="5"/>
  <c r="P101" i="5"/>
  <c r="O101" i="5"/>
  <c r="J101" i="3"/>
  <c r="L101" i="5" s="1"/>
  <c r="K101" i="5"/>
  <c r="J101" i="5"/>
  <c r="I101" i="5"/>
  <c r="F101" i="3"/>
  <c r="C101" i="5"/>
  <c r="Q100" i="5"/>
  <c r="P100" i="5"/>
  <c r="O100" i="5"/>
  <c r="J100" i="3"/>
  <c r="L100" i="5" s="1"/>
  <c r="K100" i="5"/>
  <c r="I100" i="5"/>
  <c r="F100" i="3"/>
  <c r="C100" i="5"/>
  <c r="Q99" i="5"/>
  <c r="P99" i="5"/>
  <c r="O99" i="5"/>
  <c r="J99" i="3"/>
  <c r="L99" i="5" s="1"/>
  <c r="K99" i="5"/>
  <c r="J99" i="5"/>
  <c r="I99" i="5"/>
  <c r="F99" i="3"/>
  <c r="C99" i="5"/>
  <c r="Q98" i="5"/>
  <c r="P98" i="5"/>
  <c r="O98" i="5"/>
  <c r="J98" i="3"/>
  <c r="L98" i="5" s="1"/>
  <c r="K98" i="5"/>
  <c r="I98" i="5"/>
  <c r="F98" i="3"/>
  <c r="C98" i="5"/>
  <c r="Q97" i="5"/>
  <c r="P97" i="5"/>
  <c r="O97" i="5"/>
  <c r="J97" i="3"/>
  <c r="L97" i="5" s="1"/>
  <c r="K97" i="5"/>
  <c r="J97" i="5"/>
  <c r="I97" i="5"/>
  <c r="F97" i="3"/>
  <c r="C97" i="5"/>
  <c r="Q96" i="5"/>
  <c r="P96" i="5"/>
  <c r="O96" i="5"/>
  <c r="J96" i="3"/>
  <c r="L96" i="5" s="1"/>
  <c r="K96" i="5"/>
  <c r="I96" i="5"/>
  <c r="F96" i="3"/>
  <c r="C96" i="5"/>
  <c r="Q95" i="5"/>
  <c r="P95" i="5"/>
  <c r="O95" i="5"/>
  <c r="J95" i="3"/>
  <c r="L95" i="5" s="1"/>
  <c r="K95" i="5"/>
  <c r="J95" i="5"/>
  <c r="I95" i="5"/>
  <c r="F95" i="3"/>
  <c r="C95" i="5"/>
  <c r="Q94" i="5"/>
  <c r="P94" i="5"/>
  <c r="O94" i="5"/>
  <c r="J94" i="3"/>
  <c r="L94" i="5" s="1"/>
  <c r="K94" i="5"/>
  <c r="I94" i="5"/>
  <c r="F94" i="3"/>
  <c r="C94" i="5"/>
  <c r="Q93" i="5"/>
  <c r="P93" i="5"/>
  <c r="O93" i="5"/>
  <c r="J93" i="3"/>
  <c r="L93" i="5" s="1"/>
  <c r="K93" i="5"/>
  <c r="J93" i="5"/>
  <c r="I93" i="5"/>
  <c r="F93" i="3"/>
  <c r="C93" i="5"/>
  <c r="Q92" i="5"/>
  <c r="P92" i="5"/>
  <c r="O92" i="5"/>
  <c r="J92" i="3"/>
  <c r="L92" i="5" s="1"/>
  <c r="K92" i="5"/>
  <c r="I92" i="5"/>
  <c r="F92" i="3"/>
  <c r="C92" i="5"/>
  <c r="Q91" i="5"/>
  <c r="P91" i="5"/>
  <c r="O91" i="5"/>
  <c r="J91" i="3"/>
  <c r="K91" i="5"/>
  <c r="J91" i="5"/>
  <c r="I91" i="5"/>
  <c r="F91" i="3"/>
  <c r="C91" i="5"/>
  <c r="Q90" i="5"/>
  <c r="P90" i="5"/>
  <c r="O90" i="5"/>
  <c r="J90" i="3"/>
  <c r="L90" i="5" s="1"/>
  <c r="K90" i="5"/>
  <c r="I90" i="5"/>
  <c r="F90" i="3"/>
  <c r="C90" i="5"/>
  <c r="Q89" i="5"/>
  <c r="P89" i="5"/>
  <c r="O89" i="5"/>
  <c r="J89" i="3"/>
  <c r="L89" i="5" s="1"/>
  <c r="K89" i="5"/>
  <c r="J89" i="5"/>
  <c r="I89" i="5"/>
  <c r="F89" i="3"/>
  <c r="C89" i="5"/>
  <c r="Q88" i="5"/>
  <c r="P88" i="5"/>
  <c r="O88" i="5"/>
  <c r="J88" i="3"/>
  <c r="L88" i="5" s="1"/>
  <c r="K88" i="5"/>
  <c r="I88" i="5"/>
  <c r="F88" i="3"/>
  <c r="D88" i="3"/>
  <c r="D88" i="5" s="1"/>
  <c r="C88" i="5"/>
  <c r="Q87" i="5"/>
  <c r="P87" i="5"/>
  <c r="O87" i="5"/>
  <c r="J87" i="3"/>
  <c r="L87" i="5" s="1"/>
  <c r="K87" i="5"/>
  <c r="J87" i="5"/>
  <c r="I87" i="5"/>
  <c r="F87" i="3"/>
  <c r="C87" i="5"/>
  <c r="Q86" i="5"/>
  <c r="P86" i="5"/>
  <c r="O86" i="5"/>
  <c r="J86" i="3"/>
  <c r="L86" i="5" s="1"/>
  <c r="K86" i="5"/>
  <c r="I86" i="5"/>
  <c r="F86" i="3"/>
  <c r="C86" i="5"/>
  <c r="Q85" i="5"/>
  <c r="P85" i="5"/>
  <c r="O85" i="5"/>
  <c r="J85" i="3"/>
  <c r="L85" i="5" s="1"/>
  <c r="K85" i="5"/>
  <c r="J85" i="5"/>
  <c r="I85" i="5"/>
  <c r="F85" i="3"/>
  <c r="C85" i="5"/>
  <c r="Q84" i="5"/>
  <c r="P84" i="5"/>
  <c r="O84" i="5"/>
  <c r="J84" i="3"/>
  <c r="K84" i="5"/>
  <c r="J84" i="5"/>
  <c r="I84" i="5"/>
  <c r="F84" i="3"/>
  <c r="C84" i="5"/>
  <c r="Q83" i="5"/>
  <c r="P83" i="5"/>
  <c r="O83" i="5"/>
  <c r="J83" i="3"/>
  <c r="L83" i="5" s="1"/>
  <c r="K83" i="5"/>
  <c r="J83" i="5"/>
  <c r="I83" i="5"/>
  <c r="F83" i="3"/>
  <c r="C83" i="5"/>
  <c r="Q82" i="5"/>
  <c r="P82" i="5"/>
  <c r="O82" i="5"/>
  <c r="J82" i="3"/>
  <c r="L82" i="5" s="1"/>
  <c r="K82" i="5"/>
  <c r="J82" i="5"/>
  <c r="I82" i="5"/>
  <c r="F82" i="3"/>
  <c r="C82" i="5"/>
  <c r="Q81" i="5"/>
  <c r="P81" i="5"/>
  <c r="O81" i="5"/>
  <c r="J81" i="3"/>
  <c r="K81" i="5"/>
  <c r="J81" i="5"/>
  <c r="I81" i="5"/>
  <c r="F81" i="3"/>
  <c r="C81" i="5"/>
  <c r="Q80" i="5"/>
  <c r="P80" i="5"/>
  <c r="O80" i="5"/>
  <c r="J80" i="3"/>
  <c r="L80" i="5" s="1"/>
  <c r="K80" i="5"/>
  <c r="J80" i="5"/>
  <c r="I80" i="5"/>
  <c r="F80" i="3"/>
  <c r="C80" i="5"/>
  <c r="Q79" i="5"/>
  <c r="P79" i="5"/>
  <c r="O79" i="5"/>
  <c r="J79" i="3"/>
  <c r="L79" i="5" s="1"/>
  <c r="K79" i="5"/>
  <c r="J79" i="5"/>
  <c r="I79" i="5"/>
  <c r="F79" i="3"/>
  <c r="C79" i="5"/>
  <c r="Q78" i="5"/>
  <c r="P78" i="5"/>
  <c r="O78" i="5"/>
  <c r="J78" i="3"/>
  <c r="L78" i="5" s="1"/>
  <c r="K78" i="5"/>
  <c r="J78" i="5"/>
  <c r="I78" i="5"/>
  <c r="F78" i="3"/>
  <c r="C78" i="5"/>
  <c r="Q77" i="5"/>
  <c r="P77" i="5"/>
  <c r="O77" i="5"/>
  <c r="J77" i="3"/>
  <c r="L77" i="5" s="1"/>
  <c r="K77" i="5"/>
  <c r="J77" i="5"/>
  <c r="I77" i="5"/>
  <c r="F77" i="3"/>
  <c r="C77" i="5"/>
  <c r="Q76" i="5"/>
  <c r="P76" i="5"/>
  <c r="O76" i="5"/>
  <c r="J76" i="3"/>
  <c r="L76" i="5" s="1"/>
  <c r="K76" i="5"/>
  <c r="J76" i="5"/>
  <c r="I76" i="5"/>
  <c r="F76" i="3"/>
  <c r="C76" i="5"/>
  <c r="Q75" i="5"/>
  <c r="P75" i="5"/>
  <c r="O75" i="5"/>
  <c r="J75" i="3"/>
  <c r="L75" i="5" s="1"/>
  <c r="K75" i="5"/>
  <c r="J75" i="5"/>
  <c r="I75" i="5"/>
  <c r="F75" i="3"/>
  <c r="C75" i="5"/>
  <c r="Q74" i="5"/>
  <c r="P74" i="5"/>
  <c r="O74" i="5"/>
  <c r="J74" i="3"/>
  <c r="L74" i="5" s="1"/>
  <c r="K74" i="5"/>
  <c r="J74" i="5"/>
  <c r="I74" i="5"/>
  <c r="F74" i="3"/>
  <c r="C74" i="5"/>
  <c r="Q73" i="5"/>
  <c r="P73" i="5"/>
  <c r="O73" i="5"/>
  <c r="J73" i="3"/>
  <c r="L73" i="5" s="1"/>
  <c r="K73" i="5"/>
  <c r="J73" i="5"/>
  <c r="I73" i="5"/>
  <c r="F73" i="3"/>
  <c r="C73" i="5"/>
  <c r="Q72" i="5"/>
  <c r="P72" i="5"/>
  <c r="O72" i="5"/>
  <c r="J72" i="3"/>
  <c r="L72" i="5" s="1"/>
  <c r="K72" i="5"/>
  <c r="J72" i="5"/>
  <c r="I72" i="5"/>
  <c r="F72" i="3"/>
  <c r="C72" i="5"/>
  <c r="Q71" i="5"/>
  <c r="P71" i="5"/>
  <c r="O71" i="5"/>
  <c r="J71" i="3"/>
  <c r="L71" i="5" s="1"/>
  <c r="K71" i="5"/>
  <c r="J71" i="5"/>
  <c r="I71" i="5"/>
  <c r="F71" i="3"/>
  <c r="C71" i="5"/>
  <c r="Q70" i="5"/>
  <c r="P70" i="5"/>
  <c r="O70" i="5"/>
  <c r="J70" i="3"/>
  <c r="L70" i="5" s="1"/>
  <c r="K70" i="5"/>
  <c r="J70" i="5"/>
  <c r="I70" i="5"/>
  <c r="F70" i="3"/>
  <c r="C70" i="5"/>
  <c r="Q69" i="5"/>
  <c r="P69" i="5"/>
  <c r="O69" i="5"/>
  <c r="J69" i="3"/>
  <c r="L69" i="5" s="1"/>
  <c r="K69" i="5"/>
  <c r="J69" i="5"/>
  <c r="I69" i="5"/>
  <c r="F69" i="3"/>
  <c r="C69" i="5"/>
  <c r="Q68" i="5"/>
  <c r="P68" i="5"/>
  <c r="O68" i="5"/>
  <c r="J68" i="3"/>
  <c r="K68" i="5"/>
  <c r="J68" i="5"/>
  <c r="I68" i="5"/>
  <c r="F68" i="3"/>
  <c r="C68" i="5"/>
  <c r="Q67" i="5"/>
  <c r="P67" i="5"/>
  <c r="O67" i="5"/>
  <c r="J67" i="3"/>
  <c r="L67" i="5" s="1"/>
  <c r="K67" i="5"/>
  <c r="J67" i="5"/>
  <c r="I67" i="5"/>
  <c r="F67" i="3"/>
  <c r="C67" i="5"/>
  <c r="Q66" i="5"/>
  <c r="P66" i="5"/>
  <c r="O66" i="5"/>
  <c r="J66" i="3"/>
  <c r="L66" i="5" s="1"/>
  <c r="K66" i="5"/>
  <c r="J66" i="5"/>
  <c r="I66" i="5"/>
  <c r="F66" i="3"/>
  <c r="C66" i="5"/>
  <c r="Q65" i="5"/>
  <c r="P65" i="5"/>
  <c r="O65" i="5"/>
  <c r="J65" i="3"/>
  <c r="L65" i="5" s="1"/>
  <c r="K65" i="5"/>
  <c r="J65" i="5"/>
  <c r="I65" i="5"/>
  <c r="F65" i="3"/>
  <c r="C65" i="5"/>
  <c r="Q64" i="5"/>
  <c r="P64" i="5"/>
  <c r="O64" i="5"/>
  <c r="J64" i="3"/>
  <c r="L64" i="5" s="1"/>
  <c r="K64" i="5"/>
  <c r="J64" i="5"/>
  <c r="I64" i="5"/>
  <c r="F64" i="3"/>
  <c r="D64" i="3"/>
  <c r="C64" i="5"/>
  <c r="Q63" i="5"/>
  <c r="P63" i="5"/>
  <c r="O63" i="5"/>
  <c r="J63" i="3"/>
  <c r="L63" i="5" s="1"/>
  <c r="K63" i="5"/>
  <c r="J63" i="5"/>
  <c r="I63" i="5"/>
  <c r="F63" i="3"/>
  <c r="C63" i="5"/>
  <c r="Q62" i="5"/>
  <c r="P62" i="5"/>
  <c r="O62" i="5"/>
  <c r="J62" i="3"/>
  <c r="L62" i="5" s="1"/>
  <c r="K62" i="5"/>
  <c r="J62" i="5"/>
  <c r="I62" i="5"/>
  <c r="F62" i="3"/>
  <c r="C62" i="5"/>
  <c r="Q61" i="5"/>
  <c r="P61" i="5"/>
  <c r="O61" i="5"/>
  <c r="J61" i="3"/>
  <c r="L61" i="5" s="1"/>
  <c r="K61" i="5"/>
  <c r="J61" i="5"/>
  <c r="I61" i="5"/>
  <c r="F61" i="3"/>
  <c r="C61" i="5"/>
  <c r="Q60" i="5"/>
  <c r="P60" i="5"/>
  <c r="O60" i="5"/>
  <c r="J60" i="3"/>
  <c r="L60" i="5" s="1"/>
  <c r="K60" i="5"/>
  <c r="J60" i="5"/>
  <c r="F60" i="3"/>
  <c r="D60" i="3"/>
  <c r="C60" i="5"/>
  <c r="Q59" i="5"/>
  <c r="P59" i="5"/>
  <c r="O59" i="5"/>
  <c r="J59" i="3"/>
  <c r="L59" i="5" s="1"/>
  <c r="K59" i="5"/>
  <c r="J59" i="5"/>
  <c r="I59" i="5"/>
  <c r="F59" i="3"/>
  <c r="C59" i="5"/>
  <c r="Q58" i="5"/>
  <c r="P58" i="5"/>
  <c r="O58" i="5"/>
  <c r="J58" i="3"/>
  <c r="L58" i="5" s="1"/>
  <c r="K58" i="5"/>
  <c r="J58" i="5"/>
  <c r="F58" i="3"/>
  <c r="C58" i="5"/>
  <c r="Q57" i="5"/>
  <c r="P57" i="5"/>
  <c r="O57" i="5"/>
  <c r="J57" i="3"/>
  <c r="K57" i="5"/>
  <c r="J57" i="5"/>
  <c r="F57" i="3"/>
  <c r="C57" i="5"/>
  <c r="P56" i="3"/>
  <c r="Q56" i="5"/>
  <c r="P56" i="5"/>
  <c r="O56" i="5"/>
  <c r="J56" i="3"/>
  <c r="L56" i="5" s="1"/>
  <c r="K56" i="5"/>
  <c r="F56" i="3"/>
  <c r="D56" i="3"/>
  <c r="C56" i="5"/>
  <c r="Q55" i="5"/>
  <c r="P55" i="5"/>
  <c r="O55" i="5"/>
  <c r="J55" i="3"/>
  <c r="L55" i="5" s="1"/>
  <c r="K55" i="5"/>
  <c r="J55" i="5"/>
  <c r="I55" i="5"/>
  <c r="F55" i="3"/>
  <c r="C55" i="5"/>
  <c r="Q54" i="5"/>
  <c r="P54" i="5"/>
  <c r="O54" i="5"/>
  <c r="J54" i="3"/>
  <c r="L54" i="5" s="1"/>
  <c r="K54" i="5"/>
  <c r="J54" i="5"/>
  <c r="I54" i="5"/>
  <c r="F54" i="3"/>
  <c r="C54" i="5"/>
  <c r="Q53" i="5"/>
  <c r="P53" i="5"/>
  <c r="O53" i="5"/>
  <c r="J53" i="3"/>
  <c r="L53" i="5" s="1"/>
  <c r="K53" i="5"/>
  <c r="J53" i="5"/>
  <c r="F53" i="3"/>
  <c r="C53" i="5"/>
  <c r="Q52" i="5"/>
  <c r="P52" i="5"/>
  <c r="O52" i="5"/>
  <c r="J52" i="3"/>
  <c r="L52" i="5" s="1"/>
  <c r="J52" i="5"/>
  <c r="F52" i="3"/>
  <c r="D52" i="3"/>
  <c r="C52" i="5"/>
  <c r="Q51" i="5"/>
  <c r="P51" i="5"/>
  <c r="O51" i="5"/>
  <c r="J51" i="3"/>
  <c r="L51" i="5" s="1"/>
  <c r="K51" i="5"/>
  <c r="J51" i="5"/>
  <c r="I51" i="5"/>
  <c r="F51" i="3"/>
  <c r="C51" i="5"/>
  <c r="Q50" i="5"/>
  <c r="P50" i="5"/>
  <c r="O50" i="5"/>
  <c r="J50" i="3"/>
  <c r="K50" i="5"/>
  <c r="F50" i="3"/>
  <c r="C50" i="5"/>
  <c r="Q49" i="5"/>
  <c r="P49" i="5"/>
  <c r="O49" i="5"/>
  <c r="J49" i="3"/>
  <c r="L49" i="5" s="1"/>
  <c r="K49" i="5"/>
  <c r="J49" i="5"/>
  <c r="I49" i="5"/>
  <c r="F49" i="3"/>
  <c r="C49" i="5"/>
  <c r="Q48" i="5"/>
  <c r="P48" i="5"/>
  <c r="O48" i="5"/>
  <c r="J48" i="3"/>
  <c r="L48" i="5" s="1"/>
  <c r="J48" i="5"/>
  <c r="I48" i="5"/>
  <c r="F48" i="3"/>
  <c r="C48" i="5"/>
  <c r="Q47" i="5"/>
  <c r="P47" i="5"/>
  <c r="O47" i="5"/>
  <c r="J47" i="3"/>
  <c r="L47" i="5" s="1"/>
  <c r="K47" i="5"/>
  <c r="I47" i="5"/>
  <c r="F47" i="3"/>
  <c r="C47" i="5"/>
  <c r="Q46" i="5"/>
  <c r="P46" i="5"/>
  <c r="O46" i="5"/>
  <c r="J46" i="3"/>
  <c r="L46" i="5" s="1"/>
  <c r="K46" i="5"/>
  <c r="J46" i="5"/>
  <c r="I46" i="5"/>
  <c r="F46" i="3"/>
  <c r="C46" i="5"/>
  <c r="Q45" i="5"/>
  <c r="P45" i="5"/>
  <c r="O45" i="5"/>
  <c r="J45" i="3"/>
  <c r="L45" i="5" s="1"/>
  <c r="K45" i="5"/>
  <c r="J45" i="5"/>
  <c r="I45" i="5"/>
  <c r="F45" i="3"/>
  <c r="C45" i="5"/>
  <c r="Q44" i="5"/>
  <c r="P44" i="5"/>
  <c r="O44" i="5"/>
  <c r="J44" i="3"/>
  <c r="L44" i="5" s="1"/>
  <c r="J44" i="5"/>
  <c r="F44" i="3"/>
  <c r="C44" i="5"/>
  <c r="P43" i="3"/>
  <c r="Q43" i="5"/>
  <c r="P43" i="5"/>
  <c r="O43" i="5"/>
  <c r="J43" i="3"/>
  <c r="K43" i="5"/>
  <c r="J43" i="5"/>
  <c r="I43" i="5"/>
  <c r="F43" i="3"/>
  <c r="C43" i="5"/>
  <c r="Q42" i="5"/>
  <c r="P42" i="5"/>
  <c r="O42" i="5"/>
  <c r="J42" i="3"/>
  <c r="L42" i="5" s="1"/>
  <c r="K42" i="5"/>
  <c r="J42" i="5"/>
  <c r="F42" i="3"/>
  <c r="C42" i="5"/>
  <c r="Q41" i="5"/>
  <c r="P41" i="5"/>
  <c r="O41" i="5"/>
  <c r="J41" i="3"/>
  <c r="L41" i="5" s="1"/>
  <c r="K41" i="5"/>
  <c r="J41" i="5"/>
  <c r="I41" i="5"/>
  <c r="F41" i="3"/>
  <c r="C41" i="5"/>
  <c r="Q40" i="5"/>
  <c r="P40" i="5"/>
  <c r="O40" i="5"/>
  <c r="J40" i="3"/>
  <c r="L40" i="5" s="1"/>
  <c r="J40" i="5"/>
  <c r="F40" i="3"/>
  <c r="C40" i="5"/>
  <c r="Q39" i="5"/>
  <c r="P39" i="5"/>
  <c r="O39" i="5"/>
  <c r="J39" i="3"/>
  <c r="L39" i="5" s="1"/>
  <c r="K39" i="5"/>
  <c r="J39" i="5"/>
  <c r="I39" i="5"/>
  <c r="F39" i="3"/>
  <c r="C39" i="5"/>
  <c r="Q38" i="5"/>
  <c r="P38" i="5"/>
  <c r="O38" i="5"/>
  <c r="J38" i="3"/>
  <c r="L38" i="5" s="1"/>
  <c r="K38" i="5"/>
  <c r="J38" i="5"/>
  <c r="F38" i="3"/>
  <c r="C38" i="5"/>
  <c r="Q37" i="5"/>
  <c r="P37" i="5"/>
  <c r="O37" i="5"/>
  <c r="J37" i="3"/>
  <c r="K37" i="5"/>
  <c r="J37" i="5"/>
  <c r="I37" i="5"/>
  <c r="F37" i="3"/>
  <c r="C37" i="5"/>
  <c r="Q36" i="5"/>
  <c r="P36" i="5"/>
  <c r="J36" i="3"/>
  <c r="L36" i="5" s="1"/>
  <c r="J36" i="5"/>
  <c r="F36" i="3"/>
  <c r="C36" i="5"/>
  <c r="Q35" i="5"/>
  <c r="P35" i="5"/>
  <c r="O35" i="5"/>
  <c r="J35" i="3"/>
  <c r="L35" i="5" s="1"/>
  <c r="K35" i="5"/>
  <c r="J35" i="5"/>
  <c r="F35" i="3"/>
  <c r="C35" i="5"/>
  <c r="Q34" i="5"/>
  <c r="P34" i="5"/>
  <c r="O34" i="5"/>
  <c r="J34" i="3"/>
  <c r="L34" i="5" s="1"/>
  <c r="K34" i="5"/>
  <c r="J34" i="5"/>
  <c r="F34" i="3"/>
  <c r="C34" i="5"/>
  <c r="Q33" i="5"/>
  <c r="P33" i="5"/>
  <c r="O33" i="5"/>
  <c r="J33" i="3"/>
  <c r="L33" i="5" s="1"/>
  <c r="K33" i="5"/>
  <c r="J33" i="5"/>
  <c r="I33" i="5"/>
  <c r="F33" i="3"/>
  <c r="C33" i="5"/>
  <c r="Q32" i="5"/>
  <c r="P32" i="5"/>
  <c r="O32" i="5"/>
  <c r="J32" i="3"/>
  <c r="L32" i="5" s="1"/>
  <c r="J32" i="5"/>
  <c r="F32" i="3"/>
  <c r="C32" i="5"/>
  <c r="P31" i="3"/>
  <c r="Q31" i="5"/>
  <c r="P31" i="5"/>
  <c r="O31" i="5"/>
  <c r="J31" i="3"/>
  <c r="L31" i="5" s="1"/>
  <c r="K31" i="5"/>
  <c r="I31" i="5"/>
  <c r="F31" i="3"/>
  <c r="C31" i="5"/>
  <c r="Q30" i="5"/>
  <c r="P30" i="5"/>
  <c r="O30" i="5"/>
  <c r="J30" i="3"/>
  <c r="K30" i="5"/>
  <c r="J30" i="5"/>
  <c r="F30" i="3"/>
  <c r="C30" i="5"/>
  <c r="Q29" i="5"/>
  <c r="P29" i="5"/>
  <c r="O29" i="5"/>
  <c r="J29" i="3"/>
  <c r="L29" i="5" s="1"/>
  <c r="K29" i="5"/>
  <c r="J29" i="5"/>
  <c r="I29" i="5"/>
  <c r="F29" i="3"/>
  <c r="C29" i="5"/>
  <c r="Q28" i="5"/>
  <c r="P28" i="5"/>
  <c r="J28" i="3"/>
  <c r="L28" i="5" s="1"/>
  <c r="J28" i="5"/>
  <c r="F28" i="3"/>
  <c r="C28" i="5"/>
  <c r="Q27" i="5"/>
  <c r="P27" i="5"/>
  <c r="O27" i="5"/>
  <c r="J27" i="3"/>
  <c r="L27" i="5" s="1"/>
  <c r="K27" i="5"/>
  <c r="J27" i="5"/>
  <c r="I27" i="5"/>
  <c r="F27" i="3"/>
  <c r="C27" i="5"/>
  <c r="Q26" i="5"/>
  <c r="P26" i="5"/>
  <c r="O26" i="5"/>
  <c r="J26" i="3"/>
  <c r="L26" i="5" s="1"/>
  <c r="J26" i="5"/>
  <c r="F26" i="3"/>
  <c r="C26" i="5"/>
  <c r="Q25" i="5"/>
  <c r="P25" i="5"/>
  <c r="O25" i="5"/>
  <c r="J25" i="3"/>
  <c r="L25" i="5" s="1"/>
  <c r="K25" i="5"/>
  <c r="J25" i="5"/>
  <c r="I25" i="5"/>
  <c r="F25" i="3"/>
  <c r="C25" i="5"/>
  <c r="Q24" i="5"/>
  <c r="P24" i="5"/>
  <c r="J24" i="3"/>
  <c r="L24" i="5" s="1"/>
  <c r="J24" i="5"/>
  <c r="F24" i="3"/>
  <c r="C24" i="5"/>
  <c r="Q23" i="5"/>
  <c r="O23" i="5"/>
  <c r="J23" i="3"/>
  <c r="L23" i="5" s="1"/>
  <c r="K23" i="5"/>
  <c r="I23" i="5"/>
  <c r="F23" i="3"/>
  <c r="C23" i="5"/>
  <c r="Q22" i="5"/>
  <c r="P22" i="5"/>
  <c r="O22" i="5"/>
  <c r="J22" i="3"/>
  <c r="K22" i="5"/>
  <c r="F22" i="3"/>
  <c r="C22" i="5"/>
  <c r="Q21" i="5"/>
  <c r="P21" i="5"/>
  <c r="O21" i="5"/>
  <c r="J21" i="3"/>
  <c r="L21" i="5" s="1"/>
  <c r="K21" i="5"/>
  <c r="I21" i="5"/>
  <c r="F21" i="3"/>
  <c r="C21" i="5"/>
  <c r="Q20" i="5"/>
  <c r="P20" i="5"/>
  <c r="O20" i="5"/>
  <c r="J20" i="3"/>
  <c r="L20" i="5" s="1"/>
  <c r="K20" i="5"/>
  <c r="J20" i="5"/>
  <c r="I20" i="5"/>
  <c r="F20" i="3"/>
  <c r="C20" i="5"/>
  <c r="Q19" i="5"/>
  <c r="P19" i="5"/>
  <c r="O19" i="5"/>
  <c r="J19" i="3"/>
  <c r="K19" i="5"/>
  <c r="J19" i="5"/>
  <c r="I19" i="5"/>
  <c r="F19" i="3"/>
  <c r="C19" i="5"/>
  <c r="Q18" i="5"/>
  <c r="P18" i="5"/>
  <c r="O18" i="5"/>
  <c r="J18" i="3"/>
  <c r="L18" i="5" s="1"/>
  <c r="J18" i="5"/>
  <c r="I18" i="5"/>
  <c r="F18" i="3"/>
  <c r="C18" i="5"/>
  <c r="Q17" i="5"/>
  <c r="P17" i="5"/>
  <c r="O17" i="5"/>
  <c r="J17" i="3"/>
  <c r="L17" i="5" s="1"/>
  <c r="K17" i="5"/>
  <c r="J17" i="5"/>
  <c r="I17" i="5"/>
  <c r="F17" i="3"/>
  <c r="C17" i="5"/>
  <c r="Q16" i="5"/>
  <c r="P16" i="5"/>
  <c r="O16" i="5"/>
  <c r="J16" i="3"/>
  <c r="L16" i="5" s="1"/>
  <c r="K16" i="5"/>
  <c r="J16" i="5"/>
  <c r="I16" i="5"/>
  <c r="F16" i="3"/>
  <c r="C16" i="5"/>
  <c r="Q15" i="5"/>
  <c r="P15" i="5"/>
  <c r="O15" i="5"/>
  <c r="J15" i="3"/>
  <c r="L15" i="5" s="1"/>
  <c r="K15" i="5"/>
  <c r="J15" i="5"/>
  <c r="I15" i="5"/>
  <c r="F15" i="3"/>
  <c r="C15" i="5"/>
  <c r="Q14" i="5"/>
  <c r="P14" i="5"/>
  <c r="O14" i="5"/>
  <c r="J14" i="3"/>
  <c r="L14" i="5" s="1"/>
  <c r="J14" i="5"/>
  <c r="I14" i="5"/>
  <c r="F14" i="3"/>
  <c r="C14" i="5"/>
  <c r="Q13" i="5"/>
  <c r="P13" i="5"/>
  <c r="O13" i="5"/>
  <c r="J13" i="3"/>
  <c r="L13" i="5" s="1"/>
  <c r="J13" i="5"/>
  <c r="I13" i="5"/>
  <c r="F13" i="3"/>
  <c r="C13" i="5"/>
  <c r="Q12" i="5"/>
  <c r="P12" i="5"/>
  <c r="O12" i="5"/>
  <c r="J12" i="3"/>
  <c r="L12" i="5" s="1"/>
  <c r="K12" i="5"/>
  <c r="J12" i="5"/>
  <c r="I12" i="5"/>
  <c r="F12" i="3"/>
  <c r="C12" i="5"/>
  <c r="Q11" i="5"/>
  <c r="P11" i="5"/>
  <c r="O11" i="5"/>
  <c r="J11" i="3"/>
  <c r="L11" i="5" s="1"/>
  <c r="K11" i="5"/>
  <c r="J11" i="5"/>
  <c r="I11" i="5"/>
  <c r="F11" i="3"/>
  <c r="D11" i="3"/>
  <c r="C11" i="5"/>
  <c r="Q10" i="5"/>
  <c r="P10" i="5"/>
  <c r="O10" i="5"/>
  <c r="J10" i="3"/>
  <c r="L10" i="5" s="1"/>
  <c r="J10" i="5"/>
  <c r="I10" i="5"/>
  <c r="F10" i="3"/>
  <c r="C10" i="5"/>
  <c r="Q9" i="5"/>
  <c r="P9" i="5"/>
  <c r="O9" i="5"/>
  <c r="J9" i="3"/>
  <c r="L9" i="5" s="1"/>
  <c r="J9" i="5"/>
  <c r="I9" i="5"/>
  <c r="F9" i="3"/>
  <c r="C9" i="5"/>
  <c r="Q8" i="5"/>
  <c r="P8" i="5"/>
  <c r="O8" i="5"/>
  <c r="J8" i="3"/>
  <c r="L8" i="5" s="1"/>
  <c r="K8" i="5"/>
  <c r="J8" i="5"/>
  <c r="I8" i="5"/>
  <c r="F8" i="3"/>
  <c r="C8" i="5"/>
  <c r="Q7" i="5"/>
  <c r="P7" i="5"/>
  <c r="O7" i="5"/>
  <c r="J7" i="3"/>
  <c r="K7" i="5"/>
  <c r="J7" i="5"/>
  <c r="I7" i="5"/>
  <c r="F7" i="3"/>
  <c r="D7" i="3"/>
  <c r="C7" i="5"/>
  <c r="Q6" i="5"/>
  <c r="P6" i="5"/>
  <c r="O6" i="5"/>
  <c r="J6" i="3"/>
  <c r="L6" i="5" s="1"/>
  <c r="J6" i="5"/>
  <c r="I6" i="5"/>
  <c r="F6" i="3"/>
  <c r="C6" i="5"/>
  <c r="Q5" i="5"/>
  <c r="P5" i="5"/>
  <c r="O5" i="5"/>
  <c r="J5" i="3"/>
  <c r="L5" i="5" s="1"/>
  <c r="K5" i="5"/>
  <c r="J5" i="5"/>
  <c r="I5" i="5"/>
  <c r="F5" i="3"/>
  <c r="C5" i="5"/>
  <c r="Q4" i="5"/>
  <c r="P4" i="5"/>
  <c r="O4" i="5"/>
  <c r="J4" i="3"/>
  <c r="J4" i="5"/>
  <c r="I4" i="5"/>
  <c r="F4" i="3"/>
  <c r="C4" i="5"/>
  <c r="Q3" i="5"/>
  <c r="P3" i="5"/>
  <c r="O3" i="5"/>
  <c r="J3" i="3"/>
  <c r="L3" i="5" s="1"/>
  <c r="J3" i="5"/>
  <c r="I3" i="5"/>
  <c r="F3" i="3"/>
  <c r="D3" i="3"/>
  <c r="C3" i="5"/>
  <c r="I103" i="2"/>
  <c r="K103" i="2" s="1"/>
  <c r="I102" i="2"/>
  <c r="K102" i="2" s="1"/>
  <c r="I100" i="2"/>
  <c r="K100" i="2" s="1"/>
  <c r="I99" i="2"/>
  <c r="K99" i="2" s="1"/>
  <c r="I98" i="2"/>
  <c r="K98" i="2" s="1"/>
  <c r="I97" i="2"/>
  <c r="K97" i="2" s="1"/>
  <c r="I96" i="2"/>
  <c r="K96" i="2" s="1"/>
  <c r="I95" i="2"/>
  <c r="K95" i="2" s="1"/>
  <c r="I94" i="2"/>
  <c r="K94" i="2" s="1"/>
  <c r="I93" i="2"/>
  <c r="K93" i="2" s="1"/>
  <c r="I92" i="2"/>
  <c r="K92" i="2" s="1"/>
  <c r="I91" i="2"/>
  <c r="K91" i="2" s="1"/>
  <c r="I90" i="2"/>
  <c r="K90" i="2" s="1"/>
  <c r="I89" i="2"/>
  <c r="K89" i="2" s="1"/>
  <c r="I87" i="2"/>
  <c r="K87" i="2" s="1"/>
  <c r="I86" i="2"/>
  <c r="K86" i="2" s="1"/>
  <c r="I85" i="2"/>
  <c r="K85" i="2" s="1"/>
  <c r="I83" i="2"/>
  <c r="K83" i="2" s="1"/>
  <c r="I82" i="2"/>
  <c r="K82" i="2" s="1"/>
  <c r="I80" i="2"/>
  <c r="K80" i="2" s="1"/>
  <c r="I79" i="2"/>
  <c r="K79" i="2" s="1"/>
  <c r="I78" i="2"/>
  <c r="K78" i="2" s="1"/>
  <c r="I77" i="2"/>
  <c r="K77" i="2" s="1"/>
  <c r="I76" i="2"/>
  <c r="K76" i="2" s="1"/>
  <c r="I74" i="2"/>
  <c r="K74" i="2" s="1"/>
  <c r="I72" i="2"/>
  <c r="K72" i="2" s="1"/>
  <c r="I71" i="2"/>
  <c r="K71" i="2" s="1"/>
  <c r="I70" i="2"/>
  <c r="K70" i="2" s="1"/>
  <c r="I69" i="2"/>
  <c r="K69" i="2" s="1"/>
  <c r="I66" i="2"/>
  <c r="K66" i="2" s="1"/>
  <c r="I64" i="2"/>
  <c r="K64" i="2" s="1"/>
  <c r="I62" i="2"/>
  <c r="K62" i="2" s="1"/>
  <c r="I59" i="2"/>
  <c r="K59" i="2" s="1"/>
  <c r="I57" i="2"/>
  <c r="K57" i="2" s="1"/>
  <c r="I53" i="2"/>
  <c r="K53" i="2" s="1"/>
  <c r="I51" i="2"/>
  <c r="K51" i="2" s="1"/>
  <c r="I50" i="2"/>
  <c r="K50" i="2" s="1"/>
  <c r="I48" i="2"/>
  <c r="K48" i="2" s="1"/>
  <c r="I47" i="2"/>
  <c r="K47" i="2" s="1"/>
  <c r="I46" i="2"/>
  <c r="K46" i="2" s="1"/>
  <c r="I45" i="2"/>
  <c r="K45" i="2" s="1"/>
  <c r="I44" i="2"/>
  <c r="K44" i="2" s="1"/>
  <c r="I43" i="2"/>
  <c r="K43" i="2" s="1"/>
  <c r="I41" i="2"/>
  <c r="K41" i="2" s="1"/>
  <c r="I40" i="2"/>
  <c r="K40" i="2" s="1"/>
  <c r="I39" i="2"/>
  <c r="K39" i="2" s="1"/>
  <c r="I38" i="2"/>
  <c r="K38" i="2" s="1"/>
  <c r="I36" i="2"/>
  <c r="K36" i="2" s="1"/>
  <c r="I35" i="2"/>
  <c r="K35" i="2" s="1"/>
  <c r="I34" i="2"/>
  <c r="K34" i="2" s="1"/>
  <c r="I33" i="2"/>
  <c r="K33" i="2" s="1"/>
  <c r="I32" i="2"/>
  <c r="K32" i="2" s="1"/>
  <c r="I31" i="2"/>
  <c r="K31" i="2" s="1"/>
  <c r="I30" i="2"/>
  <c r="K30" i="2" s="1"/>
  <c r="I29" i="2"/>
  <c r="K29" i="2" s="1"/>
  <c r="K28" i="2"/>
  <c r="I28" i="2"/>
  <c r="I27" i="2"/>
  <c r="K27" i="2" s="1"/>
  <c r="I25" i="2"/>
  <c r="K25" i="2" s="1"/>
  <c r="I24" i="2"/>
  <c r="K24" i="2" s="1"/>
  <c r="I23" i="2"/>
  <c r="K23" i="2" s="1"/>
  <c r="I21" i="2"/>
  <c r="K21" i="2" s="1"/>
  <c r="I20" i="2"/>
  <c r="K20" i="2" s="1"/>
  <c r="I19" i="2"/>
  <c r="K19" i="2" s="1"/>
  <c r="I18" i="2"/>
  <c r="K18" i="2" s="1"/>
  <c r="I17" i="2"/>
  <c r="K17" i="2" s="1"/>
  <c r="I16" i="2"/>
  <c r="K16" i="2" s="1"/>
  <c r="I15" i="2"/>
  <c r="K15" i="2" s="1"/>
  <c r="I14" i="2"/>
  <c r="K14" i="2" s="1"/>
  <c r="I13" i="2"/>
  <c r="K13" i="2" s="1"/>
  <c r="I12" i="2"/>
  <c r="K12" i="2" s="1"/>
  <c r="K11" i="2"/>
  <c r="I11" i="2"/>
  <c r="I9" i="2"/>
  <c r="K9" i="2" s="1"/>
  <c r="I8" i="2"/>
  <c r="K8" i="2" s="1"/>
  <c r="I7" i="2"/>
  <c r="K7" i="2" s="1"/>
  <c r="I5" i="2"/>
  <c r="K5" i="2" s="1"/>
  <c r="I4" i="2"/>
  <c r="K4" i="2" s="1"/>
  <c r="I3" i="2"/>
  <c r="K3" i="2" s="1"/>
  <c r="I2" i="2"/>
  <c r="K2" i="2" s="1"/>
  <c r="L4" i="5" l="1"/>
  <c r="L37" i="5"/>
  <c r="L57" i="5"/>
  <c r="L81" i="5"/>
  <c r="L91" i="5"/>
  <c r="L43" i="5"/>
  <c r="L7" i="5"/>
  <c r="L19" i="5"/>
  <c r="L22" i="5"/>
  <c r="L68" i="5"/>
  <c r="L84" i="5"/>
  <c r="L50" i="5"/>
  <c r="K34" i="3"/>
  <c r="K91" i="3"/>
  <c r="K33" i="3"/>
  <c r="M33" i="5" s="1"/>
  <c r="K54" i="3"/>
  <c r="M34" i="5"/>
  <c r="K97" i="3"/>
  <c r="M97" i="5" s="1"/>
  <c r="M91" i="5"/>
  <c r="K29" i="3"/>
  <c r="K53" i="3"/>
  <c r="K84" i="3"/>
  <c r="M84" i="5" s="1"/>
  <c r="K93" i="3"/>
  <c r="M93" i="5" s="1"/>
  <c r="J22" i="5"/>
  <c r="K22" i="3"/>
  <c r="K9" i="3"/>
  <c r="L9" i="3" s="1"/>
  <c r="K9" i="5"/>
  <c r="K28" i="3"/>
  <c r="M28" i="5" s="1"/>
  <c r="K28" i="5"/>
  <c r="I81" i="2"/>
  <c r="K81" i="2" s="1"/>
  <c r="K5" i="3"/>
  <c r="I60" i="2"/>
  <c r="K60" i="2" s="1"/>
  <c r="I37" i="2"/>
  <c r="K37" i="2" s="1"/>
  <c r="I49" i="2"/>
  <c r="K49" i="2" s="1"/>
  <c r="I54" i="2"/>
  <c r="K54" i="2" s="1"/>
  <c r="I101" i="2"/>
  <c r="K101" i="2" s="1"/>
  <c r="K6" i="3"/>
  <c r="K6" i="5"/>
  <c r="K18" i="3"/>
  <c r="K18" i="5"/>
  <c r="I35" i="5"/>
  <c r="P35" i="3"/>
  <c r="I10" i="2"/>
  <c r="K10" i="2" s="1"/>
  <c r="I26" i="2"/>
  <c r="K26" i="2" s="1"/>
  <c r="I42" i="2"/>
  <c r="K42" i="2" s="1"/>
  <c r="I63" i="2"/>
  <c r="K63" i="2" s="1"/>
  <c r="I84" i="2"/>
  <c r="K84" i="2" s="1"/>
  <c r="K3" i="5"/>
  <c r="K3" i="3"/>
  <c r="K10" i="3"/>
  <c r="L10" i="3" s="1"/>
  <c r="K10" i="5"/>
  <c r="K14" i="3"/>
  <c r="K14" i="5"/>
  <c r="I6" i="2"/>
  <c r="K6" i="2" s="1"/>
  <c r="I22" i="2"/>
  <c r="K22" i="2" s="1"/>
  <c r="I68" i="2"/>
  <c r="K68" i="2" s="1"/>
  <c r="I88" i="2"/>
  <c r="K88" i="2" s="1"/>
  <c r="K4" i="3"/>
  <c r="L4" i="3" s="1"/>
  <c r="K4" i="5"/>
  <c r="J21" i="5"/>
  <c r="K21" i="3"/>
  <c r="M21" i="5" s="1"/>
  <c r="P23" i="5"/>
  <c r="P23" i="3"/>
  <c r="R23" i="5" s="1"/>
  <c r="L30" i="5"/>
  <c r="K30" i="3"/>
  <c r="M30" i="5" s="1"/>
  <c r="K26" i="5"/>
  <c r="K26" i="3"/>
  <c r="L26" i="3" s="1"/>
  <c r="K13" i="3"/>
  <c r="K13" i="5"/>
  <c r="P32" i="3"/>
  <c r="I32" i="5"/>
  <c r="K25" i="3"/>
  <c r="I26" i="5"/>
  <c r="I55" i="2"/>
  <c r="K55" i="2" s="1"/>
  <c r="I61" i="2"/>
  <c r="K61" i="2" s="1"/>
  <c r="I73" i="2"/>
  <c r="K73" i="2" s="1"/>
  <c r="P22" i="3"/>
  <c r="I22" i="5"/>
  <c r="P24" i="3"/>
  <c r="I24" i="5"/>
  <c r="K32" i="3"/>
  <c r="K32" i="5"/>
  <c r="K38" i="3"/>
  <c r="M38" i="5" s="1"/>
  <c r="K60" i="3"/>
  <c r="K62" i="3"/>
  <c r="K64" i="3"/>
  <c r="M64" i="5" s="1"/>
  <c r="K66" i="3"/>
  <c r="M66" i="5" s="1"/>
  <c r="K68" i="3"/>
  <c r="K70" i="3"/>
  <c r="K72" i="3"/>
  <c r="M72" i="5" s="1"/>
  <c r="K74" i="3"/>
  <c r="M74" i="5" s="1"/>
  <c r="K76" i="3"/>
  <c r="M76" i="5" s="1"/>
  <c r="K78" i="3"/>
  <c r="M78" i="5" s="1"/>
  <c r="K80" i="3"/>
  <c r="M80" i="5" s="1"/>
  <c r="K82" i="3"/>
  <c r="M82" i="5" s="1"/>
  <c r="J96" i="5"/>
  <c r="K96" i="3"/>
  <c r="M96" i="5" s="1"/>
  <c r="K3" i="4"/>
  <c r="Q3" i="4" s="1"/>
  <c r="R3" i="4" s="1"/>
  <c r="K6" i="4"/>
  <c r="Q6" i="4" s="1"/>
  <c r="R6" i="4" s="1"/>
  <c r="K9" i="4"/>
  <c r="Q9" i="4" s="1"/>
  <c r="K12" i="4"/>
  <c r="Q12" i="4" s="1"/>
  <c r="L32" i="4"/>
  <c r="K53" i="4"/>
  <c r="Q53" i="4" s="1"/>
  <c r="K61" i="4"/>
  <c r="K70" i="4"/>
  <c r="K73" i="4"/>
  <c r="Q73" i="4" s="1"/>
  <c r="O36" i="5"/>
  <c r="K47" i="3"/>
  <c r="J47" i="5"/>
  <c r="Q53" i="3"/>
  <c r="S53" i="5" s="1"/>
  <c r="M53" i="5"/>
  <c r="J94" i="5"/>
  <c r="K94" i="3"/>
  <c r="M94" i="5" s="1"/>
  <c r="K24" i="3"/>
  <c r="K24" i="5"/>
  <c r="P27" i="3"/>
  <c r="I52" i="5"/>
  <c r="P54" i="3"/>
  <c r="K89" i="3"/>
  <c r="M89" i="5" s="1"/>
  <c r="J92" i="5"/>
  <c r="K92" i="3"/>
  <c r="M92" i="5" s="1"/>
  <c r="K4" i="4"/>
  <c r="Q4" i="4" s="1"/>
  <c r="R4" i="4" s="1"/>
  <c r="K24" i="4"/>
  <c r="Q24" i="4" s="1"/>
  <c r="Q28" i="3"/>
  <c r="S28" i="5" s="1"/>
  <c r="O28" i="5"/>
  <c r="K31" i="3"/>
  <c r="Q31" i="3" s="1"/>
  <c r="J31" i="5"/>
  <c r="K41" i="3"/>
  <c r="I42" i="5"/>
  <c r="I44" i="5"/>
  <c r="K45" i="3"/>
  <c r="L45" i="3" s="1"/>
  <c r="P46" i="3"/>
  <c r="K49" i="3"/>
  <c r="M49" i="5" s="1"/>
  <c r="P50" i="3"/>
  <c r="I50" i="5"/>
  <c r="K55" i="3"/>
  <c r="I56" i="5"/>
  <c r="K57" i="3"/>
  <c r="L57" i="3" s="1"/>
  <c r="P58" i="3"/>
  <c r="I58" i="5"/>
  <c r="K87" i="3"/>
  <c r="M87" i="5" s="1"/>
  <c r="J90" i="5"/>
  <c r="K90" i="3"/>
  <c r="M90" i="5" s="1"/>
  <c r="K103" i="3"/>
  <c r="M103" i="5" s="1"/>
  <c r="P5" i="4"/>
  <c r="K7" i="4"/>
  <c r="Q7" i="4" s="1"/>
  <c r="R7" i="4" s="1"/>
  <c r="K10" i="4"/>
  <c r="Q10" i="4" s="1"/>
  <c r="R10" i="4" s="1"/>
  <c r="K22" i="4"/>
  <c r="Q22" i="4" s="1"/>
  <c r="K35" i="4"/>
  <c r="Q35" i="4" s="1"/>
  <c r="K54" i="4"/>
  <c r="Q54" i="4" s="1"/>
  <c r="K62" i="4"/>
  <c r="K68" i="4"/>
  <c r="I67" i="2"/>
  <c r="K67" i="2" s="1"/>
  <c r="I52" i="2"/>
  <c r="K52" i="2" s="1"/>
  <c r="I58" i="2"/>
  <c r="K58" i="2" s="1"/>
  <c r="I65" i="2"/>
  <c r="K65" i="2" s="1"/>
  <c r="I75" i="2"/>
  <c r="K75" i="2" s="1"/>
  <c r="O24" i="5"/>
  <c r="K37" i="3"/>
  <c r="P38" i="3"/>
  <c r="I38" i="5"/>
  <c r="P40" i="3"/>
  <c r="I40" i="5"/>
  <c r="K50" i="3"/>
  <c r="J50" i="5"/>
  <c r="K52" i="3"/>
  <c r="L52" i="3" s="1"/>
  <c r="K52" i="5"/>
  <c r="K56" i="3"/>
  <c r="J56" i="5"/>
  <c r="K59" i="3"/>
  <c r="M59" i="5" s="1"/>
  <c r="L60" i="3"/>
  <c r="I60" i="5"/>
  <c r="K61" i="3"/>
  <c r="K63" i="3"/>
  <c r="M63" i="5" s="1"/>
  <c r="K65" i="3"/>
  <c r="M65" i="5" s="1"/>
  <c r="K67" i="3"/>
  <c r="M67" i="5" s="1"/>
  <c r="K69" i="3"/>
  <c r="M69" i="5" s="1"/>
  <c r="K71" i="3"/>
  <c r="M71" i="5" s="1"/>
  <c r="K73" i="3"/>
  <c r="K75" i="3"/>
  <c r="M75" i="5" s="1"/>
  <c r="K77" i="3"/>
  <c r="M77" i="5" s="1"/>
  <c r="K79" i="3"/>
  <c r="M79" i="5" s="1"/>
  <c r="K81" i="3"/>
  <c r="M81" i="5" s="1"/>
  <c r="K83" i="3"/>
  <c r="M83" i="5" s="1"/>
  <c r="K85" i="3"/>
  <c r="M85" i="5" s="1"/>
  <c r="J88" i="5"/>
  <c r="K88" i="3"/>
  <c r="M88" i="5" s="1"/>
  <c r="K101" i="3"/>
  <c r="M101" i="5" s="1"/>
  <c r="J104" i="5"/>
  <c r="K104" i="3"/>
  <c r="P8" i="4"/>
  <c r="P14" i="4"/>
  <c r="K16" i="4"/>
  <c r="Q16" i="4" s="1"/>
  <c r="R16" i="4" s="1"/>
  <c r="P17" i="4"/>
  <c r="K19" i="4"/>
  <c r="Q19" i="4" s="1"/>
  <c r="K25" i="4"/>
  <c r="Q25" i="4" s="1"/>
  <c r="L28" i="4"/>
  <c r="L36" i="4"/>
  <c r="K57" i="4"/>
  <c r="Q57" i="4" s="1"/>
  <c r="K23" i="3"/>
  <c r="J23" i="5"/>
  <c r="L34" i="3"/>
  <c r="I34" i="5"/>
  <c r="I36" i="5"/>
  <c r="K44" i="3"/>
  <c r="K44" i="5"/>
  <c r="P51" i="3"/>
  <c r="P53" i="3"/>
  <c r="I53" i="5"/>
  <c r="Q54" i="3"/>
  <c r="J86" i="5"/>
  <c r="K86" i="3"/>
  <c r="M86" i="5" s="1"/>
  <c r="K99" i="3"/>
  <c r="M99" i="5" s="1"/>
  <c r="J102" i="5"/>
  <c r="K102" i="3"/>
  <c r="M102" i="5" s="1"/>
  <c r="Q33" i="4"/>
  <c r="Q38" i="4"/>
  <c r="K60" i="4"/>
  <c r="L60" i="4" s="1"/>
  <c r="K40" i="3"/>
  <c r="K40" i="5"/>
  <c r="K48" i="3"/>
  <c r="Q48" i="3" s="1"/>
  <c r="K48" i="5"/>
  <c r="L54" i="3"/>
  <c r="J100" i="5"/>
  <c r="K100" i="3"/>
  <c r="M100" i="5" s="1"/>
  <c r="Q8" i="4"/>
  <c r="R8" i="4" s="1"/>
  <c r="R9" i="4"/>
  <c r="K11" i="4"/>
  <c r="Q11" i="4" s="1"/>
  <c r="K14" i="4"/>
  <c r="Q14" i="4" s="1"/>
  <c r="R14" i="4" s="1"/>
  <c r="K31" i="4"/>
  <c r="Q31" i="4" s="1"/>
  <c r="L42" i="4"/>
  <c r="L50" i="4"/>
  <c r="K55" i="4"/>
  <c r="Q55" i="4" s="1"/>
  <c r="Q29" i="3"/>
  <c r="P30" i="3"/>
  <c r="I30" i="5"/>
  <c r="I56" i="2"/>
  <c r="K56" i="2" s="1"/>
  <c r="L28" i="3"/>
  <c r="I28" i="5"/>
  <c r="K36" i="3"/>
  <c r="M36" i="5" s="1"/>
  <c r="K36" i="5"/>
  <c r="P39" i="3"/>
  <c r="K42" i="3"/>
  <c r="L42" i="3" s="1"/>
  <c r="K46" i="3"/>
  <c r="P47" i="3"/>
  <c r="I57" i="5"/>
  <c r="K58" i="3"/>
  <c r="K95" i="3"/>
  <c r="M95" i="5" s="1"/>
  <c r="J98" i="5"/>
  <c r="K98" i="3"/>
  <c r="M98" i="5" s="1"/>
  <c r="P15" i="4"/>
  <c r="R15" i="4" s="1"/>
  <c r="P18" i="4"/>
  <c r="R18" i="4" s="1"/>
  <c r="K20" i="4"/>
  <c r="Q20" i="4" s="1"/>
  <c r="L21" i="4"/>
  <c r="K26" i="4"/>
  <c r="L26" i="4" s="1"/>
  <c r="K44" i="4"/>
  <c r="Q44" i="4" s="1"/>
  <c r="H88" i="5"/>
  <c r="P3" i="4"/>
  <c r="K5" i="4"/>
  <c r="Q5" i="4" s="1"/>
  <c r="R5" i="4" s="1"/>
  <c r="P11" i="4"/>
  <c r="K13" i="4"/>
  <c r="Q13" i="4" s="1"/>
  <c r="R13" i="4" s="1"/>
  <c r="P19" i="4"/>
  <c r="P26" i="4"/>
  <c r="K37" i="4"/>
  <c r="Q37" i="4" s="1"/>
  <c r="K48" i="4"/>
  <c r="Q48" i="4" s="1"/>
  <c r="K17" i="4"/>
  <c r="Q17" i="4" s="1"/>
  <c r="K29" i="4"/>
  <c r="Q29" i="4" s="1"/>
  <c r="E5" i="6"/>
  <c r="E5" i="8" s="1"/>
  <c r="X5" i="8"/>
  <c r="J5" i="6"/>
  <c r="J5" i="8" s="1"/>
  <c r="AF5" i="8"/>
  <c r="E6" i="6"/>
  <c r="E6" i="8" s="1"/>
  <c r="X6" i="8"/>
  <c r="J6" i="6"/>
  <c r="AF6" i="8"/>
  <c r="H7" i="6"/>
  <c r="H7" i="8" s="1"/>
  <c r="AB7" i="8"/>
  <c r="D8" i="6"/>
  <c r="T8" i="8"/>
  <c r="H8" i="6"/>
  <c r="H8" i="8" s="1"/>
  <c r="AB8" i="8"/>
  <c r="L8" i="6"/>
  <c r="L8" i="8" s="1"/>
  <c r="AJ8" i="8"/>
  <c r="O11" i="8"/>
  <c r="I11" i="6"/>
  <c r="I11" i="8" s="1"/>
  <c r="AE11" i="8"/>
  <c r="I12" i="6"/>
  <c r="AC12" i="8"/>
  <c r="I13" i="6"/>
  <c r="AC13" i="8"/>
  <c r="O15" i="8"/>
  <c r="I15" i="6"/>
  <c r="I15" i="8" s="1"/>
  <c r="AE15" i="8"/>
  <c r="F21" i="6"/>
  <c r="F21" i="8" s="1"/>
  <c r="C23" i="6"/>
  <c r="J24" i="6"/>
  <c r="J24" i="8" s="1"/>
  <c r="H25" i="6"/>
  <c r="H25" i="8" s="1"/>
  <c r="I26" i="6"/>
  <c r="D26" i="6"/>
  <c r="D26" i="8" s="1"/>
  <c r="S26" i="8"/>
  <c r="D28" i="6"/>
  <c r="U28" i="8"/>
  <c r="I28" i="6"/>
  <c r="AC28" i="8"/>
  <c r="I29" i="6"/>
  <c r="AC29" i="8"/>
  <c r="N30" i="8"/>
  <c r="E31" i="6"/>
  <c r="E31" i="8" s="1"/>
  <c r="X31" i="8"/>
  <c r="H32" i="6"/>
  <c r="H32" i="8" s="1"/>
  <c r="AB32" i="8"/>
  <c r="L32" i="6"/>
  <c r="L32" i="8" s="1"/>
  <c r="AJ32" i="8"/>
  <c r="E37" i="6"/>
  <c r="E37" i="8" s="1"/>
  <c r="X37" i="8"/>
  <c r="J37" i="6"/>
  <c r="J37" i="8" s="1"/>
  <c r="AF37" i="8"/>
  <c r="D40" i="6"/>
  <c r="D40" i="8" s="1"/>
  <c r="S40" i="8"/>
  <c r="K40" i="6"/>
  <c r="K40" i="8" s="1"/>
  <c r="AI40" i="8"/>
  <c r="J42" i="6"/>
  <c r="AH42" i="8"/>
  <c r="J44" i="6"/>
  <c r="J44" i="8" s="1"/>
  <c r="AF44" i="8"/>
  <c r="I8" i="6"/>
  <c r="I8" i="8" s="1"/>
  <c r="AC8" i="8"/>
  <c r="I9" i="6"/>
  <c r="I9" i="8" s="1"/>
  <c r="AC9" i="8"/>
  <c r="E11" i="6"/>
  <c r="E11" i="8" s="1"/>
  <c r="X11" i="8"/>
  <c r="C12" i="6"/>
  <c r="N12" i="8"/>
  <c r="N13" i="8"/>
  <c r="D13" i="6"/>
  <c r="V13" i="8"/>
  <c r="N14" i="8"/>
  <c r="E15" i="6"/>
  <c r="X15" i="8"/>
  <c r="E17" i="6"/>
  <c r="X17" i="8"/>
  <c r="J17" i="6"/>
  <c r="AF17" i="8"/>
  <c r="E18" i="6"/>
  <c r="X18" i="8"/>
  <c r="F19" i="6"/>
  <c r="F19" i="8" s="1"/>
  <c r="Z19" i="8"/>
  <c r="F22" i="6"/>
  <c r="F22" i="8" s="1"/>
  <c r="Z22" i="8"/>
  <c r="J22" i="6"/>
  <c r="J22" i="8" s="1"/>
  <c r="AH22" i="8"/>
  <c r="D23" i="6"/>
  <c r="D23" i="8" s="1"/>
  <c r="T23" i="8"/>
  <c r="H23" i="6"/>
  <c r="H23" i="8" s="1"/>
  <c r="AB23" i="8"/>
  <c r="L23" i="6"/>
  <c r="L23" i="8" s="1"/>
  <c r="AJ23" i="8"/>
  <c r="H24" i="6"/>
  <c r="H24" i="8" s="1"/>
  <c r="AB24" i="8"/>
  <c r="N28" i="8"/>
  <c r="N29" i="8"/>
  <c r="D29" i="6"/>
  <c r="D29" i="8" s="1"/>
  <c r="V29" i="8"/>
  <c r="N33" i="8"/>
  <c r="O35" i="8"/>
  <c r="L40" i="6"/>
  <c r="L40" i="8" s="1"/>
  <c r="AJ40" i="8"/>
  <c r="N41" i="8"/>
  <c r="F42" i="6"/>
  <c r="F42" i="8" s="1"/>
  <c r="Z42" i="8"/>
  <c r="C44" i="6"/>
  <c r="P44" i="8"/>
  <c r="E44" i="6"/>
  <c r="X44" i="8"/>
  <c r="F46" i="6"/>
  <c r="F46" i="8" s="1"/>
  <c r="Z46" i="8"/>
  <c r="E4" i="6"/>
  <c r="E4" i="8" s="1"/>
  <c r="F6" i="6"/>
  <c r="F6" i="8" s="1"/>
  <c r="Z6" i="8"/>
  <c r="C8" i="6"/>
  <c r="N8" i="8"/>
  <c r="N9" i="8"/>
  <c r="D9" i="6"/>
  <c r="V9" i="8"/>
  <c r="N10" i="8"/>
  <c r="D12" i="6"/>
  <c r="E16" i="6"/>
  <c r="E16" i="8" s="1"/>
  <c r="C19" i="6"/>
  <c r="J20" i="6"/>
  <c r="J20" i="8" s="1"/>
  <c r="D22" i="6"/>
  <c r="S22" i="8"/>
  <c r="L24" i="6"/>
  <c r="L24" i="8" s="1"/>
  <c r="D24" i="6"/>
  <c r="U24" i="8"/>
  <c r="I24" i="6"/>
  <c r="AC24" i="8"/>
  <c r="L25" i="6"/>
  <c r="L25" i="8" s="1"/>
  <c r="I25" i="6"/>
  <c r="AC25" i="8"/>
  <c r="L26" i="6"/>
  <c r="L26" i="8" s="1"/>
  <c r="O27" i="8"/>
  <c r="I27" i="6"/>
  <c r="I27" i="8" s="1"/>
  <c r="AE27" i="8"/>
  <c r="E30" i="6"/>
  <c r="X30" i="8"/>
  <c r="F31" i="6"/>
  <c r="F31" i="8" s="1"/>
  <c r="Z31" i="8"/>
  <c r="C32" i="6"/>
  <c r="N32" i="8"/>
  <c r="I32" i="6"/>
  <c r="AD32" i="8"/>
  <c r="E35" i="6"/>
  <c r="E35" i="8" s="1"/>
  <c r="X35" i="8"/>
  <c r="J35" i="6"/>
  <c r="AF35" i="8"/>
  <c r="F38" i="6"/>
  <c r="F38" i="8" s="1"/>
  <c r="Z38" i="8"/>
  <c r="J41" i="6"/>
  <c r="AF41" i="8"/>
  <c r="AI46" i="8"/>
  <c r="K46" i="6"/>
  <c r="K46" i="8" s="1"/>
  <c r="D6" i="6"/>
  <c r="S6" i="8"/>
  <c r="O7" i="8"/>
  <c r="I7" i="6"/>
  <c r="I7" i="8" s="1"/>
  <c r="AE7" i="8"/>
  <c r="C11" i="6"/>
  <c r="R11" i="8"/>
  <c r="F11" i="6"/>
  <c r="F11" i="8" s="1"/>
  <c r="Z11" i="8"/>
  <c r="E13" i="6"/>
  <c r="X13" i="8"/>
  <c r="J13" i="6"/>
  <c r="AF13" i="8"/>
  <c r="E14" i="6"/>
  <c r="E14" i="8" s="1"/>
  <c r="X14" i="8"/>
  <c r="J14" i="6"/>
  <c r="J14" i="8" s="1"/>
  <c r="AF14" i="8"/>
  <c r="F15" i="6"/>
  <c r="F15" i="8" s="1"/>
  <c r="Z15" i="8"/>
  <c r="F18" i="6"/>
  <c r="F18" i="8" s="1"/>
  <c r="Z18" i="8"/>
  <c r="J18" i="6"/>
  <c r="J18" i="8" s="1"/>
  <c r="AH18" i="8"/>
  <c r="J19" i="6"/>
  <c r="D19" i="6"/>
  <c r="D19" i="8" s="1"/>
  <c r="T19" i="8"/>
  <c r="H19" i="6"/>
  <c r="H19" i="8" s="1"/>
  <c r="AB19" i="8"/>
  <c r="L19" i="6"/>
  <c r="L19" i="8" s="1"/>
  <c r="AJ19" i="8"/>
  <c r="K20" i="6"/>
  <c r="K20" i="8" s="1"/>
  <c r="H20" i="6"/>
  <c r="H20" i="8" s="1"/>
  <c r="AB20" i="8"/>
  <c r="K21" i="6"/>
  <c r="K21" i="8" s="1"/>
  <c r="K22" i="6"/>
  <c r="K22" i="8" s="1"/>
  <c r="N24" i="8"/>
  <c r="N25" i="8"/>
  <c r="D25" i="6"/>
  <c r="D25" i="8" s="1"/>
  <c r="V25" i="8"/>
  <c r="N26" i="8"/>
  <c r="E27" i="6"/>
  <c r="E27" i="8" s="1"/>
  <c r="X27" i="8"/>
  <c r="E29" i="6"/>
  <c r="E29" i="8" s="1"/>
  <c r="X29" i="8"/>
  <c r="J29" i="6"/>
  <c r="J29" i="8" s="1"/>
  <c r="AF29" i="8"/>
  <c r="C31" i="6"/>
  <c r="H31" i="6"/>
  <c r="H31" i="8" s="1"/>
  <c r="AB31" i="8"/>
  <c r="D32" i="6"/>
  <c r="W32" i="8"/>
  <c r="C36" i="6"/>
  <c r="F36" i="6"/>
  <c r="F36" i="8" s="1"/>
  <c r="Z36" i="8"/>
  <c r="D37" i="6"/>
  <c r="D37" i="8" s="1"/>
  <c r="S37" i="8"/>
  <c r="J38" i="6"/>
  <c r="J38" i="8" s="1"/>
  <c r="D38" i="6"/>
  <c r="S38" i="8"/>
  <c r="I40" i="6"/>
  <c r="I40" i="8" s="1"/>
  <c r="AD40" i="8"/>
  <c r="E41" i="6"/>
  <c r="E41" i="8" s="1"/>
  <c r="X41" i="8"/>
  <c r="AF43" i="8"/>
  <c r="J43" i="6"/>
  <c r="J43" i="8" s="1"/>
  <c r="Z44" i="8"/>
  <c r="F44" i="6"/>
  <c r="F44" i="8" s="1"/>
  <c r="AF45" i="8"/>
  <c r="J45" i="6"/>
  <c r="J45" i="8" s="1"/>
  <c r="AB48" i="8"/>
  <c r="H48" i="6"/>
  <c r="H48" i="8" s="1"/>
  <c r="AJ48" i="8"/>
  <c r="L48" i="6"/>
  <c r="L48" i="8" s="1"/>
  <c r="J4" i="6"/>
  <c r="L5" i="6"/>
  <c r="L5" i="8" s="1"/>
  <c r="AJ5" i="8"/>
  <c r="K6" i="6"/>
  <c r="K6" i="8" s="1"/>
  <c r="E7" i="6"/>
  <c r="X7" i="8"/>
  <c r="E9" i="6"/>
  <c r="E9" i="8" s="1"/>
  <c r="X9" i="8"/>
  <c r="J9" i="6"/>
  <c r="J9" i="8" s="1"/>
  <c r="AF9" i="8"/>
  <c r="E10" i="6"/>
  <c r="E10" i="8" s="1"/>
  <c r="X10" i="8"/>
  <c r="J10" i="6"/>
  <c r="AF10" i="8"/>
  <c r="D11" i="6"/>
  <c r="S11" i="8"/>
  <c r="K11" i="6"/>
  <c r="K11" i="8" s="1"/>
  <c r="AI11" i="8"/>
  <c r="F12" i="6"/>
  <c r="F12" i="8" s="1"/>
  <c r="F13" i="6"/>
  <c r="F13" i="8" s="1"/>
  <c r="C15" i="6"/>
  <c r="D15" i="6"/>
  <c r="S15" i="8"/>
  <c r="J16" i="6"/>
  <c r="J16" i="8" s="1"/>
  <c r="H17" i="6"/>
  <c r="H17" i="8" s="1"/>
  <c r="D18" i="6"/>
  <c r="S18" i="8"/>
  <c r="K19" i="6"/>
  <c r="K19" i="8" s="1"/>
  <c r="L20" i="6"/>
  <c r="L20" i="8" s="1"/>
  <c r="D20" i="6"/>
  <c r="D20" i="8" s="1"/>
  <c r="U20" i="8"/>
  <c r="I20" i="6"/>
  <c r="I20" i="8" s="1"/>
  <c r="AC20" i="8"/>
  <c r="L21" i="6"/>
  <c r="L21" i="8" s="1"/>
  <c r="I21" i="6"/>
  <c r="AC21" i="8"/>
  <c r="L22" i="6"/>
  <c r="L22" i="8" s="1"/>
  <c r="O23" i="8"/>
  <c r="I23" i="6"/>
  <c r="I23" i="8" s="1"/>
  <c r="AE23" i="8"/>
  <c r="E28" i="6"/>
  <c r="E28" i="8" s="1"/>
  <c r="F29" i="6"/>
  <c r="F29" i="8" s="1"/>
  <c r="D31" i="6"/>
  <c r="D31" i="8" s="1"/>
  <c r="T31" i="8"/>
  <c r="E32" i="6"/>
  <c r="E32" i="8" s="1"/>
  <c r="X32" i="8"/>
  <c r="J32" i="6"/>
  <c r="J32" i="8" s="1"/>
  <c r="AF32" i="8"/>
  <c r="E33" i="6"/>
  <c r="E33" i="8" s="1"/>
  <c r="Y33" i="8"/>
  <c r="E34" i="6"/>
  <c r="F34" i="6"/>
  <c r="F34" i="8" s="1"/>
  <c r="Z34" i="8"/>
  <c r="I36" i="6"/>
  <c r="D36" i="6"/>
  <c r="S36" i="8"/>
  <c r="K37" i="6"/>
  <c r="K37" i="8" s="1"/>
  <c r="K38" i="6"/>
  <c r="K38" i="8" s="1"/>
  <c r="J39" i="6"/>
  <c r="J39" i="8" s="1"/>
  <c r="H39" i="6"/>
  <c r="H39" i="8" s="1"/>
  <c r="AB39" i="8"/>
  <c r="AJ39" i="8"/>
  <c r="L39" i="6"/>
  <c r="L39" i="8" s="1"/>
  <c r="C40" i="6"/>
  <c r="O40" i="8"/>
  <c r="X45" i="8"/>
  <c r="E45" i="6"/>
  <c r="E45" i="8" s="1"/>
  <c r="D4" i="6"/>
  <c r="T4" i="8"/>
  <c r="H4" i="6"/>
  <c r="H4" i="8" s="1"/>
  <c r="AB4" i="8"/>
  <c r="L4" i="6"/>
  <c r="L4" i="8" s="1"/>
  <c r="AJ4" i="8"/>
  <c r="K5" i="6"/>
  <c r="K5" i="8" s="1"/>
  <c r="I5" i="6"/>
  <c r="AC5" i="8"/>
  <c r="J11" i="6"/>
  <c r="J11" i="8" s="1"/>
  <c r="H11" i="6"/>
  <c r="H11" i="8" s="1"/>
  <c r="AB11" i="8"/>
  <c r="J12" i="6"/>
  <c r="J12" i="8" s="1"/>
  <c r="F14" i="6"/>
  <c r="F14" i="8" s="1"/>
  <c r="Z14" i="8"/>
  <c r="J15" i="6"/>
  <c r="H15" i="6"/>
  <c r="H15" i="8" s="1"/>
  <c r="AB15" i="8"/>
  <c r="L15" i="6"/>
  <c r="L15" i="8" s="1"/>
  <c r="AJ15" i="8"/>
  <c r="H16" i="6"/>
  <c r="H16" i="8" s="1"/>
  <c r="AB16" i="8"/>
  <c r="D17" i="6"/>
  <c r="D17" i="8" s="1"/>
  <c r="T17" i="8"/>
  <c r="N20" i="8"/>
  <c r="N21" i="8"/>
  <c r="D21" i="6"/>
  <c r="V21" i="8"/>
  <c r="N22" i="8"/>
  <c r="E23" i="6"/>
  <c r="E23" i="8" s="1"/>
  <c r="X23" i="8"/>
  <c r="E25" i="6"/>
  <c r="E25" i="8" s="1"/>
  <c r="X25" i="8"/>
  <c r="J25" i="6"/>
  <c r="J25" i="8" s="1"/>
  <c r="AF25" i="8"/>
  <c r="E26" i="6"/>
  <c r="E26" i="8" s="1"/>
  <c r="X26" i="8"/>
  <c r="F27" i="6"/>
  <c r="F27" i="8" s="1"/>
  <c r="Z27" i="8"/>
  <c r="I30" i="6"/>
  <c r="I30" i="8" s="1"/>
  <c r="D30" i="6"/>
  <c r="S30" i="8"/>
  <c r="L31" i="6"/>
  <c r="L31" i="8" s="1"/>
  <c r="F33" i="6"/>
  <c r="F33" i="8" s="1"/>
  <c r="Z33" i="8"/>
  <c r="J34" i="6"/>
  <c r="J34" i="8" s="1"/>
  <c r="J36" i="6"/>
  <c r="J36" i="8" s="1"/>
  <c r="H36" i="6"/>
  <c r="H36" i="8" s="1"/>
  <c r="AB36" i="8"/>
  <c r="AJ36" i="8"/>
  <c r="L36" i="6"/>
  <c r="L36" i="8" s="1"/>
  <c r="I37" i="6"/>
  <c r="AC37" i="8"/>
  <c r="I50" i="6"/>
  <c r="I50" i="8" s="1"/>
  <c r="AC50" i="8"/>
  <c r="I4" i="6"/>
  <c r="AC4" i="8"/>
  <c r="N5" i="8"/>
  <c r="D5" i="6"/>
  <c r="D5" i="8" s="1"/>
  <c r="V5" i="8"/>
  <c r="N6" i="8"/>
  <c r="C7" i="6"/>
  <c r="R7" i="8"/>
  <c r="F7" i="6"/>
  <c r="F7" i="8" s="1"/>
  <c r="Z7" i="8"/>
  <c r="J7" i="6"/>
  <c r="AH7" i="8"/>
  <c r="H10" i="6"/>
  <c r="H10" i="8" s="1"/>
  <c r="F10" i="6"/>
  <c r="F10" i="8" s="1"/>
  <c r="Z10" i="8"/>
  <c r="L11" i="6"/>
  <c r="L11" i="8" s="1"/>
  <c r="H13" i="6"/>
  <c r="H13" i="8" s="1"/>
  <c r="I14" i="6"/>
  <c r="D14" i="6"/>
  <c r="S14" i="8"/>
  <c r="K15" i="6"/>
  <c r="K15" i="8" s="1"/>
  <c r="L16" i="6"/>
  <c r="L16" i="8" s="1"/>
  <c r="D16" i="6"/>
  <c r="U16" i="8"/>
  <c r="I16" i="6"/>
  <c r="I16" i="8" s="1"/>
  <c r="AC16" i="8"/>
  <c r="L17" i="6"/>
  <c r="L17" i="8" s="1"/>
  <c r="I17" i="6"/>
  <c r="I17" i="8" s="1"/>
  <c r="AC17" i="8"/>
  <c r="L18" i="6"/>
  <c r="L18" i="8" s="1"/>
  <c r="O19" i="8"/>
  <c r="I19" i="6"/>
  <c r="I19" i="8" s="1"/>
  <c r="AE19" i="8"/>
  <c r="E24" i="6"/>
  <c r="E24" i="8" s="1"/>
  <c r="F25" i="6"/>
  <c r="F25" i="8" s="1"/>
  <c r="C27" i="6"/>
  <c r="J28" i="6"/>
  <c r="J28" i="8" s="1"/>
  <c r="H29" i="6"/>
  <c r="H29" i="8" s="1"/>
  <c r="K30" i="6"/>
  <c r="K30" i="8" s="1"/>
  <c r="AB30" i="8"/>
  <c r="H30" i="6"/>
  <c r="H30" i="8" s="1"/>
  <c r="I31" i="6"/>
  <c r="I31" i="8" s="1"/>
  <c r="AE31" i="8"/>
  <c r="I33" i="6"/>
  <c r="D33" i="6"/>
  <c r="D33" i="8" s="1"/>
  <c r="S33" i="8"/>
  <c r="K34" i="6"/>
  <c r="K34" i="8" s="1"/>
  <c r="H34" i="6"/>
  <c r="H34" i="8" s="1"/>
  <c r="AB34" i="8"/>
  <c r="I35" i="6"/>
  <c r="I35" i="8" s="1"/>
  <c r="AJ35" i="8"/>
  <c r="L35" i="6"/>
  <c r="L35" i="8" s="1"/>
  <c r="K36" i="6"/>
  <c r="K36" i="8" s="1"/>
  <c r="H41" i="6"/>
  <c r="H41" i="8" s="1"/>
  <c r="AB41" i="8"/>
  <c r="C4" i="6"/>
  <c r="N4" i="8"/>
  <c r="D7" i="6"/>
  <c r="D7" i="8" s="1"/>
  <c r="S7" i="8"/>
  <c r="K7" i="6"/>
  <c r="K7" i="8" s="1"/>
  <c r="AI7" i="8"/>
  <c r="J8" i="6"/>
  <c r="J8" i="8" s="1"/>
  <c r="H9" i="6"/>
  <c r="H9" i="8" s="1"/>
  <c r="I10" i="6"/>
  <c r="D10" i="6"/>
  <c r="S10" i="8"/>
  <c r="H12" i="6"/>
  <c r="H12" i="8" s="1"/>
  <c r="AB12" i="8"/>
  <c r="N16" i="8"/>
  <c r="N17" i="8"/>
  <c r="N18" i="8"/>
  <c r="E19" i="6"/>
  <c r="X19" i="8"/>
  <c r="E21" i="6"/>
  <c r="E21" i="8" s="1"/>
  <c r="X21" i="8"/>
  <c r="J21" i="6"/>
  <c r="J21" i="8" s="1"/>
  <c r="AF21" i="8"/>
  <c r="E22" i="6"/>
  <c r="E22" i="8" s="1"/>
  <c r="X22" i="8"/>
  <c r="F23" i="6"/>
  <c r="F23" i="8" s="1"/>
  <c r="Z23" i="8"/>
  <c r="H26" i="6"/>
  <c r="H26" i="8" s="1"/>
  <c r="F26" i="6"/>
  <c r="F26" i="8" s="1"/>
  <c r="Z26" i="8"/>
  <c r="J26" i="6"/>
  <c r="J26" i="8" s="1"/>
  <c r="AH26" i="8"/>
  <c r="J27" i="6"/>
  <c r="J27" i="8" s="1"/>
  <c r="D27" i="6"/>
  <c r="D27" i="8" s="1"/>
  <c r="T27" i="8"/>
  <c r="H27" i="6"/>
  <c r="H27" i="8" s="1"/>
  <c r="AB27" i="8"/>
  <c r="L27" i="6"/>
  <c r="L27" i="8" s="1"/>
  <c r="AJ27" i="8"/>
  <c r="H28" i="6"/>
  <c r="H28" i="8" s="1"/>
  <c r="AB28" i="8"/>
  <c r="O31" i="8"/>
  <c r="AF31" i="8"/>
  <c r="J31" i="6"/>
  <c r="J31" i="8" s="1"/>
  <c r="AI32" i="8"/>
  <c r="K32" i="6"/>
  <c r="K32" i="8" s="1"/>
  <c r="J33" i="6"/>
  <c r="J33" i="8" s="1"/>
  <c r="AJ33" i="8"/>
  <c r="L33" i="6"/>
  <c r="L33" i="8" s="1"/>
  <c r="K35" i="6"/>
  <c r="K35" i="8" s="1"/>
  <c r="E42" i="6"/>
  <c r="X42" i="8"/>
  <c r="D43" i="6"/>
  <c r="AI47" i="8"/>
  <c r="K47" i="6"/>
  <c r="K47" i="8" s="1"/>
  <c r="C39" i="6"/>
  <c r="N39" i="8"/>
  <c r="D41" i="6"/>
  <c r="D41" i="8" s="1"/>
  <c r="D42" i="6"/>
  <c r="D42" i="8" s="1"/>
  <c r="T42" i="8"/>
  <c r="H42" i="6"/>
  <c r="H42" i="8" s="1"/>
  <c r="AB42" i="8"/>
  <c r="I43" i="6"/>
  <c r="H44" i="6"/>
  <c r="H44" i="8" s="1"/>
  <c r="AB44" i="8"/>
  <c r="E48" i="6"/>
  <c r="X48" i="8"/>
  <c r="F49" i="6"/>
  <c r="F49" i="8" s="1"/>
  <c r="Z49" i="8"/>
  <c r="F51" i="6"/>
  <c r="F51" i="8" s="1"/>
  <c r="C52" i="6"/>
  <c r="F52" i="6"/>
  <c r="F52" i="8" s="1"/>
  <c r="Z52" i="8"/>
  <c r="F54" i="6"/>
  <c r="F54" i="8" s="1"/>
  <c r="F55" i="6"/>
  <c r="F55" i="8" s="1"/>
  <c r="D56" i="6"/>
  <c r="S56" i="8"/>
  <c r="K56" i="6"/>
  <c r="K56" i="8" s="1"/>
  <c r="AI56" i="8"/>
  <c r="J58" i="6"/>
  <c r="H59" i="6"/>
  <c r="H59" i="8" s="1"/>
  <c r="H61" i="6"/>
  <c r="H61" i="8" s="1"/>
  <c r="AB61" i="8"/>
  <c r="H62" i="6"/>
  <c r="H62" i="8" s="1"/>
  <c r="AB62" i="8"/>
  <c r="I63" i="6"/>
  <c r="D65" i="6"/>
  <c r="U65" i="8"/>
  <c r="I65" i="6"/>
  <c r="AC65" i="8"/>
  <c r="K67" i="8"/>
  <c r="N68" i="8"/>
  <c r="I68" i="6"/>
  <c r="I68" i="8" s="1"/>
  <c r="AD68" i="8"/>
  <c r="C69" i="6"/>
  <c r="N69" i="8"/>
  <c r="N72" i="8"/>
  <c r="I72" i="6"/>
  <c r="I72" i="8" s="1"/>
  <c r="AD72" i="8"/>
  <c r="C73" i="6"/>
  <c r="N73" i="8"/>
  <c r="N74" i="8"/>
  <c r="L75" i="8"/>
  <c r="N76" i="8"/>
  <c r="I76" i="6"/>
  <c r="I76" i="8" s="1"/>
  <c r="AD76" i="8"/>
  <c r="C77" i="6"/>
  <c r="N77" i="8"/>
  <c r="N78" i="8"/>
  <c r="N80" i="8"/>
  <c r="I80" i="6"/>
  <c r="I80" i="8" s="1"/>
  <c r="AD80" i="8"/>
  <c r="C81" i="6"/>
  <c r="N81" i="8"/>
  <c r="N82" i="8"/>
  <c r="N84" i="8"/>
  <c r="I84" i="6"/>
  <c r="I84" i="8" s="1"/>
  <c r="AD84" i="8"/>
  <c r="D85" i="6"/>
  <c r="U85" i="8"/>
  <c r="I85" i="6"/>
  <c r="I85" i="8" s="1"/>
  <c r="AC85" i="8"/>
  <c r="K88" i="8"/>
  <c r="J89" i="6"/>
  <c r="J89" i="8" s="1"/>
  <c r="F89" i="6"/>
  <c r="F89" i="8" s="1"/>
  <c r="Z89" i="8"/>
  <c r="F91" i="8"/>
  <c r="J91" i="6"/>
  <c r="J91" i="8" s="1"/>
  <c r="AG91" i="8"/>
  <c r="D94" i="6"/>
  <c r="D94" i="8" s="1"/>
  <c r="E94" i="6"/>
  <c r="E94" i="8" s="1"/>
  <c r="X94" i="8"/>
  <c r="E95" i="6"/>
  <c r="E95" i="8" s="1"/>
  <c r="X95" i="8"/>
  <c r="C99" i="6"/>
  <c r="N99" i="8"/>
  <c r="D99" i="6"/>
  <c r="V99" i="8"/>
  <c r="L100" i="8"/>
  <c r="I100" i="6"/>
  <c r="I100" i="8" s="1"/>
  <c r="AC100" i="8"/>
  <c r="J102" i="6"/>
  <c r="J102" i="8" s="1"/>
  <c r="D3" i="4"/>
  <c r="D3" i="5" s="1"/>
  <c r="J4" i="7"/>
  <c r="D5" i="7"/>
  <c r="D6" i="4"/>
  <c r="I7" i="7"/>
  <c r="J10" i="7"/>
  <c r="I13" i="7"/>
  <c r="D14" i="4"/>
  <c r="E17" i="7"/>
  <c r="J17" i="7"/>
  <c r="C19" i="7"/>
  <c r="E19" i="7"/>
  <c r="J19" i="7"/>
  <c r="D32" i="7"/>
  <c r="D42" i="7"/>
  <c r="D62" i="7"/>
  <c r="D79" i="4"/>
  <c r="C85" i="7"/>
  <c r="C91" i="7"/>
  <c r="D95" i="4"/>
  <c r="D105" i="7"/>
  <c r="F40" i="6"/>
  <c r="F40" i="8" s="1"/>
  <c r="Z40" i="8"/>
  <c r="L43" i="6"/>
  <c r="L43" i="8" s="1"/>
  <c r="AJ43" i="8"/>
  <c r="C45" i="6"/>
  <c r="N45" i="8"/>
  <c r="D45" i="6"/>
  <c r="D45" i="8" s="1"/>
  <c r="V45" i="8"/>
  <c r="E46" i="6"/>
  <c r="E46" i="8" s="1"/>
  <c r="X46" i="8"/>
  <c r="J47" i="6"/>
  <c r="J47" i="8" s="1"/>
  <c r="AF47" i="8"/>
  <c r="J49" i="6"/>
  <c r="H50" i="6"/>
  <c r="H50" i="8" s="1"/>
  <c r="H52" i="6"/>
  <c r="H52" i="8" s="1"/>
  <c r="D52" i="6"/>
  <c r="D52" i="8" s="1"/>
  <c r="S52" i="8"/>
  <c r="F53" i="6"/>
  <c r="F53" i="8" s="1"/>
  <c r="Z53" i="8"/>
  <c r="H56" i="8"/>
  <c r="H57" i="6"/>
  <c r="H57" i="8" s="1"/>
  <c r="AB57" i="8"/>
  <c r="H58" i="6"/>
  <c r="H58" i="8" s="1"/>
  <c r="AB58" i="8"/>
  <c r="I59" i="6"/>
  <c r="I59" i="8" s="1"/>
  <c r="D61" i="6"/>
  <c r="D61" i="8" s="1"/>
  <c r="U61" i="8"/>
  <c r="I61" i="6"/>
  <c r="I61" i="8" s="1"/>
  <c r="AC61" i="8"/>
  <c r="K63" i="8"/>
  <c r="N64" i="8"/>
  <c r="I64" i="6"/>
  <c r="I64" i="8" s="1"/>
  <c r="AD64" i="8"/>
  <c r="C65" i="6"/>
  <c r="N65" i="8"/>
  <c r="D70" i="6"/>
  <c r="W70" i="8"/>
  <c r="C71" i="6"/>
  <c r="N71" i="8"/>
  <c r="D71" i="6"/>
  <c r="D71" i="8" s="1"/>
  <c r="V71" i="8"/>
  <c r="D74" i="6"/>
  <c r="W74" i="8"/>
  <c r="C75" i="6"/>
  <c r="N75" i="8"/>
  <c r="D75" i="6"/>
  <c r="V75" i="8"/>
  <c r="D78" i="6"/>
  <c r="D78" i="8" s="1"/>
  <c r="W78" i="8"/>
  <c r="C79" i="6"/>
  <c r="N79" i="8"/>
  <c r="D79" i="6"/>
  <c r="V79" i="8"/>
  <c r="D82" i="6"/>
  <c r="D82" i="8" s="1"/>
  <c r="W82" i="8"/>
  <c r="C83" i="6"/>
  <c r="N83" i="8"/>
  <c r="D83" i="6"/>
  <c r="V83" i="8"/>
  <c r="C85" i="6"/>
  <c r="N85" i="8"/>
  <c r="N86" i="8"/>
  <c r="I86" i="6"/>
  <c r="AD86" i="8"/>
  <c r="L87" i="6"/>
  <c r="L87" i="8" s="1"/>
  <c r="L88" i="6"/>
  <c r="L88" i="8" s="1"/>
  <c r="D92" i="6"/>
  <c r="S92" i="8"/>
  <c r="H93" i="6"/>
  <c r="H93" i="8" s="1"/>
  <c r="R93" i="8"/>
  <c r="F93" i="6"/>
  <c r="F93" i="8" s="1"/>
  <c r="Z93" i="8"/>
  <c r="F95" i="8"/>
  <c r="J95" i="6"/>
  <c r="J95" i="8" s="1"/>
  <c r="AG95" i="8"/>
  <c r="D96" i="6"/>
  <c r="E96" i="6"/>
  <c r="X96" i="8"/>
  <c r="J96" i="6"/>
  <c r="AF96" i="8"/>
  <c r="E97" i="6"/>
  <c r="E97" i="8" s="1"/>
  <c r="X97" i="8"/>
  <c r="N98" i="8"/>
  <c r="N100" i="8"/>
  <c r="N101" i="8"/>
  <c r="D101" i="6"/>
  <c r="D101" i="8" s="1"/>
  <c r="V101" i="8"/>
  <c r="I101" i="6"/>
  <c r="I101" i="8" s="1"/>
  <c r="AD101" i="8"/>
  <c r="H102" i="6"/>
  <c r="H102" i="8" s="1"/>
  <c r="AB102" i="8"/>
  <c r="J103" i="6"/>
  <c r="J103" i="8" s="1"/>
  <c r="H104" i="6"/>
  <c r="H104" i="8" s="1"/>
  <c r="H105" i="6"/>
  <c r="H105" i="8" s="1"/>
  <c r="I5" i="7"/>
  <c r="D11" i="7"/>
  <c r="D12" i="4"/>
  <c r="E18" i="7"/>
  <c r="D29" i="7"/>
  <c r="D34" i="7"/>
  <c r="D36" i="7"/>
  <c r="C44" i="7"/>
  <c r="I44" i="7"/>
  <c r="D44" i="4"/>
  <c r="D45" i="7"/>
  <c r="I45" i="7"/>
  <c r="C49" i="7"/>
  <c r="D49" i="7"/>
  <c r="I49" i="7"/>
  <c r="C50" i="7"/>
  <c r="D54" i="7"/>
  <c r="I54" i="7"/>
  <c r="D59" i="4"/>
  <c r="D60" i="4"/>
  <c r="D60" i="5" s="1"/>
  <c r="I61" i="7"/>
  <c r="D67" i="4"/>
  <c r="E73" i="7"/>
  <c r="D75" i="7"/>
  <c r="I75" i="7"/>
  <c r="D77" i="7"/>
  <c r="D80" i="7"/>
  <c r="D80" i="4"/>
  <c r="D82" i="7"/>
  <c r="I82" i="7"/>
  <c r="C86" i="7"/>
  <c r="D87" i="7"/>
  <c r="I87" i="7"/>
  <c r="D89" i="7"/>
  <c r="D91" i="4"/>
  <c r="D96" i="7"/>
  <c r="D96" i="4"/>
  <c r="E100" i="7"/>
  <c r="J100" i="7"/>
  <c r="I44" i="6"/>
  <c r="I44" i="8" s="1"/>
  <c r="AD44" i="8"/>
  <c r="F47" i="6"/>
  <c r="F47" i="8" s="1"/>
  <c r="F48" i="6"/>
  <c r="F48" i="8" s="1"/>
  <c r="Z48" i="8"/>
  <c r="K49" i="8"/>
  <c r="D49" i="6"/>
  <c r="D49" i="8" s="1"/>
  <c r="T49" i="8"/>
  <c r="H49" i="6"/>
  <c r="H49" i="8" s="1"/>
  <c r="AB49" i="8"/>
  <c r="J50" i="8"/>
  <c r="H51" i="6"/>
  <c r="H51" i="8" s="1"/>
  <c r="H55" i="6"/>
  <c r="H55" i="8" s="1"/>
  <c r="L56" i="8"/>
  <c r="D57" i="6"/>
  <c r="U57" i="8"/>
  <c r="I57" i="6"/>
  <c r="AC57" i="8"/>
  <c r="K59" i="8"/>
  <c r="N60" i="8"/>
  <c r="I60" i="6"/>
  <c r="I60" i="8" s="1"/>
  <c r="AD60" i="8"/>
  <c r="C61" i="6"/>
  <c r="N61" i="8"/>
  <c r="D66" i="6"/>
  <c r="D66" i="8" s="1"/>
  <c r="W66" i="8"/>
  <c r="C67" i="6"/>
  <c r="N67" i="8"/>
  <c r="D67" i="6"/>
  <c r="V67" i="8"/>
  <c r="E68" i="6"/>
  <c r="E68" i="8" s="1"/>
  <c r="X68" i="8"/>
  <c r="J68" i="6"/>
  <c r="AF68" i="8"/>
  <c r="E70" i="6"/>
  <c r="E70" i="8" s="1"/>
  <c r="X70" i="8"/>
  <c r="E72" i="6"/>
  <c r="E72" i="8" s="1"/>
  <c r="X72" i="8"/>
  <c r="J72" i="6"/>
  <c r="J72" i="8" s="1"/>
  <c r="AF72" i="8"/>
  <c r="E74" i="6"/>
  <c r="E74" i="8" s="1"/>
  <c r="X74" i="8"/>
  <c r="E76" i="6"/>
  <c r="X76" i="8"/>
  <c r="J76" i="6"/>
  <c r="AF76" i="8"/>
  <c r="E78" i="6"/>
  <c r="E78" i="8" s="1"/>
  <c r="X78" i="8"/>
  <c r="E80" i="6"/>
  <c r="X80" i="8"/>
  <c r="J80" i="6"/>
  <c r="J80" i="8" s="1"/>
  <c r="AF80" i="8"/>
  <c r="E82" i="6"/>
  <c r="E82" i="8" s="1"/>
  <c r="X82" i="8"/>
  <c r="E84" i="6"/>
  <c r="X84" i="8"/>
  <c r="J84" i="6"/>
  <c r="AF84" i="8"/>
  <c r="D86" i="6"/>
  <c r="W86" i="8"/>
  <c r="C87" i="6"/>
  <c r="N87" i="8"/>
  <c r="D87" i="6"/>
  <c r="D87" i="8" s="1"/>
  <c r="V87" i="8"/>
  <c r="N88" i="8"/>
  <c r="I88" i="6"/>
  <c r="I88" i="8" s="1"/>
  <c r="AD88" i="8"/>
  <c r="J90" i="6"/>
  <c r="J90" i="8" s="1"/>
  <c r="H91" i="6"/>
  <c r="H91" i="8" s="1"/>
  <c r="J93" i="8"/>
  <c r="F96" i="6"/>
  <c r="F96" i="8" s="1"/>
  <c r="D98" i="6"/>
  <c r="D98" i="8" s="1"/>
  <c r="E99" i="6"/>
  <c r="E99" i="8" s="1"/>
  <c r="X99" i="8"/>
  <c r="H103" i="6"/>
  <c r="H103" i="8" s="1"/>
  <c r="AB103" i="8"/>
  <c r="I105" i="6"/>
  <c r="I105" i="8" s="1"/>
  <c r="F105" i="6"/>
  <c r="F105" i="8" s="1"/>
  <c r="Z105" i="8"/>
  <c r="D4" i="4"/>
  <c r="D5" i="4"/>
  <c r="D6" i="7"/>
  <c r="I6" i="7"/>
  <c r="I6" i="8" s="1"/>
  <c r="C7" i="7"/>
  <c r="E7" i="7"/>
  <c r="J7" i="7"/>
  <c r="D7" i="4"/>
  <c r="D7" i="5" s="1"/>
  <c r="D12" i="7"/>
  <c r="I12" i="7"/>
  <c r="D13" i="4"/>
  <c r="D14" i="7"/>
  <c r="I14" i="7"/>
  <c r="C15" i="7"/>
  <c r="E15" i="7"/>
  <c r="J15" i="7"/>
  <c r="D21" i="7"/>
  <c r="I29" i="7"/>
  <c r="I32" i="7"/>
  <c r="I33" i="7"/>
  <c r="D38" i="7"/>
  <c r="D45" i="4"/>
  <c r="D52" i="4"/>
  <c r="D52" i="5" s="1"/>
  <c r="I53" i="7"/>
  <c r="C54" i="7"/>
  <c r="D57" i="7"/>
  <c r="D63" i="7"/>
  <c r="I63" i="7"/>
  <c r="D65" i="7"/>
  <c r="D68" i="4"/>
  <c r="D70" i="7"/>
  <c r="I70" i="7"/>
  <c r="C74" i="7"/>
  <c r="J74" i="7"/>
  <c r="C75" i="7"/>
  <c r="E80" i="7"/>
  <c r="J80" i="7"/>
  <c r="C87" i="7"/>
  <c r="D92" i="7"/>
  <c r="D92" i="4"/>
  <c r="E96" i="7"/>
  <c r="J96" i="7"/>
  <c r="I102" i="7"/>
  <c r="D48" i="6"/>
  <c r="S48" i="8"/>
  <c r="K48" i="6"/>
  <c r="K48" i="8" s="1"/>
  <c r="AI48" i="8"/>
  <c r="I49" i="6"/>
  <c r="I49" i="8" s="1"/>
  <c r="AC49" i="8"/>
  <c r="H53" i="6"/>
  <c r="H53" i="8" s="1"/>
  <c r="AB53" i="8"/>
  <c r="D54" i="6"/>
  <c r="D54" i="8" s="1"/>
  <c r="T54" i="8"/>
  <c r="H54" i="6"/>
  <c r="H54" i="8" s="1"/>
  <c r="AB54" i="8"/>
  <c r="K55" i="8"/>
  <c r="N56" i="8"/>
  <c r="I56" i="6"/>
  <c r="I56" i="8" s="1"/>
  <c r="AD56" i="8"/>
  <c r="C57" i="6"/>
  <c r="N57" i="8"/>
  <c r="D62" i="6"/>
  <c r="D62" i="8" s="1"/>
  <c r="W62" i="8"/>
  <c r="C63" i="6"/>
  <c r="N63" i="8"/>
  <c r="D63" i="6"/>
  <c r="D63" i="8" s="1"/>
  <c r="V63" i="8"/>
  <c r="E64" i="6"/>
  <c r="X64" i="8"/>
  <c r="J64" i="6"/>
  <c r="AF64" i="8"/>
  <c r="E66" i="6"/>
  <c r="E66" i="8" s="1"/>
  <c r="X66" i="8"/>
  <c r="F70" i="6"/>
  <c r="F70" i="8" s="1"/>
  <c r="F74" i="6"/>
  <c r="F74" i="8" s="1"/>
  <c r="E75" i="6"/>
  <c r="E75" i="8" s="1"/>
  <c r="X75" i="8"/>
  <c r="J75" i="6"/>
  <c r="J75" i="8" s="1"/>
  <c r="AF75" i="8"/>
  <c r="F78" i="6"/>
  <c r="F78" i="8" s="1"/>
  <c r="F79" i="6"/>
  <c r="F79" i="8" s="1"/>
  <c r="E79" i="6"/>
  <c r="E79" i="8" s="1"/>
  <c r="X79" i="8"/>
  <c r="J79" i="6"/>
  <c r="J79" i="8" s="1"/>
  <c r="AF79" i="8"/>
  <c r="F82" i="6"/>
  <c r="F82" i="8" s="1"/>
  <c r="F83" i="6"/>
  <c r="F83" i="8" s="1"/>
  <c r="E83" i="6"/>
  <c r="E83" i="8" s="1"/>
  <c r="X83" i="8"/>
  <c r="J83" i="6"/>
  <c r="J83" i="8" s="1"/>
  <c r="AF83" i="8"/>
  <c r="E85" i="6"/>
  <c r="E85" i="8" s="1"/>
  <c r="E86" i="6"/>
  <c r="E86" i="8" s="1"/>
  <c r="X86" i="8"/>
  <c r="D89" i="6"/>
  <c r="D89" i="8" s="1"/>
  <c r="U89" i="8"/>
  <c r="I89" i="6"/>
  <c r="I89" i="8" s="1"/>
  <c r="AC89" i="8"/>
  <c r="H90" i="6"/>
  <c r="H90" i="8" s="1"/>
  <c r="AB90" i="8"/>
  <c r="J94" i="8"/>
  <c r="H95" i="6"/>
  <c r="H95" i="8" s="1"/>
  <c r="H97" i="6"/>
  <c r="H97" i="8" s="1"/>
  <c r="F97" i="6"/>
  <c r="F97" i="8" s="1"/>
  <c r="Z97" i="8"/>
  <c r="F98" i="6"/>
  <c r="F98" i="8" s="1"/>
  <c r="E98" i="6"/>
  <c r="E98" i="8" s="1"/>
  <c r="X98" i="8"/>
  <c r="D100" i="6"/>
  <c r="D100" i="8" s="1"/>
  <c r="E100" i="6"/>
  <c r="E100" i="8" s="1"/>
  <c r="X100" i="8"/>
  <c r="J100" i="6"/>
  <c r="AF100" i="8"/>
  <c r="E101" i="6"/>
  <c r="E101" i="8" s="1"/>
  <c r="X101" i="8"/>
  <c r="N102" i="8"/>
  <c r="I103" i="6"/>
  <c r="AC103" i="8"/>
  <c r="D104" i="6"/>
  <c r="D104" i="8" s="1"/>
  <c r="U104" i="8"/>
  <c r="I104" i="6"/>
  <c r="AC104" i="8"/>
  <c r="J105" i="8"/>
  <c r="D105" i="6"/>
  <c r="D105" i="8" s="1"/>
  <c r="S105" i="8"/>
  <c r="D4" i="7"/>
  <c r="I4" i="7"/>
  <c r="D9" i="7"/>
  <c r="C12" i="7"/>
  <c r="E13" i="7"/>
  <c r="J13" i="7"/>
  <c r="I21" i="7"/>
  <c r="D24" i="7"/>
  <c r="I24" i="7"/>
  <c r="I25" i="7"/>
  <c r="D28" i="7"/>
  <c r="I28" i="7"/>
  <c r="C29" i="7"/>
  <c r="D30" i="7"/>
  <c r="D31" i="4"/>
  <c r="I36" i="7"/>
  <c r="I37" i="7"/>
  <c r="D42" i="4"/>
  <c r="D43" i="7"/>
  <c r="I43" i="7"/>
  <c r="E44" i="7"/>
  <c r="C47" i="7"/>
  <c r="D47" i="7"/>
  <c r="I48" i="7"/>
  <c r="E49" i="7"/>
  <c r="J50" i="7"/>
  <c r="E60" i="7"/>
  <c r="J60" i="7"/>
  <c r="E61" i="7"/>
  <c r="C62" i="7"/>
  <c r="J62" i="7"/>
  <c r="C63" i="7"/>
  <c r="E68" i="7"/>
  <c r="J68" i="7"/>
  <c r="D75" i="4"/>
  <c r="E81" i="7"/>
  <c r="D83" i="7"/>
  <c r="I83" i="7"/>
  <c r="D85" i="7"/>
  <c r="D87" i="4"/>
  <c r="E92" i="7"/>
  <c r="J92" i="7"/>
  <c r="I98" i="7"/>
  <c r="D100" i="4"/>
  <c r="D103" i="7"/>
  <c r="I103" i="7"/>
  <c r="D104" i="7"/>
  <c r="D104" i="4"/>
  <c r="I52" i="6"/>
  <c r="I52" i="8" s="1"/>
  <c r="AD52" i="8"/>
  <c r="I53" i="6"/>
  <c r="I53" i="8" s="1"/>
  <c r="AC53" i="8"/>
  <c r="D58" i="6"/>
  <c r="D58" i="8" s="1"/>
  <c r="W58" i="8"/>
  <c r="C59" i="6"/>
  <c r="N59" i="8"/>
  <c r="D59" i="6"/>
  <c r="V59" i="8"/>
  <c r="E60" i="6"/>
  <c r="E60" i="8" s="1"/>
  <c r="X60" i="8"/>
  <c r="J60" i="6"/>
  <c r="J60" i="8" s="1"/>
  <c r="AF60" i="8"/>
  <c r="E62" i="6"/>
  <c r="E62" i="8" s="1"/>
  <c r="X62" i="8"/>
  <c r="F67" i="8"/>
  <c r="F68" i="6"/>
  <c r="F68" i="8" s="1"/>
  <c r="Z68" i="8"/>
  <c r="J69" i="8"/>
  <c r="F69" i="6"/>
  <c r="F69" i="8" s="1"/>
  <c r="Z69" i="8"/>
  <c r="F72" i="6"/>
  <c r="F72" i="8" s="1"/>
  <c r="Z72" i="8"/>
  <c r="F73" i="6"/>
  <c r="F73" i="8" s="1"/>
  <c r="Z73" i="8"/>
  <c r="F76" i="6"/>
  <c r="F76" i="8" s="1"/>
  <c r="Z76" i="8"/>
  <c r="J77" i="8"/>
  <c r="F77" i="6"/>
  <c r="F77" i="8" s="1"/>
  <c r="Z77" i="8"/>
  <c r="F80" i="6"/>
  <c r="F80" i="8" s="1"/>
  <c r="Z80" i="8"/>
  <c r="J81" i="8"/>
  <c r="F81" i="6"/>
  <c r="F81" i="8" s="1"/>
  <c r="Z81" i="8"/>
  <c r="F84" i="6"/>
  <c r="F84" i="8" s="1"/>
  <c r="Z84" i="8"/>
  <c r="F86" i="8"/>
  <c r="E87" i="6"/>
  <c r="E87" i="8" s="1"/>
  <c r="X87" i="8"/>
  <c r="J87" i="6"/>
  <c r="J87" i="8" s="1"/>
  <c r="AF87" i="8"/>
  <c r="E88" i="6"/>
  <c r="E88" i="8" s="1"/>
  <c r="X88" i="8"/>
  <c r="J88" i="6"/>
  <c r="J88" i="8" s="1"/>
  <c r="AF88" i="8"/>
  <c r="C89" i="6"/>
  <c r="N89" i="8"/>
  <c r="I90" i="6"/>
  <c r="I90" i="8" s="1"/>
  <c r="AC90" i="8"/>
  <c r="N92" i="8"/>
  <c r="I92" i="6"/>
  <c r="I92" i="8" s="1"/>
  <c r="AD92" i="8"/>
  <c r="L93" i="8"/>
  <c r="D93" i="6"/>
  <c r="U93" i="8"/>
  <c r="I93" i="6"/>
  <c r="I93" i="8" s="1"/>
  <c r="AC93" i="8"/>
  <c r="H94" i="6"/>
  <c r="H94" i="8" s="1"/>
  <c r="AB94" i="8"/>
  <c r="K95" i="8"/>
  <c r="J97" i="8"/>
  <c r="F100" i="8"/>
  <c r="C103" i="6"/>
  <c r="N103" i="8"/>
  <c r="D103" i="6"/>
  <c r="V103" i="8"/>
  <c r="N104" i="8"/>
  <c r="F45" i="6"/>
  <c r="F45" i="8" s="1"/>
  <c r="Z45" i="8"/>
  <c r="J46" i="6"/>
  <c r="J46" i="8" s="1"/>
  <c r="D46" i="6"/>
  <c r="D46" i="8" s="1"/>
  <c r="T46" i="8"/>
  <c r="H46" i="6"/>
  <c r="H46" i="8" s="1"/>
  <c r="AB46" i="8"/>
  <c r="L46" i="6"/>
  <c r="L46" i="8" s="1"/>
  <c r="AJ46" i="8"/>
  <c r="D47" i="6"/>
  <c r="D47" i="8" s="1"/>
  <c r="T47" i="8"/>
  <c r="D50" i="6"/>
  <c r="V50" i="8"/>
  <c r="D51" i="6"/>
  <c r="V51" i="8"/>
  <c r="I51" i="6"/>
  <c r="AD51" i="8"/>
  <c r="C53" i="6"/>
  <c r="N53" i="8"/>
  <c r="D55" i="6"/>
  <c r="V55" i="8"/>
  <c r="I55" i="6"/>
  <c r="AD55" i="8"/>
  <c r="E56" i="6"/>
  <c r="X56" i="8"/>
  <c r="J56" i="6"/>
  <c r="AF56" i="8"/>
  <c r="E58" i="6"/>
  <c r="E58" i="8" s="1"/>
  <c r="X58" i="8"/>
  <c r="E61" i="6"/>
  <c r="F62" i="6"/>
  <c r="F62" i="8" s="1"/>
  <c r="F64" i="6"/>
  <c r="F64" i="8" s="1"/>
  <c r="Z64" i="8"/>
  <c r="J65" i="6"/>
  <c r="J65" i="8" s="1"/>
  <c r="F65" i="6"/>
  <c r="F65" i="8" s="1"/>
  <c r="Z65" i="8"/>
  <c r="C68" i="6"/>
  <c r="D68" i="6"/>
  <c r="D68" i="8" s="1"/>
  <c r="S68" i="8"/>
  <c r="K68" i="6"/>
  <c r="K68" i="8" s="1"/>
  <c r="AI68" i="8"/>
  <c r="J70" i="6"/>
  <c r="H71" i="8"/>
  <c r="H72" i="6"/>
  <c r="H72" i="8" s="1"/>
  <c r="D72" i="6"/>
  <c r="S72" i="8"/>
  <c r="K73" i="8"/>
  <c r="J74" i="6"/>
  <c r="J74" i="8" s="1"/>
  <c r="H76" i="6"/>
  <c r="H76" i="8" s="1"/>
  <c r="D76" i="6"/>
  <c r="S76" i="8"/>
  <c r="J78" i="6"/>
  <c r="D80" i="6"/>
  <c r="S80" i="8"/>
  <c r="K81" i="8"/>
  <c r="J82" i="6"/>
  <c r="J82" i="8" s="1"/>
  <c r="H84" i="8"/>
  <c r="D84" i="6"/>
  <c r="S84" i="8"/>
  <c r="J85" i="6"/>
  <c r="J85" i="8" s="1"/>
  <c r="F85" i="6"/>
  <c r="F85" i="8" s="1"/>
  <c r="Z85" i="8"/>
  <c r="C88" i="6"/>
  <c r="N90" i="8"/>
  <c r="C91" i="6"/>
  <c r="N91" i="8"/>
  <c r="D91" i="6"/>
  <c r="V91" i="8"/>
  <c r="I91" i="6"/>
  <c r="AD91" i="8"/>
  <c r="C93" i="6"/>
  <c r="N93" i="8"/>
  <c r="L94" i="6"/>
  <c r="L94" i="8" s="1"/>
  <c r="L95" i="6"/>
  <c r="L95" i="8" s="1"/>
  <c r="K96" i="6"/>
  <c r="K96" i="8" s="1"/>
  <c r="K97" i="6"/>
  <c r="K97" i="8" s="1"/>
  <c r="I98" i="8"/>
  <c r="J99" i="6"/>
  <c r="J99" i="8" s="1"/>
  <c r="F101" i="6"/>
  <c r="F101" i="8" s="1"/>
  <c r="Z101" i="8"/>
  <c r="E102" i="6"/>
  <c r="E102" i="8" s="1"/>
  <c r="X102" i="8"/>
  <c r="L105" i="6"/>
  <c r="L105" i="8" s="1"/>
  <c r="J6" i="7"/>
  <c r="D8" i="7"/>
  <c r="D8" i="4"/>
  <c r="D9" i="4"/>
  <c r="D10" i="7"/>
  <c r="I10" i="7"/>
  <c r="D19" i="4"/>
  <c r="D21" i="4"/>
  <c r="D22" i="7"/>
  <c r="I22" i="7"/>
  <c r="I22" i="8" s="1"/>
  <c r="D22" i="4"/>
  <c r="D25" i="4"/>
  <c r="I26" i="7"/>
  <c r="D26" i="4"/>
  <c r="D30" i="4"/>
  <c r="D36" i="4"/>
  <c r="D37" i="4"/>
  <c r="E42" i="7"/>
  <c r="J42" i="7"/>
  <c r="E43" i="7"/>
  <c r="E48" i="7"/>
  <c r="J49" i="7"/>
  <c r="D56" i="4"/>
  <c r="D56" i="5" s="1"/>
  <c r="I57" i="7"/>
  <c r="C58" i="7"/>
  <c r="D63" i="4"/>
  <c r="D64" i="4"/>
  <c r="D64" i="5" s="1"/>
  <c r="H64" i="5" s="1"/>
  <c r="I65" i="7"/>
  <c r="J70" i="7"/>
  <c r="C71" i="7"/>
  <c r="E76" i="7"/>
  <c r="J76" i="7"/>
  <c r="D83" i="4"/>
  <c r="D89" i="4"/>
  <c r="D90" i="7"/>
  <c r="E93" i="7"/>
  <c r="D99" i="7"/>
  <c r="I104" i="7"/>
  <c r="N48" i="8"/>
  <c r="I48" i="6"/>
  <c r="I48" i="8" s="1"/>
  <c r="AD48" i="8"/>
  <c r="P49" i="8"/>
  <c r="E49" i="6"/>
  <c r="E49" i="8" s="1"/>
  <c r="X49" i="8"/>
  <c r="E52" i="6"/>
  <c r="E52" i="8" s="1"/>
  <c r="X52" i="8"/>
  <c r="J52" i="6"/>
  <c r="J52" i="8" s="1"/>
  <c r="AF52" i="8"/>
  <c r="E57" i="8"/>
  <c r="F59" i="8"/>
  <c r="F60" i="6"/>
  <c r="F60" i="8" s="1"/>
  <c r="Z60" i="8"/>
  <c r="J61" i="6"/>
  <c r="J61" i="8" s="1"/>
  <c r="F61" i="6"/>
  <c r="F61" i="8" s="1"/>
  <c r="Z61" i="8"/>
  <c r="C64" i="6"/>
  <c r="D64" i="6"/>
  <c r="D64" i="8" s="1"/>
  <c r="S64" i="8"/>
  <c r="K64" i="6"/>
  <c r="K64" i="8" s="1"/>
  <c r="AI64" i="8"/>
  <c r="J66" i="6"/>
  <c r="L69" i="8"/>
  <c r="H69" i="6"/>
  <c r="H69" i="8" s="1"/>
  <c r="AB69" i="8"/>
  <c r="H70" i="6"/>
  <c r="H70" i="8" s="1"/>
  <c r="AB70" i="8"/>
  <c r="H73" i="6"/>
  <c r="H73" i="8" s="1"/>
  <c r="AB73" i="8"/>
  <c r="H74" i="6"/>
  <c r="H74" i="8" s="1"/>
  <c r="AB74" i="8"/>
  <c r="I75" i="8"/>
  <c r="K76" i="8"/>
  <c r="H77" i="6"/>
  <c r="H77" i="8" s="1"/>
  <c r="AB77" i="8"/>
  <c r="H78" i="6"/>
  <c r="H78" i="8" s="1"/>
  <c r="AB78" i="8"/>
  <c r="H81" i="6"/>
  <c r="H81" i="8" s="1"/>
  <c r="AB81" i="8"/>
  <c r="H82" i="6"/>
  <c r="H82" i="8" s="1"/>
  <c r="AB82" i="8"/>
  <c r="I83" i="8"/>
  <c r="J86" i="6"/>
  <c r="J86" i="8" s="1"/>
  <c r="C92" i="6"/>
  <c r="P92" i="8"/>
  <c r="E92" i="6"/>
  <c r="E92" i="8" s="1"/>
  <c r="X92" i="8"/>
  <c r="J92" i="6"/>
  <c r="J92" i="8" s="1"/>
  <c r="AF92" i="8"/>
  <c r="N94" i="8"/>
  <c r="I94" i="6"/>
  <c r="I94" i="8" s="1"/>
  <c r="AD94" i="8"/>
  <c r="C95" i="6"/>
  <c r="N95" i="8"/>
  <c r="D95" i="6"/>
  <c r="V95" i="8"/>
  <c r="I95" i="6"/>
  <c r="I95" i="8" s="1"/>
  <c r="AD95" i="8"/>
  <c r="L96" i="6"/>
  <c r="L96" i="8" s="1"/>
  <c r="I96" i="6"/>
  <c r="I96" i="8" s="1"/>
  <c r="AC96" i="8"/>
  <c r="L97" i="6"/>
  <c r="L97" i="8" s="1"/>
  <c r="J98" i="6"/>
  <c r="J98" i="8" s="1"/>
  <c r="K99" i="6"/>
  <c r="K99" i="8" s="1"/>
  <c r="H99" i="6"/>
  <c r="H99" i="8" s="1"/>
  <c r="AB99" i="8"/>
  <c r="H100" i="8"/>
  <c r="J101" i="6"/>
  <c r="J101" i="8" s="1"/>
  <c r="E104" i="6"/>
  <c r="E104" i="8" s="1"/>
  <c r="X104" i="8"/>
  <c r="J104" i="6"/>
  <c r="J104" i="8" s="1"/>
  <c r="AF104" i="8"/>
  <c r="N105" i="8"/>
  <c r="C11" i="7"/>
  <c r="D15" i="7"/>
  <c r="D16" i="7"/>
  <c r="D16" i="4"/>
  <c r="D18" i="4"/>
  <c r="C31" i="7"/>
  <c r="D34" i="4"/>
  <c r="D40" i="4"/>
  <c r="J41" i="7"/>
  <c r="J53" i="7"/>
  <c r="J53" i="8" s="1"/>
  <c r="D59" i="7"/>
  <c r="D67" i="7"/>
  <c r="C77" i="7"/>
  <c r="D79" i="7"/>
  <c r="D84" i="7"/>
  <c r="C89" i="7"/>
  <c r="D95" i="7"/>
  <c r="C105" i="7"/>
  <c r="E105" i="7"/>
  <c r="E105" i="8" s="1"/>
  <c r="J105" i="7"/>
  <c r="F30" i="6"/>
  <c r="F30" i="8" s="1"/>
  <c r="Z30" i="8"/>
  <c r="J30" i="6"/>
  <c r="J30" i="8" s="1"/>
  <c r="AH30" i="8"/>
  <c r="N34" i="8"/>
  <c r="D34" i="6"/>
  <c r="D34" i="8" s="1"/>
  <c r="V34" i="8"/>
  <c r="D35" i="6"/>
  <c r="D35" i="8" s="1"/>
  <c r="U35" i="8"/>
  <c r="N37" i="8"/>
  <c r="N38" i="8"/>
  <c r="D39" i="6"/>
  <c r="D39" i="8" s="1"/>
  <c r="U39" i="8"/>
  <c r="I39" i="6"/>
  <c r="I39" i="8" s="1"/>
  <c r="AC39" i="8"/>
  <c r="E40" i="6"/>
  <c r="X40" i="8"/>
  <c r="H43" i="6"/>
  <c r="H43" i="8" s="1"/>
  <c r="F43" i="6"/>
  <c r="F43" i="8" s="1"/>
  <c r="Z43" i="8"/>
  <c r="K45" i="6"/>
  <c r="K45" i="8" s="1"/>
  <c r="H45" i="6"/>
  <c r="H45" i="8" s="1"/>
  <c r="AB45" i="8"/>
  <c r="I47" i="6"/>
  <c r="AD47" i="8"/>
  <c r="F50" i="6"/>
  <c r="F50" i="8" s="1"/>
  <c r="E50" i="6"/>
  <c r="E50" i="8" s="1"/>
  <c r="X50" i="8"/>
  <c r="D53" i="6"/>
  <c r="E54" i="6"/>
  <c r="E54" i="8" s="1"/>
  <c r="X54" i="8"/>
  <c r="F56" i="6"/>
  <c r="F56" i="8" s="1"/>
  <c r="Z56" i="8"/>
  <c r="J57" i="6"/>
  <c r="J57" i="8" s="1"/>
  <c r="F57" i="6"/>
  <c r="F57" i="8" s="1"/>
  <c r="Z57" i="8"/>
  <c r="C60" i="6"/>
  <c r="D60" i="6"/>
  <c r="D60" i="8" s="1"/>
  <c r="S60" i="8"/>
  <c r="K60" i="6"/>
  <c r="K60" i="8" s="1"/>
  <c r="AI60" i="8"/>
  <c r="K61" i="8"/>
  <c r="J62" i="6"/>
  <c r="J62" i="8" s="1"/>
  <c r="H63" i="6"/>
  <c r="H63" i="8" s="1"/>
  <c r="H64" i="8"/>
  <c r="H65" i="6"/>
  <c r="H65" i="8" s="1"/>
  <c r="AB65" i="8"/>
  <c r="K66" i="6"/>
  <c r="K66" i="8" s="1"/>
  <c r="H66" i="6"/>
  <c r="H66" i="8" s="1"/>
  <c r="AB66" i="8"/>
  <c r="I67" i="6"/>
  <c r="I67" i="8" s="1"/>
  <c r="L68" i="6"/>
  <c r="L68" i="8" s="1"/>
  <c r="D69" i="6"/>
  <c r="D69" i="8" s="1"/>
  <c r="U69" i="8"/>
  <c r="I69" i="6"/>
  <c r="I69" i="8" s="1"/>
  <c r="AC69" i="8"/>
  <c r="L70" i="6"/>
  <c r="L70" i="8" s="1"/>
  <c r="K71" i="6"/>
  <c r="K71" i="8" s="1"/>
  <c r="L72" i="6"/>
  <c r="L72" i="8" s="1"/>
  <c r="D73" i="6"/>
  <c r="D73" i="8" s="1"/>
  <c r="U73" i="8"/>
  <c r="I73" i="6"/>
  <c r="I73" i="8" s="1"/>
  <c r="AC73" i="8"/>
  <c r="L74" i="6"/>
  <c r="L74" i="8" s="1"/>
  <c r="I74" i="6"/>
  <c r="AC74" i="8"/>
  <c r="K75" i="6"/>
  <c r="K75" i="8" s="1"/>
  <c r="L76" i="6"/>
  <c r="L76" i="8" s="1"/>
  <c r="D77" i="6"/>
  <c r="D77" i="8" s="1"/>
  <c r="U77" i="8"/>
  <c r="I77" i="6"/>
  <c r="I77" i="8" s="1"/>
  <c r="AC77" i="8"/>
  <c r="L78" i="6"/>
  <c r="L78" i="8" s="1"/>
  <c r="I78" i="6"/>
  <c r="I78" i="8" s="1"/>
  <c r="AC78" i="8"/>
  <c r="K79" i="6"/>
  <c r="K79" i="8" s="1"/>
  <c r="L80" i="6"/>
  <c r="L80" i="8" s="1"/>
  <c r="D81" i="6"/>
  <c r="D81" i="8" s="1"/>
  <c r="U81" i="8"/>
  <c r="I81" i="6"/>
  <c r="I81" i="8" s="1"/>
  <c r="AC81" i="8"/>
  <c r="L82" i="6"/>
  <c r="L82" i="8" s="1"/>
  <c r="I82" i="6"/>
  <c r="I82" i="8" s="1"/>
  <c r="AC82" i="8"/>
  <c r="K83" i="6"/>
  <c r="K83" i="8" s="1"/>
  <c r="L84" i="6"/>
  <c r="L84" i="8" s="1"/>
  <c r="L85" i="8"/>
  <c r="H85" i="6"/>
  <c r="H85" i="8" s="1"/>
  <c r="AB85" i="8"/>
  <c r="K86" i="6"/>
  <c r="K86" i="8" s="1"/>
  <c r="H86" i="6"/>
  <c r="H86" i="8" s="1"/>
  <c r="AB86" i="8"/>
  <c r="I87" i="6"/>
  <c r="I87" i="8" s="1"/>
  <c r="D88" i="6"/>
  <c r="D88" i="8" s="1"/>
  <c r="S88" i="8"/>
  <c r="D90" i="6"/>
  <c r="D90" i="8" s="1"/>
  <c r="E90" i="6"/>
  <c r="E90" i="8" s="1"/>
  <c r="X90" i="8"/>
  <c r="E91" i="6"/>
  <c r="E91" i="8" s="1"/>
  <c r="X91" i="8"/>
  <c r="E93" i="8"/>
  <c r="N96" i="8"/>
  <c r="N97" i="8"/>
  <c r="D97" i="6"/>
  <c r="D97" i="8" s="1"/>
  <c r="V97" i="8"/>
  <c r="I97" i="6"/>
  <c r="I97" i="8" s="1"/>
  <c r="AD97" i="8"/>
  <c r="K98" i="6"/>
  <c r="K98" i="8" s="1"/>
  <c r="H98" i="6"/>
  <c r="H98" i="8" s="1"/>
  <c r="AB98" i="8"/>
  <c r="L99" i="6"/>
  <c r="L99" i="8" s="1"/>
  <c r="I99" i="6"/>
  <c r="I99" i="8" s="1"/>
  <c r="AC99" i="8"/>
  <c r="K100" i="6"/>
  <c r="K100" i="8" s="1"/>
  <c r="K101" i="6"/>
  <c r="K101" i="8" s="1"/>
  <c r="I102" i="6"/>
  <c r="I102" i="8" s="1"/>
  <c r="D11" i="4"/>
  <c r="D11" i="5" s="1"/>
  <c r="D13" i="7"/>
  <c r="D15" i="4"/>
  <c r="D17" i="4"/>
  <c r="D18" i="7"/>
  <c r="I18" i="7"/>
  <c r="I18" i="8" s="1"/>
  <c r="C23" i="7"/>
  <c r="C27" i="7"/>
  <c r="E30" i="7"/>
  <c r="E34" i="7"/>
  <c r="C35" i="7"/>
  <c r="J35" i="7"/>
  <c r="D50" i="7"/>
  <c r="D53" i="7"/>
  <c r="E57" i="7"/>
  <c r="J58" i="7"/>
  <c r="C59" i="7"/>
  <c r="E64" i="7"/>
  <c r="J64" i="7"/>
  <c r="E65" i="7"/>
  <c r="E65" i="8" s="1"/>
  <c r="C66" i="7"/>
  <c r="J66" i="7"/>
  <c r="C67" i="7"/>
  <c r="D69" i="7"/>
  <c r="D72" i="7"/>
  <c r="D72" i="4"/>
  <c r="D74" i="7"/>
  <c r="I74" i="7"/>
  <c r="J78" i="7"/>
  <c r="C79" i="7"/>
  <c r="E84" i="7"/>
  <c r="J84" i="7"/>
  <c r="D86" i="7"/>
  <c r="I86" i="7"/>
  <c r="D91" i="7"/>
  <c r="I91" i="7"/>
  <c r="D93" i="7"/>
  <c r="C95" i="7"/>
  <c r="D99" i="4"/>
  <c r="I2" i="9"/>
  <c r="I5" i="9"/>
  <c r="I53" i="9"/>
  <c r="I85" i="9"/>
  <c r="I86" i="9"/>
  <c r="I47" i="9"/>
  <c r="I80" i="9"/>
  <c r="I82" i="9"/>
  <c r="I90" i="9"/>
  <c r="I101" i="9"/>
  <c r="I102" i="9"/>
  <c r="I21" i="9"/>
  <c r="I22" i="9"/>
  <c r="I67" i="9"/>
  <c r="I98" i="9"/>
  <c r="I38" i="9"/>
  <c r="I123" i="9"/>
  <c r="I32" i="9"/>
  <c r="I34" i="9"/>
  <c r="I83" i="9"/>
  <c r="I15" i="9"/>
  <c r="I19" i="9"/>
  <c r="I50" i="9"/>
  <c r="I58" i="9"/>
  <c r="I60" i="9"/>
  <c r="I35" i="9"/>
  <c r="I4" i="9"/>
  <c r="I23" i="9"/>
  <c r="I36" i="9"/>
  <c r="I41" i="9"/>
  <c r="I55" i="9"/>
  <c r="I68" i="9"/>
  <c r="I87" i="9"/>
  <c r="I93" i="9"/>
  <c r="I100" i="9"/>
  <c r="I105" i="9"/>
  <c r="I133" i="9"/>
  <c r="I142" i="9"/>
  <c r="I156" i="9"/>
  <c r="I159" i="9"/>
  <c r="I160" i="9"/>
  <c r="I162" i="9"/>
  <c r="I197" i="9"/>
  <c r="I206" i="9"/>
  <c r="I214" i="9"/>
  <c r="I217" i="9"/>
  <c r="I228" i="9"/>
  <c r="I231" i="9"/>
  <c r="I232" i="9"/>
  <c r="I234" i="9"/>
  <c r="I324" i="9"/>
  <c r="I8" i="9"/>
  <c r="I13" i="9"/>
  <c r="I27" i="9"/>
  <c r="I40" i="9"/>
  <c r="I45" i="9"/>
  <c r="I59" i="9"/>
  <c r="I65" i="9"/>
  <c r="I72" i="9"/>
  <c r="I77" i="9"/>
  <c r="I91" i="9"/>
  <c r="I104" i="9"/>
  <c r="I106" i="9"/>
  <c r="I113" i="9"/>
  <c r="I141" i="9"/>
  <c r="I150" i="9"/>
  <c r="I164" i="9"/>
  <c r="I167" i="9"/>
  <c r="I168" i="9"/>
  <c r="I170" i="9"/>
  <c r="I177" i="9"/>
  <c r="I205" i="9"/>
  <c r="I213" i="9"/>
  <c r="I222" i="9"/>
  <c r="I236" i="9"/>
  <c r="I239" i="9"/>
  <c r="I240" i="9"/>
  <c r="I242" i="9"/>
  <c r="I243" i="9"/>
  <c r="I293" i="9"/>
  <c r="I302" i="9"/>
  <c r="I310" i="9"/>
  <c r="I313" i="9"/>
  <c r="I351" i="9"/>
  <c r="I352" i="9"/>
  <c r="I354" i="9"/>
  <c r="I355" i="9"/>
  <c r="I12" i="9"/>
  <c r="I17" i="9"/>
  <c r="I31" i="9"/>
  <c r="I44" i="9"/>
  <c r="I63" i="9"/>
  <c r="I76" i="9"/>
  <c r="I81" i="9"/>
  <c r="I95" i="9"/>
  <c r="I108" i="9"/>
  <c r="I111" i="9"/>
  <c r="I112" i="9"/>
  <c r="I114" i="9"/>
  <c r="I121" i="9"/>
  <c r="I149" i="9"/>
  <c r="I158" i="9"/>
  <c r="I172" i="9"/>
  <c r="I175" i="9"/>
  <c r="I176" i="9"/>
  <c r="I178" i="9"/>
  <c r="I185" i="9"/>
  <c r="I252" i="9"/>
  <c r="I255" i="9"/>
  <c r="I256" i="9"/>
  <c r="I258" i="9"/>
  <c r="I265" i="9"/>
  <c r="I301" i="9"/>
  <c r="I309" i="9"/>
  <c r="I318" i="9"/>
  <c r="I334" i="9"/>
  <c r="I120" i="9"/>
  <c r="I122" i="9"/>
  <c r="I129" i="9"/>
  <c r="I157" i="9"/>
  <c r="I180" i="9"/>
  <c r="I183" i="9"/>
  <c r="I184" i="9"/>
  <c r="I186" i="9"/>
  <c r="I193" i="9"/>
  <c r="I229" i="9"/>
  <c r="I263" i="9"/>
  <c r="I264" i="9"/>
  <c r="I266" i="9"/>
  <c r="I273" i="9"/>
  <c r="I281" i="9"/>
  <c r="I325" i="9"/>
  <c r="I395" i="9"/>
  <c r="I427" i="9"/>
  <c r="I7" i="9"/>
  <c r="I20" i="9"/>
  <c r="I25" i="9"/>
  <c r="I39" i="9"/>
  <c r="I52" i="9"/>
  <c r="I57" i="9"/>
  <c r="I71" i="9"/>
  <c r="I84" i="9"/>
  <c r="I89" i="9"/>
  <c r="I103" i="9"/>
  <c r="I110" i="9"/>
  <c r="I124" i="9"/>
  <c r="I127" i="9"/>
  <c r="I128" i="9"/>
  <c r="I130" i="9"/>
  <c r="I165" i="9"/>
  <c r="I174" i="9"/>
  <c r="I188" i="9"/>
  <c r="I191" i="9"/>
  <c r="I192" i="9"/>
  <c r="I194" i="9"/>
  <c r="I201" i="9"/>
  <c r="I237" i="9"/>
  <c r="I245" i="9"/>
  <c r="I254" i="9"/>
  <c r="I257" i="9"/>
  <c r="I268" i="9"/>
  <c r="I271" i="9"/>
  <c r="I272" i="9"/>
  <c r="I274" i="9"/>
  <c r="I275" i="9"/>
  <c r="I366" i="9"/>
  <c r="I418" i="9"/>
  <c r="I419" i="9"/>
  <c r="I435" i="9"/>
  <c r="I11" i="9"/>
  <c r="I24" i="9"/>
  <c r="I29" i="9"/>
  <c r="I43" i="9"/>
  <c r="I49" i="9"/>
  <c r="I56" i="9"/>
  <c r="I61" i="9"/>
  <c r="I75" i="9"/>
  <c r="I88" i="9"/>
  <c r="I109" i="9"/>
  <c r="I118" i="9"/>
  <c r="I132" i="9"/>
  <c r="I135" i="9"/>
  <c r="I136" i="9"/>
  <c r="I138" i="9"/>
  <c r="I145" i="9"/>
  <c r="I173" i="9"/>
  <c r="I182" i="9"/>
  <c r="I196" i="9"/>
  <c r="I199" i="9"/>
  <c r="I200" i="9"/>
  <c r="I202" i="9"/>
  <c r="I209" i="9"/>
  <c r="I284" i="9"/>
  <c r="I287" i="9"/>
  <c r="I288" i="9"/>
  <c r="I290" i="9"/>
  <c r="I297" i="9"/>
  <c r="I450" i="9"/>
  <c r="I451" i="9"/>
  <c r="I459" i="9"/>
  <c r="I467" i="9"/>
  <c r="I19" i="10"/>
  <c r="I92" i="9"/>
  <c r="I97" i="9"/>
  <c r="I117" i="9"/>
  <c r="I126" i="9"/>
  <c r="I140" i="9"/>
  <c r="I143" i="9"/>
  <c r="I144" i="9"/>
  <c r="I146" i="9"/>
  <c r="I153" i="9"/>
  <c r="I181" i="9"/>
  <c r="I190" i="9"/>
  <c r="I204" i="9"/>
  <c r="I207" i="9"/>
  <c r="I208" i="9"/>
  <c r="I211" i="9"/>
  <c r="I215" i="9"/>
  <c r="I216" i="9"/>
  <c r="I218" i="9"/>
  <c r="I261" i="9"/>
  <c r="I270" i="9"/>
  <c r="I278" i="9"/>
  <c r="I331" i="9"/>
  <c r="I292" i="9"/>
  <c r="I295" i="9"/>
  <c r="I296" i="9"/>
  <c r="I298" i="9"/>
  <c r="I305" i="9"/>
  <c r="I333" i="9"/>
  <c r="I342" i="9"/>
  <c r="I356" i="9"/>
  <c r="I359" i="9"/>
  <c r="I360" i="9"/>
  <c r="I362" i="9"/>
  <c r="I369" i="9"/>
  <c r="I397" i="9"/>
  <c r="I406" i="9"/>
  <c r="I420" i="9"/>
  <c r="I422" i="9"/>
  <c r="I423" i="9"/>
  <c r="I424" i="9"/>
  <c r="I425" i="9"/>
  <c r="I426" i="9"/>
  <c r="I461" i="9"/>
  <c r="I16" i="10"/>
  <c r="I78" i="10"/>
  <c r="I80" i="10"/>
  <c r="I81" i="10"/>
  <c r="I84" i="10"/>
  <c r="I85" i="10"/>
  <c r="I90" i="10"/>
  <c r="I92" i="10"/>
  <c r="I93" i="10"/>
  <c r="I94" i="10"/>
  <c r="I96" i="10"/>
  <c r="I97" i="10"/>
  <c r="I98" i="10"/>
  <c r="I100" i="10"/>
  <c r="I101" i="10"/>
  <c r="I102" i="10"/>
  <c r="I104" i="10"/>
  <c r="I105" i="10"/>
  <c r="I108" i="10"/>
  <c r="I112" i="10"/>
  <c r="I140" i="10"/>
  <c r="I149" i="10"/>
  <c r="I158" i="10"/>
  <c r="I163" i="10"/>
  <c r="I167" i="10"/>
  <c r="I169" i="10"/>
  <c r="I176" i="10"/>
  <c r="I214" i="10"/>
  <c r="I219" i="10"/>
  <c r="I223" i="10"/>
  <c r="I225" i="10"/>
  <c r="I232" i="10"/>
  <c r="I260" i="10"/>
  <c r="I278" i="10"/>
  <c r="I283" i="10"/>
  <c r="I285" i="10"/>
  <c r="I287" i="10"/>
  <c r="I289" i="10"/>
  <c r="I292" i="10"/>
  <c r="I342" i="10"/>
  <c r="I347" i="10"/>
  <c r="I349" i="10"/>
  <c r="I351" i="10"/>
  <c r="I353" i="10"/>
  <c r="I360" i="10"/>
  <c r="I392" i="10"/>
  <c r="I406" i="10"/>
  <c r="I411" i="10"/>
  <c r="I413" i="10"/>
  <c r="I415" i="10"/>
  <c r="I417" i="10"/>
  <c r="I420" i="10"/>
  <c r="I424" i="10"/>
  <c r="I341" i="9"/>
  <c r="I350" i="9"/>
  <c r="I364" i="9"/>
  <c r="I367" i="9"/>
  <c r="I368" i="9"/>
  <c r="I370" i="9"/>
  <c r="I377" i="9"/>
  <c r="I405" i="9"/>
  <c r="I414" i="9"/>
  <c r="I428" i="9"/>
  <c r="I430" i="9"/>
  <c r="I431" i="9"/>
  <c r="I432" i="9"/>
  <c r="I433" i="9"/>
  <c r="I434" i="9"/>
  <c r="I469" i="9"/>
  <c r="I3" i="10"/>
  <c r="I7" i="10"/>
  <c r="I26" i="10"/>
  <c r="I67" i="10"/>
  <c r="I71" i="10"/>
  <c r="I107" i="10"/>
  <c r="I111" i="10"/>
  <c r="I113" i="10"/>
  <c r="I120" i="10"/>
  <c r="I148" i="10"/>
  <c r="I157" i="10"/>
  <c r="I166" i="10"/>
  <c r="I175" i="10"/>
  <c r="M40" i="10" s="1"/>
  <c r="AA41" i="7" s="1"/>
  <c r="G41" i="7" s="1"/>
  <c r="I177" i="10"/>
  <c r="I216" i="10"/>
  <c r="I222" i="10"/>
  <c r="I231" i="10"/>
  <c r="I233" i="10"/>
  <c r="I240" i="10"/>
  <c r="I268" i="10"/>
  <c r="I286" i="10"/>
  <c r="I291" i="10"/>
  <c r="I293" i="10"/>
  <c r="I295" i="10"/>
  <c r="I297" i="10"/>
  <c r="I300" i="10"/>
  <c r="I304" i="10"/>
  <c r="I336" i="10"/>
  <c r="I350" i="10"/>
  <c r="I355" i="10"/>
  <c r="I357" i="10"/>
  <c r="I359" i="10"/>
  <c r="I361" i="10"/>
  <c r="I364" i="10"/>
  <c r="I396" i="10"/>
  <c r="I414" i="10"/>
  <c r="I419" i="10"/>
  <c r="I421" i="10"/>
  <c r="I423" i="10"/>
  <c r="I425" i="10"/>
  <c r="I428" i="10"/>
  <c r="I432" i="10"/>
  <c r="I221" i="9"/>
  <c r="I230" i="9"/>
  <c r="I244" i="9"/>
  <c r="I247" i="9"/>
  <c r="I248" i="9"/>
  <c r="I250" i="9"/>
  <c r="I285" i="9"/>
  <c r="I294" i="9"/>
  <c r="I308" i="9"/>
  <c r="I311" i="9"/>
  <c r="I312" i="9"/>
  <c r="I314" i="9"/>
  <c r="I321" i="9"/>
  <c r="I349" i="9"/>
  <c r="I358" i="9"/>
  <c r="I361" i="9"/>
  <c r="I372" i="9"/>
  <c r="I375" i="9"/>
  <c r="I376" i="9"/>
  <c r="I378" i="9"/>
  <c r="I385" i="9"/>
  <c r="I413" i="9"/>
  <c r="I436" i="9"/>
  <c r="I438" i="9"/>
  <c r="I439" i="9"/>
  <c r="I440" i="9"/>
  <c r="I441" i="9"/>
  <c r="I442" i="9"/>
  <c r="I15" i="10"/>
  <c r="I30" i="10"/>
  <c r="I79" i="10"/>
  <c r="I83" i="10"/>
  <c r="I87" i="10"/>
  <c r="I91" i="10"/>
  <c r="I95" i="10"/>
  <c r="I99" i="10"/>
  <c r="I103" i="10"/>
  <c r="I110" i="10"/>
  <c r="I115" i="10"/>
  <c r="I119" i="10"/>
  <c r="I121" i="10"/>
  <c r="I128" i="10"/>
  <c r="I156" i="10"/>
  <c r="I165" i="10"/>
  <c r="I174" i="10"/>
  <c r="I183" i="10"/>
  <c r="I185" i="10"/>
  <c r="I192" i="10"/>
  <c r="I221" i="10"/>
  <c r="I230" i="10"/>
  <c r="I239" i="10"/>
  <c r="M61" i="10" s="1"/>
  <c r="AA62" i="7" s="1"/>
  <c r="G62" i="7" s="1"/>
  <c r="I241" i="10"/>
  <c r="I294" i="10"/>
  <c r="I299" i="10"/>
  <c r="I301" i="10"/>
  <c r="I303" i="10"/>
  <c r="I305" i="10"/>
  <c r="I312" i="10"/>
  <c r="M73" i="10" s="1"/>
  <c r="AA74" i="7" s="1"/>
  <c r="G74" i="7" s="1"/>
  <c r="I340" i="10"/>
  <c r="I358" i="10"/>
  <c r="I363" i="10"/>
  <c r="I365" i="10"/>
  <c r="I367" i="10"/>
  <c r="I369" i="10"/>
  <c r="I372" i="10"/>
  <c r="I376" i="10"/>
  <c r="I408" i="10"/>
  <c r="I422" i="10"/>
  <c r="I427" i="10"/>
  <c r="I429" i="10"/>
  <c r="I431" i="10"/>
  <c r="I433" i="10"/>
  <c r="I327" i="9"/>
  <c r="I328" i="9"/>
  <c r="I330" i="9"/>
  <c r="I337" i="9"/>
  <c r="I365" i="9"/>
  <c r="I374" i="9"/>
  <c r="I388" i="9"/>
  <c r="I391" i="9"/>
  <c r="I392" i="9"/>
  <c r="I393" i="9"/>
  <c r="I394" i="9"/>
  <c r="I429" i="9"/>
  <c r="I452" i="9"/>
  <c r="I454" i="9"/>
  <c r="I455" i="9"/>
  <c r="I456" i="9"/>
  <c r="I457" i="9"/>
  <c r="I458" i="9"/>
  <c r="I48" i="10"/>
  <c r="I117" i="10"/>
  <c r="I126" i="10"/>
  <c r="I135" i="10"/>
  <c r="I137" i="10"/>
  <c r="I172" i="10"/>
  <c r="I181" i="10"/>
  <c r="I184" i="10"/>
  <c r="I190" i="10"/>
  <c r="I195" i="10"/>
  <c r="I199" i="10"/>
  <c r="I201" i="10"/>
  <c r="I208" i="10"/>
  <c r="I237" i="10"/>
  <c r="I246" i="10"/>
  <c r="I251" i="10"/>
  <c r="I255" i="10"/>
  <c r="I257" i="10"/>
  <c r="I296" i="10"/>
  <c r="I310" i="10"/>
  <c r="I315" i="10"/>
  <c r="I317" i="10"/>
  <c r="I319" i="10"/>
  <c r="I321" i="10"/>
  <c r="I324" i="10"/>
  <c r="M77" i="10" s="1"/>
  <c r="AA78" i="7" s="1"/>
  <c r="G78" i="7" s="1"/>
  <c r="E77" i="4" s="1"/>
  <c r="I328" i="10"/>
  <c r="I356" i="10"/>
  <c r="I374" i="10"/>
  <c r="M85" i="10" s="1"/>
  <c r="AA86" i="7" s="1"/>
  <c r="G86" i="7" s="1"/>
  <c r="I379" i="10"/>
  <c r="I381" i="10"/>
  <c r="I383" i="10"/>
  <c r="I385" i="10"/>
  <c r="I388" i="10"/>
  <c r="I438" i="10"/>
  <c r="I450" i="10"/>
  <c r="I451" i="10"/>
  <c r="I458" i="10"/>
  <c r="I459" i="10"/>
  <c r="I461" i="10"/>
  <c r="I466" i="10"/>
  <c r="I467" i="10"/>
  <c r="I469" i="10"/>
  <c r="I373" i="9"/>
  <c r="I382" i="9"/>
  <c r="I396" i="9"/>
  <c r="I399" i="9"/>
  <c r="I400" i="9"/>
  <c r="I401" i="9"/>
  <c r="I402" i="9"/>
  <c r="I437" i="9"/>
  <c r="I460" i="9"/>
  <c r="I462" i="9"/>
  <c r="I463" i="9"/>
  <c r="I464" i="9"/>
  <c r="I465" i="9"/>
  <c r="I466" i="9"/>
  <c r="M93" i="10"/>
  <c r="AA94" i="7" s="1"/>
  <c r="G94" i="7" s="1"/>
  <c r="E93" i="4" s="1"/>
  <c r="M23" i="10"/>
  <c r="AA24" i="7" s="1"/>
  <c r="G24" i="7" s="1"/>
  <c r="I35" i="10"/>
  <c r="I39" i="10"/>
  <c r="I58" i="10"/>
  <c r="I125" i="10"/>
  <c r="I134" i="10"/>
  <c r="I139" i="10"/>
  <c r="I143" i="10"/>
  <c r="I145" i="10"/>
  <c r="I152" i="10"/>
  <c r="I189" i="10"/>
  <c r="I198" i="10"/>
  <c r="I203" i="10"/>
  <c r="I207" i="10"/>
  <c r="I209" i="10"/>
  <c r="I212" i="10"/>
  <c r="I245" i="10"/>
  <c r="I248" i="10"/>
  <c r="I254" i="10"/>
  <c r="I259" i="10"/>
  <c r="I263" i="10"/>
  <c r="I265" i="10"/>
  <c r="I272" i="10"/>
  <c r="I318" i="10"/>
  <c r="I323" i="10"/>
  <c r="I325" i="10"/>
  <c r="I327" i="10"/>
  <c r="I329" i="10"/>
  <c r="I332" i="10"/>
  <c r="I368" i="10"/>
  <c r="I382" i="10"/>
  <c r="M87" i="10" s="1"/>
  <c r="AA88" i="7" s="1"/>
  <c r="G88" i="7" s="1"/>
  <c r="I387" i="10"/>
  <c r="M88" i="10" s="1"/>
  <c r="AA89" i="7" s="1"/>
  <c r="G89" i="7" s="1"/>
  <c r="I389" i="10"/>
  <c r="I391" i="10"/>
  <c r="I393" i="10"/>
  <c r="I400" i="10"/>
  <c r="I446" i="10"/>
  <c r="I454" i="10"/>
  <c r="I225" i="9"/>
  <c r="I253" i="9"/>
  <c r="I262" i="9"/>
  <c r="I276" i="9"/>
  <c r="I279" i="9"/>
  <c r="I280" i="9"/>
  <c r="I282" i="9"/>
  <c r="I317" i="9"/>
  <c r="I326" i="9"/>
  <c r="I340" i="9"/>
  <c r="I343" i="9"/>
  <c r="I344" i="9"/>
  <c r="I346" i="9"/>
  <c r="I353" i="9"/>
  <c r="I381" i="9"/>
  <c r="I390" i="9"/>
  <c r="I404" i="9"/>
  <c r="I407" i="9"/>
  <c r="I408" i="9"/>
  <c r="I409" i="9"/>
  <c r="I410" i="9"/>
  <c r="I445" i="9"/>
  <c r="I468" i="9"/>
  <c r="I470" i="9"/>
  <c r="I471" i="9"/>
  <c r="I472" i="9"/>
  <c r="I473" i="9"/>
  <c r="I474" i="9"/>
  <c r="M13" i="10"/>
  <c r="AA14" i="7" s="1"/>
  <c r="G14" i="7" s="1"/>
  <c r="I47" i="10"/>
  <c r="I62" i="10"/>
  <c r="I133" i="10"/>
  <c r="I136" i="10"/>
  <c r="I142" i="10"/>
  <c r="I147" i="10"/>
  <c r="I151" i="10"/>
  <c r="I153" i="10"/>
  <c r="I160" i="10"/>
  <c r="I188" i="10"/>
  <c r="I197" i="10"/>
  <c r="I206" i="10"/>
  <c r="M53" i="10" s="1"/>
  <c r="AA54" i="7" s="1"/>
  <c r="G54" i="7" s="1"/>
  <c r="I211" i="10"/>
  <c r="M54" i="10" s="1"/>
  <c r="AA55" i="7" s="1"/>
  <c r="G55" i="7" s="1"/>
  <c r="I244" i="10"/>
  <c r="I253" i="10"/>
  <c r="I256" i="10"/>
  <c r="I262" i="10"/>
  <c r="I267" i="10"/>
  <c r="I269" i="10"/>
  <c r="I271" i="10"/>
  <c r="I273" i="10"/>
  <c r="I276" i="10"/>
  <c r="I280" i="10"/>
  <c r="I308" i="10"/>
  <c r="M72" i="10" s="1"/>
  <c r="AA73" i="7" s="1"/>
  <c r="G73" i="7" s="1"/>
  <c r="I326" i="10"/>
  <c r="I331" i="10"/>
  <c r="I333" i="10"/>
  <c r="I335" i="10"/>
  <c r="I337" i="10"/>
  <c r="I344" i="10"/>
  <c r="I390" i="10"/>
  <c r="I395" i="10"/>
  <c r="I397" i="10"/>
  <c r="I399" i="10"/>
  <c r="I401" i="10"/>
  <c r="I404" i="10"/>
  <c r="I436" i="10"/>
  <c r="M95" i="10" s="1"/>
  <c r="AA96" i="7" s="1"/>
  <c r="G96" i="7" s="1"/>
  <c r="I70" i="10"/>
  <c r="I72" i="10"/>
  <c r="I73" i="10"/>
  <c r="I155" i="10"/>
  <c r="I159" i="10"/>
  <c r="I161" i="10"/>
  <c r="I164" i="10"/>
  <c r="I168" i="10"/>
  <c r="I215" i="10"/>
  <c r="I217" i="10"/>
  <c r="I224" i="10"/>
  <c r="I275" i="10"/>
  <c r="I277" i="10"/>
  <c r="I279" i="10"/>
  <c r="I281" i="10"/>
  <c r="I288" i="10"/>
  <c r="I339" i="10"/>
  <c r="I341" i="10"/>
  <c r="I343" i="10"/>
  <c r="M80" i="10" s="1"/>
  <c r="AA81" i="7" s="1"/>
  <c r="G81" i="7" s="1"/>
  <c r="I345" i="10"/>
  <c r="I348" i="10"/>
  <c r="I403" i="10"/>
  <c r="I405" i="10"/>
  <c r="I407" i="10"/>
  <c r="M92" i="10" s="1"/>
  <c r="AA93" i="7" s="1"/>
  <c r="G93" i="7" s="1"/>
  <c r="I409" i="10"/>
  <c r="I412" i="10"/>
  <c r="I440" i="10"/>
  <c r="I441" i="10"/>
  <c r="I444" i="10"/>
  <c r="I448" i="10"/>
  <c r="I453" i="10"/>
  <c r="I455" i="10"/>
  <c r="I457" i="10"/>
  <c r="I460" i="10"/>
  <c r="I464" i="10"/>
  <c r="I463" i="10"/>
  <c r="I465" i="10"/>
  <c r="I468" i="10"/>
  <c r="I470" i="10"/>
  <c r="I472" i="10"/>
  <c r="M103" i="10" s="1"/>
  <c r="AA104" i="7" s="1"/>
  <c r="G104" i="7" s="1"/>
  <c r="I471" i="10"/>
  <c r="I473" i="10"/>
  <c r="I476" i="10"/>
  <c r="I478" i="10"/>
  <c r="I480" i="10"/>
  <c r="I12" i="10"/>
  <c r="I13" i="10"/>
  <c r="I44" i="10"/>
  <c r="I45" i="10"/>
  <c r="M49" i="10"/>
  <c r="AA50" i="7" s="1"/>
  <c r="G50" i="7" s="1"/>
  <c r="I76" i="10"/>
  <c r="I77" i="10"/>
  <c r="M81" i="10"/>
  <c r="AA82" i="7" s="1"/>
  <c r="G82" i="7" s="1"/>
  <c r="I14" i="10"/>
  <c r="I24" i="10"/>
  <c r="I25" i="10"/>
  <c r="M29" i="10"/>
  <c r="AA30" i="7" s="1"/>
  <c r="G30" i="7" s="1"/>
  <c r="M39" i="10"/>
  <c r="AA40" i="7" s="1"/>
  <c r="G40" i="7" s="1"/>
  <c r="I46" i="10"/>
  <c r="I56" i="10"/>
  <c r="I57" i="10"/>
  <c r="M71" i="10"/>
  <c r="AA72" i="7" s="1"/>
  <c r="G72" i="7" s="1"/>
  <c r="M83" i="10"/>
  <c r="AA84" i="7" s="1"/>
  <c r="G84" i="7" s="1"/>
  <c r="M19" i="10"/>
  <c r="AA20" i="7" s="1"/>
  <c r="G20" i="7" s="1"/>
  <c r="I69" i="10"/>
  <c r="I6" i="10"/>
  <c r="I17" i="10"/>
  <c r="M21" i="10"/>
  <c r="AA22" i="7" s="1"/>
  <c r="G22" i="7" s="1"/>
  <c r="M31" i="10"/>
  <c r="AA32" i="7" s="1"/>
  <c r="G32" i="7" s="1"/>
  <c r="I38" i="10"/>
  <c r="I49" i="10"/>
  <c r="M63" i="10"/>
  <c r="AA64" i="7" s="1"/>
  <c r="G64" i="7" s="1"/>
  <c r="I228" i="10"/>
  <c r="M11" i="10"/>
  <c r="AA12" i="7" s="1"/>
  <c r="G12" i="7" s="1"/>
  <c r="I18" i="10"/>
  <c r="I28" i="10"/>
  <c r="I29" i="10"/>
  <c r="M43" i="10"/>
  <c r="AA44" i="7" s="1"/>
  <c r="G44" i="7" s="1"/>
  <c r="I50" i="10"/>
  <c r="I60" i="10"/>
  <c r="I61" i="10"/>
  <c r="M65" i="10"/>
  <c r="AA66" i="7" s="1"/>
  <c r="G66" i="7" s="1"/>
  <c r="M75" i="10"/>
  <c r="AA76" i="7" s="1"/>
  <c r="G76" i="7" s="1"/>
  <c r="I82" i="10"/>
  <c r="M89" i="10"/>
  <c r="AA90" i="7" s="1"/>
  <c r="G90" i="7" s="1"/>
  <c r="I116" i="10"/>
  <c r="M27" i="10" s="1"/>
  <c r="AA28" i="7" s="1"/>
  <c r="G28" i="7" s="1"/>
  <c r="I171" i="10"/>
  <c r="I180" i="10"/>
  <c r="I227" i="10"/>
  <c r="I236" i="10"/>
  <c r="M60" i="10" s="1"/>
  <c r="AA61" i="7" s="1"/>
  <c r="G61" i="7" s="1"/>
  <c r="M45" i="10"/>
  <c r="AA46" i="7" s="1"/>
  <c r="G46" i="7" s="1"/>
  <c r="M55" i="10"/>
  <c r="AA56" i="7" s="1"/>
  <c r="G56" i="7" s="1"/>
  <c r="I124" i="10"/>
  <c r="I179" i="10"/>
  <c r="I235" i="10"/>
  <c r="M104" i="10"/>
  <c r="AA105" i="7" s="1"/>
  <c r="G105" i="7" s="1"/>
  <c r="G105" i="8" s="1"/>
  <c r="M100" i="10"/>
  <c r="AA101" i="7" s="1"/>
  <c r="G101" i="7" s="1"/>
  <c r="E100" i="4" s="1"/>
  <c r="M96" i="10"/>
  <c r="AA97" i="7" s="1"/>
  <c r="G97" i="7" s="1"/>
  <c r="E96" i="4" s="1"/>
  <c r="M84" i="10"/>
  <c r="AA85" i="7" s="1"/>
  <c r="G85" i="7" s="1"/>
  <c r="M76" i="10"/>
  <c r="AA77" i="7" s="1"/>
  <c r="G77" i="7" s="1"/>
  <c r="M68" i="10"/>
  <c r="AA69" i="7" s="1"/>
  <c r="G69" i="7" s="1"/>
  <c r="M64" i="10"/>
  <c r="AA65" i="7" s="1"/>
  <c r="G65" i="7" s="1"/>
  <c r="M56" i="10"/>
  <c r="AA57" i="7" s="1"/>
  <c r="G57" i="7" s="1"/>
  <c r="M52" i="10"/>
  <c r="AA53" i="7" s="1"/>
  <c r="G53" i="7" s="1"/>
  <c r="M48" i="10"/>
  <c r="AA49" i="7" s="1"/>
  <c r="G49" i="7" s="1"/>
  <c r="M44" i="10"/>
  <c r="AA45" i="7" s="1"/>
  <c r="G45" i="7" s="1"/>
  <c r="M36" i="10"/>
  <c r="AA37" i="7" s="1"/>
  <c r="G37" i="7" s="1"/>
  <c r="M32" i="10"/>
  <c r="AA33" i="7" s="1"/>
  <c r="G33" i="7" s="1"/>
  <c r="M28" i="10"/>
  <c r="AA29" i="7" s="1"/>
  <c r="G29" i="7" s="1"/>
  <c r="M24" i="10"/>
  <c r="AA25" i="7" s="1"/>
  <c r="G25" i="7" s="1"/>
  <c r="M8" i="10"/>
  <c r="AA9" i="7" s="1"/>
  <c r="G9" i="7" s="1"/>
  <c r="M91" i="10"/>
  <c r="AA92" i="7" s="1"/>
  <c r="G92" i="7" s="1"/>
  <c r="M99" i="10"/>
  <c r="AA100" i="7" s="1"/>
  <c r="G100" i="7" s="1"/>
  <c r="M102" i="10"/>
  <c r="AA103" i="7" s="1"/>
  <c r="G103" i="7" s="1"/>
  <c r="M98" i="10"/>
  <c r="AA99" i="7" s="1"/>
  <c r="G99" i="7" s="1"/>
  <c r="M94" i="10"/>
  <c r="AA95" i="7" s="1"/>
  <c r="G95" i="7" s="1"/>
  <c r="M90" i="10"/>
  <c r="AA91" i="7" s="1"/>
  <c r="G91" i="7" s="1"/>
  <c r="M86" i="10"/>
  <c r="AA87" i="7" s="1"/>
  <c r="G87" i="7" s="1"/>
  <c r="M82" i="10"/>
  <c r="AA83" i="7" s="1"/>
  <c r="G83" i="7" s="1"/>
  <c r="M78" i="10"/>
  <c r="AA79" i="7" s="1"/>
  <c r="G79" i="7" s="1"/>
  <c r="M74" i="10"/>
  <c r="AA75" i="7" s="1"/>
  <c r="G75" i="7" s="1"/>
  <c r="M70" i="10"/>
  <c r="AA71" i="7" s="1"/>
  <c r="G71" i="7" s="1"/>
  <c r="M66" i="10"/>
  <c r="AA67" i="7" s="1"/>
  <c r="G67" i="7" s="1"/>
  <c r="M62" i="10"/>
  <c r="AA63" i="7" s="1"/>
  <c r="G63" i="7" s="1"/>
  <c r="M58" i="10"/>
  <c r="AA59" i="7" s="1"/>
  <c r="G59" i="7" s="1"/>
  <c r="M50" i="10"/>
  <c r="AA51" i="7" s="1"/>
  <c r="G51" i="7" s="1"/>
  <c r="M46" i="10"/>
  <c r="AA47" i="7" s="1"/>
  <c r="G47" i="7" s="1"/>
  <c r="M42" i="10"/>
  <c r="AA43" i="7" s="1"/>
  <c r="G43" i="7" s="1"/>
  <c r="M38" i="10"/>
  <c r="AA39" i="7" s="1"/>
  <c r="G39" i="7" s="1"/>
  <c r="M30" i="10"/>
  <c r="AA31" i="7" s="1"/>
  <c r="G31" i="7" s="1"/>
  <c r="M26" i="10"/>
  <c r="AA27" i="7" s="1"/>
  <c r="G27" i="7" s="1"/>
  <c r="M22" i="10"/>
  <c r="AA23" i="7" s="1"/>
  <c r="G23" i="7" s="1"/>
  <c r="M18" i="10"/>
  <c r="AA19" i="7" s="1"/>
  <c r="G19" i="7" s="1"/>
  <c r="M14" i="10"/>
  <c r="AA15" i="7" s="1"/>
  <c r="G15" i="7" s="1"/>
  <c r="M10" i="10"/>
  <c r="AA11" i="7" s="1"/>
  <c r="G11" i="7" s="1"/>
  <c r="M3" i="10"/>
  <c r="AA4" i="7" s="1"/>
  <c r="G4" i="7" s="1"/>
  <c r="I10" i="10"/>
  <c r="M6" i="10" s="1"/>
  <c r="AA7" i="7" s="1"/>
  <c r="G7" i="7" s="1"/>
  <c r="I20" i="10"/>
  <c r="I21" i="10"/>
  <c r="M25" i="10"/>
  <c r="AA26" i="7" s="1"/>
  <c r="G26" i="7" s="1"/>
  <c r="M35" i="10"/>
  <c r="AA36" i="7" s="1"/>
  <c r="G36" i="7" s="1"/>
  <c r="I42" i="10"/>
  <c r="I52" i="10"/>
  <c r="I53" i="10"/>
  <c r="M57" i="10"/>
  <c r="AA58" i="7" s="1"/>
  <c r="G58" i="7" s="1"/>
  <c r="M67" i="10"/>
  <c r="AA68" i="7" s="1"/>
  <c r="G68" i="7" s="1"/>
  <c r="I74" i="10"/>
  <c r="I86" i="10"/>
  <c r="M97" i="10"/>
  <c r="AA98" i="7" s="1"/>
  <c r="G98" i="7" s="1"/>
  <c r="E97" i="4" s="1"/>
  <c r="I123" i="10"/>
  <c r="M33" i="10" s="1"/>
  <c r="AA34" i="7" s="1"/>
  <c r="G34" i="7" s="1"/>
  <c r="I132" i="10"/>
  <c r="I187" i="10"/>
  <c r="I196" i="10"/>
  <c r="I2" i="10"/>
  <c r="M4" i="10" s="1"/>
  <c r="AA5" i="7" s="1"/>
  <c r="G5" i="7" s="1"/>
  <c r="M5" i="10"/>
  <c r="AA6" i="7" s="1"/>
  <c r="G6" i="7" s="1"/>
  <c r="M15" i="10"/>
  <c r="AA16" i="7" s="1"/>
  <c r="G16" i="7" s="1"/>
  <c r="I22" i="10"/>
  <c r="M9" i="10" s="1"/>
  <c r="AA10" i="7" s="1"/>
  <c r="G10" i="7" s="1"/>
  <c r="I32" i="10"/>
  <c r="M12" i="10" s="1"/>
  <c r="AA13" i="7" s="1"/>
  <c r="G13" i="7" s="1"/>
  <c r="I33" i="10"/>
  <c r="M37" i="10"/>
  <c r="AA38" i="7" s="1"/>
  <c r="G38" i="7" s="1"/>
  <c r="M47" i="10"/>
  <c r="AA48" i="7" s="1"/>
  <c r="G48" i="7" s="1"/>
  <c r="I54" i="10"/>
  <c r="I64" i="10"/>
  <c r="I65" i="10"/>
  <c r="M69" i="10"/>
  <c r="AA70" i="7" s="1"/>
  <c r="G70" i="7" s="1"/>
  <c r="M79" i="10"/>
  <c r="AA80" i="7" s="1"/>
  <c r="G80" i="7" s="1"/>
  <c r="I88" i="10"/>
  <c r="I89" i="10"/>
  <c r="M101" i="10"/>
  <c r="AA102" i="7" s="1"/>
  <c r="G102" i="7" s="1"/>
  <c r="E101" i="4" s="1"/>
  <c r="I131" i="10"/>
  <c r="M34" i="10" s="1"/>
  <c r="AA35" i="7" s="1"/>
  <c r="G35" i="7" s="1"/>
  <c r="I204" i="10"/>
  <c r="M51" i="10" s="1"/>
  <c r="AA52" i="7" s="1"/>
  <c r="G52" i="7" s="1"/>
  <c r="M5" i="9"/>
  <c r="AA6" i="6" s="1"/>
  <c r="M9" i="9"/>
  <c r="AA10" i="6" s="1"/>
  <c r="M13" i="9"/>
  <c r="AA14" i="6" s="1"/>
  <c r="M17" i="9"/>
  <c r="AA18" i="6" s="1"/>
  <c r="M21" i="9"/>
  <c r="AA22" i="6" s="1"/>
  <c r="M25" i="9"/>
  <c r="AA26" i="6" s="1"/>
  <c r="M29" i="9"/>
  <c r="AA30" i="6" s="1"/>
  <c r="M33" i="9"/>
  <c r="AA34" i="6" s="1"/>
  <c r="M37" i="9"/>
  <c r="AA38" i="6" s="1"/>
  <c r="M41" i="9"/>
  <c r="AA42" i="6" s="1"/>
  <c r="M45" i="9"/>
  <c r="AA46" i="6" s="1"/>
  <c r="M49" i="9"/>
  <c r="AA50" i="6" s="1"/>
  <c r="M53" i="9"/>
  <c r="AA54" i="6" s="1"/>
  <c r="M57" i="9"/>
  <c r="AA58" i="6" s="1"/>
  <c r="M61" i="9"/>
  <c r="AA62" i="6" s="1"/>
  <c r="M65" i="9"/>
  <c r="AA66" i="6" s="1"/>
  <c r="M69" i="9"/>
  <c r="AA70" i="6" s="1"/>
  <c r="M73" i="9"/>
  <c r="AA74" i="6" s="1"/>
  <c r="M77" i="9"/>
  <c r="AA78" i="6" s="1"/>
  <c r="M81" i="9"/>
  <c r="AA82" i="6" s="1"/>
  <c r="M85" i="9"/>
  <c r="AA86" i="6" s="1"/>
  <c r="M89" i="9"/>
  <c r="AA90" i="6" s="1"/>
  <c r="M93" i="9"/>
  <c r="AA94" i="6" s="1"/>
  <c r="M97" i="9"/>
  <c r="AA98" i="6" s="1"/>
  <c r="M101" i="9"/>
  <c r="AA102" i="6" s="1"/>
  <c r="M6" i="9"/>
  <c r="AA7" i="6" s="1"/>
  <c r="M10" i="9"/>
  <c r="AA11" i="6" s="1"/>
  <c r="M14" i="9"/>
  <c r="AA15" i="6" s="1"/>
  <c r="M18" i="9"/>
  <c r="AA19" i="6" s="1"/>
  <c r="M22" i="9"/>
  <c r="AA23" i="6" s="1"/>
  <c r="M26" i="9"/>
  <c r="AA27" i="6" s="1"/>
  <c r="M30" i="9"/>
  <c r="AA31" i="6" s="1"/>
  <c r="M34" i="9"/>
  <c r="AA35" i="6" s="1"/>
  <c r="M38" i="9"/>
  <c r="AA39" i="6" s="1"/>
  <c r="M42" i="9"/>
  <c r="AA43" i="6" s="1"/>
  <c r="M46" i="9"/>
  <c r="AA47" i="6" s="1"/>
  <c r="M50" i="9"/>
  <c r="AA51" i="6" s="1"/>
  <c r="M54" i="9"/>
  <c r="AA55" i="6" s="1"/>
  <c r="M58" i="9"/>
  <c r="AA59" i="6" s="1"/>
  <c r="M62" i="9"/>
  <c r="AA63" i="6" s="1"/>
  <c r="M66" i="9"/>
  <c r="AA67" i="6" s="1"/>
  <c r="M70" i="9"/>
  <c r="AA71" i="6" s="1"/>
  <c r="M74" i="9"/>
  <c r="AA75" i="6" s="1"/>
  <c r="M78" i="9"/>
  <c r="AA79" i="6" s="1"/>
  <c r="M82" i="9"/>
  <c r="AA83" i="6" s="1"/>
  <c r="M86" i="9"/>
  <c r="AA87" i="6" s="1"/>
  <c r="M90" i="9"/>
  <c r="AA91" i="6" s="1"/>
  <c r="M94" i="9"/>
  <c r="AA95" i="6" s="1"/>
  <c r="M98" i="9"/>
  <c r="AA99" i="6" s="1"/>
  <c r="M102" i="9"/>
  <c r="AA103" i="6" s="1"/>
  <c r="M7" i="9"/>
  <c r="AA8" i="6" s="1"/>
  <c r="M11" i="9"/>
  <c r="AA12" i="6" s="1"/>
  <c r="M19" i="9"/>
  <c r="AA20" i="6" s="1"/>
  <c r="M27" i="9"/>
  <c r="AA28" i="6" s="1"/>
  <c r="M31" i="9"/>
  <c r="AA32" i="6" s="1"/>
  <c r="M39" i="9"/>
  <c r="AA40" i="6" s="1"/>
  <c r="M43" i="9"/>
  <c r="AA44" i="6" s="1"/>
  <c r="M47" i="9"/>
  <c r="AA48" i="6" s="1"/>
  <c r="M51" i="9"/>
  <c r="AA52" i="6" s="1"/>
  <c r="M55" i="9"/>
  <c r="AA56" i="6" s="1"/>
  <c r="M59" i="9"/>
  <c r="AA60" i="6" s="1"/>
  <c r="M63" i="9"/>
  <c r="AA64" i="6" s="1"/>
  <c r="M67" i="9"/>
  <c r="AA68" i="6" s="1"/>
  <c r="M71" i="9"/>
  <c r="AA72" i="6" s="1"/>
  <c r="M75" i="9"/>
  <c r="AA76" i="6" s="1"/>
  <c r="M79" i="9"/>
  <c r="AA80" i="6" s="1"/>
  <c r="M83" i="9"/>
  <c r="AA84" i="6" s="1"/>
  <c r="M87" i="9"/>
  <c r="AA88" i="6" s="1"/>
  <c r="M91" i="9"/>
  <c r="AA92" i="6" s="1"/>
  <c r="M95" i="9"/>
  <c r="AA96" i="6" s="1"/>
  <c r="M99" i="9"/>
  <c r="AA100" i="6" s="1"/>
  <c r="M103" i="9"/>
  <c r="AA104" i="6" s="1"/>
  <c r="M3" i="9"/>
  <c r="AA4" i="6" s="1"/>
  <c r="M15" i="9"/>
  <c r="AA16" i="6" s="1"/>
  <c r="M23" i="9"/>
  <c r="AA24" i="6" s="1"/>
  <c r="M35" i="9"/>
  <c r="AA36" i="6" s="1"/>
  <c r="M4" i="9"/>
  <c r="AA5" i="6" s="1"/>
  <c r="M8" i="9"/>
  <c r="AA9" i="6" s="1"/>
  <c r="M12" i="9"/>
  <c r="AA13" i="6" s="1"/>
  <c r="M16" i="9"/>
  <c r="AA17" i="6" s="1"/>
  <c r="M20" i="9"/>
  <c r="AA21" i="6" s="1"/>
  <c r="M24" i="9"/>
  <c r="AA25" i="6" s="1"/>
  <c r="M28" i="9"/>
  <c r="AA29" i="6" s="1"/>
  <c r="M32" i="9"/>
  <c r="AA33" i="6" s="1"/>
  <c r="M36" i="9"/>
  <c r="AA37" i="6" s="1"/>
  <c r="M40" i="9"/>
  <c r="AA41" i="6" s="1"/>
  <c r="M44" i="9"/>
  <c r="AA45" i="6" s="1"/>
  <c r="M48" i="9"/>
  <c r="AA49" i="6" s="1"/>
  <c r="M52" i="9"/>
  <c r="AA53" i="6" s="1"/>
  <c r="M56" i="9"/>
  <c r="AA57" i="6" s="1"/>
  <c r="M60" i="9"/>
  <c r="AA61" i="6" s="1"/>
  <c r="M64" i="9"/>
  <c r="AA65" i="6" s="1"/>
  <c r="M68" i="9"/>
  <c r="AA69" i="6" s="1"/>
  <c r="M72" i="9"/>
  <c r="AA73" i="6" s="1"/>
  <c r="M76" i="9"/>
  <c r="AA77" i="6" s="1"/>
  <c r="M80" i="9"/>
  <c r="AA81" i="6" s="1"/>
  <c r="M84" i="9"/>
  <c r="AA85" i="6" s="1"/>
  <c r="M88" i="9"/>
  <c r="AA89" i="6" s="1"/>
  <c r="M92" i="9"/>
  <c r="AA93" i="6" s="1"/>
  <c r="M96" i="9"/>
  <c r="AA97" i="6" s="1"/>
  <c r="M100" i="9"/>
  <c r="AA101" i="6" s="1"/>
  <c r="C6" i="7"/>
  <c r="E5" i="4" s="1"/>
  <c r="C10" i="7"/>
  <c r="E9" i="4" s="1"/>
  <c r="C14" i="7"/>
  <c r="E13" i="4" s="1"/>
  <c r="C18" i="7"/>
  <c r="C22" i="7"/>
  <c r="E21" i="4" s="1"/>
  <c r="C26" i="7"/>
  <c r="E25" i="4" s="1"/>
  <c r="C30" i="7"/>
  <c r="E29" i="4" s="1"/>
  <c r="C34" i="7"/>
  <c r="E33" i="4" s="1"/>
  <c r="C38" i="7"/>
  <c r="E37" i="4" s="1"/>
  <c r="D55" i="4"/>
  <c r="I38" i="7"/>
  <c r="C45" i="7"/>
  <c r="E44" i="4" s="1"/>
  <c r="I51" i="7"/>
  <c r="C5" i="7"/>
  <c r="E4" i="4" s="1"/>
  <c r="C9" i="7"/>
  <c r="E8" i="4" s="1"/>
  <c r="C13" i="7"/>
  <c r="E12" i="4" s="1"/>
  <c r="C17" i="7"/>
  <c r="C21" i="7"/>
  <c r="C25" i="7"/>
  <c r="E24" i="4" s="1"/>
  <c r="C33" i="7"/>
  <c r="E32" i="4" s="1"/>
  <c r="C37" i="7"/>
  <c r="E36" i="4" s="1"/>
  <c r="C40" i="7"/>
  <c r="E39" i="4" s="1"/>
  <c r="C43" i="7"/>
  <c r="E42" i="4" s="1"/>
  <c r="D46" i="4"/>
  <c r="I47" i="7"/>
  <c r="C51" i="7"/>
  <c r="D50" i="4"/>
  <c r="D51" i="7"/>
  <c r="E56" i="7"/>
  <c r="J56" i="7"/>
  <c r="C16" i="7"/>
  <c r="E15" i="4" s="1"/>
  <c r="C20" i="7"/>
  <c r="E19" i="4" s="1"/>
  <c r="C24" i="7"/>
  <c r="E23" i="4" s="1"/>
  <c r="C28" i="7"/>
  <c r="E27" i="4" s="1"/>
  <c r="C32" i="7"/>
  <c r="E31" i="4" s="1"/>
  <c r="C36" i="7"/>
  <c r="E35" i="4" s="1"/>
  <c r="I42" i="7"/>
  <c r="D51" i="4"/>
  <c r="E40" i="7"/>
  <c r="D55" i="7"/>
  <c r="I55" i="7"/>
  <c r="C41" i="7"/>
  <c r="D43" i="4"/>
  <c r="C46" i="7"/>
  <c r="E45" i="4" s="1"/>
  <c r="I46" i="7"/>
  <c r="D47" i="4"/>
  <c r="C48" i="7"/>
  <c r="C55" i="7"/>
  <c r="D54" i="4"/>
  <c r="C39" i="7"/>
  <c r="E38" i="4" s="1"/>
  <c r="D48" i="4"/>
  <c r="D58" i="4"/>
  <c r="D62" i="4"/>
  <c r="D66" i="4"/>
  <c r="D70" i="4"/>
  <c r="D74" i="4"/>
  <c r="D78" i="4"/>
  <c r="D82" i="4"/>
  <c r="D86" i="4"/>
  <c r="D90" i="4"/>
  <c r="D94" i="4"/>
  <c r="D98" i="4"/>
  <c r="D102" i="4"/>
  <c r="C52" i="7"/>
  <c r="E51" i="4" s="1"/>
  <c r="C56" i="7"/>
  <c r="C60" i="7"/>
  <c r="C64" i="7"/>
  <c r="E63" i="4" s="1"/>
  <c r="C68" i="7"/>
  <c r="E67" i="4" s="1"/>
  <c r="C72" i="7"/>
  <c r="E71" i="4" s="1"/>
  <c r="C76" i="7"/>
  <c r="E75" i="4" s="1"/>
  <c r="C80" i="7"/>
  <c r="E79" i="4" s="1"/>
  <c r="C84" i="7"/>
  <c r="C88" i="7"/>
  <c r="E87" i="4" s="1"/>
  <c r="C92" i="7"/>
  <c r="E91" i="4" s="1"/>
  <c r="C96" i="7"/>
  <c r="C100" i="7"/>
  <c r="E99" i="4" s="1"/>
  <c r="C104" i="7"/>
  <c r="C55" i="6"/>
  <c r="C42" i="6"/>
  <c r="C6" i="6"/>
  <c r="C10" i="6"/>
  <c r="C14" i="6"/>
  <c r="C18" i="6"/>
  <c r="C22" i="6"/>
  <c r="C26" i="6"/>
  <c r="C30" i="6"/>
  <c r="C33" i="6"/>
  <c r="C38" i="6"/>
  <c r="I46" i="6"/>
  <c r="I46" i="8" s="1"/>
  <c r="I38" i="6"/>
  <c r="I38" i="8" s="1"/>
  <c r="C46" i="6"/>
  <c r="C49" i="6"/>
  <c r="E55" i="6"/>
  <c r="E55" i="8" s="1"/>
  <c r="J55" i="6"/>
  <c r="J55" i="8" s="1"/>
  <c r="E59" i="6"/>
  <c r="E59" i="8" s="1"/>
  <c r="J59" i="6"/>
  <c r="J59" i="8" s="1"/>
  <c r="E63" i="6"/>
  <c r="E63" i="8" s="1"/>
  <c r="J63" i="6"/>
  <c r="J63" i="8" s="1"/>
  <c r="E67" i="6"/>
  <c r="E67" i="8" s="1"/>
  <c r="J67" i="6"/>
  <c r="J67" i="8" s="1"/>
  <c r="E71" i="6"/>
  <c r="E71" i="8" s="1"/>
  <c r="J71" i="6"/>
  <c r="J71" i="8" s="1"/>
  <c r="C5" i="6"/>
  <c r="C9" i="6"/>
  <c r="C13" i="6"/>
  <c r="C17" i="6"/>
  <c r="C21" i="6"/>
  <c r="C25" i="6"/>
  <c r="C29" i="6"/>
  <c r="E36" i="6"/>
  <c r="E36" i="8" s="1"/>
  <c r="C43" i="6"/>
  <c r="C37" i="6"/>
  <c r="C50" i="6"/>
  <c r="C16" i="6"/>
  <c r="C20" i="6"/>
  <c r="C24" i="6"/>
  <c r="C28" i="6"/>
  <c r="C35" i="6"/>
  <c r="I41" i="6"/>
  <c r="I41" i="8" s="1"/>
  <c r="E43" i="6"/>
  <c r="E43" i="8" s="1"/>
  <c r="C47" i="6"/>
  <c r="C51" i="6"/>
  <c r="C34" i="6"/>
  <c r="C41" i="6"/>
  <c r="I54" i="6"/>
  <c r="I54" i="8" s="1"/>
  <c r="I58" i="6"/>
  <c r="I58" i="8" s="1"/>
  <c r="I62" i="6"/>
  <c r="I62" i="8" s="1"/>
  <c r="I66" i="6"/>
  <c r="I66" i="8" s="1"/>
  <c r="I70" i="6"/>
  <c r="I70" i="8" s="1"/>
  <c r="I34" i="6"/>
  <c r="I34" i="8" s="1"/>
  <c r="I42" i="6"/>
  <c r="I42" i="8" s="1"/>
  <c r="I45" i="6"/>
  <c r="I45" i="8" s="1"/>
  <c r="E47" i="6"/>
  <c r="E47" i="8" s="1"/>
  <c r="E51" i="6"/>
  <c r="E51" i="8" s="1"/>
  <c r="J51" i="6"/>
  <c r="J51" i="8" s="1"/>
  <c r="C54" i="6"/>
  <c r="C58" i="6"/>
  <c r="C62" i="6"/>
  <c r="C66" i="6"/>
  <c r="C70" i="6"/>
  <c r="C74" i="6"/>
  <c r="C78" i="6"/>
  <c r="C82" i="6"/>
  <c r="C86" i="6"/>
  <c r="C90" i="6"/>
  <c r="C94" i="6"/>
  <c r="C98" i="6"/>
  <c r="C102" i="6"/>
  <c r="C97" i="6"/>
  <c r="C101" i="6"/>
  <c r="C105" i="6"/>
  <c r="C96" i="6"/>
  <c r="C100" i="6"/>
  <c r="C104" i="6"/>
  <c r="H7" i="5"/>
  <c r="L23" i="4"/>
  <c r="Q23" i="4"/>
  <c r="R23" i="4" s="1"/>
  <c r="R11" i="4"/>
  <c r="R19" i="4"/>
  <c r="L24" i="4"/>
  <c r="R12" i="4"/>
  <c r="R20" i="4"/>
  <c r="P28" i="4"/>
  <c r="R28" i="4" s="1"/>
  <c r="P32" i="4"/>
  <c r="R32" i="4" s="1"/>
  <c r="L30" i="4"/>
  <c r="P30" i="4"/>
  <c r="R30" i="4" s="1"/>
  <c r="L46" i="4"/>
  <c r="P46" i="4"/>
  <c r="R46" i="4" s="1"/>
  <c r="P25" i="4"/>
  <c r="Q39" i="4"/>
  <c r="P43" i="4"/>
  <c r="R43" i="5" s="1"/>
  <c r="Q47" i="4"/>
  <c r="L3" i="4"/>
  <c r="L8" i="4"/>
  <c r="L9" i="4"/>
  <c r="L11" i="4"/>
  <c r="L12" i="4"/>
  <c r="L15" i="4"/>
  <c r="L18" i="4"/>
  <c r="L19" i="4"/>
  <c r="P24" i="4"/>
  <c r="P29" i="4"/>
  <c r="L33" i="4"/>
  <c r="P33" i="4"/>
  <c r="P37" i="4"/>
  <c r="L40" i="4"/>
  <c r="P40" i="4"/>
  <c r="R40" i="4" s="1"/>
  <c r="P48" i="4"/>
  <c r="R48" i="4" s="1"/>
  <c r="P56" i="4"/>
  <c r="R56" i="5" s="1"/>
  <c r="L56" i="4"/>
  <c r="P58" i="4"/>
  <c r="L58" i="4"/>
  <c r="Q59" i="4"/>
  <c r="P60" i="4"/>
  <c r="Q61" i="4"/>
  <c r="P62" i="4"/>
  <c r="L62" i="4"/>
  <c r="Q63" i="4"/>
  <c r="P64" i="4"/>
  <c r="L64" i="4"/>
  <c r="Q65" i="4"/>
  <c r="P66" i="4"/>
  <c r="L66" i="4"/>
  <c r="Q67" i="4"/>
  <c r="P68" i="4"/>
  <c r="L68" i="4"/>
  <c r="Q69" i="4"/>
  <c r="P70" i="4"/>
  <c r="L70" i="4"/>
  <c r="Q71" i="4"/>
  <c r="P72" i="4"/>
  <c r="L72" i="4"/>
  <c r="P74" i="4"/>
  <c r="L74" i="4"/>
  <c r="Q75" i="4"/>
  <c r="P76" i="4"/>
  <c r="L76" i="4"/>
  <c r="Q77" i="4"/>
  <c r="P78" i="4"/>
  <c r="L78" i="4"/>
  <c r="Q79" i="4"/>
  <c r="P80" i="4"/>
  <c r="L80" i="4"/>
  <c r="Q81" i="4"/>
  <c r="P82" i="4"/>
  <c r="L82" i="4"/>
  <c r="Q83" i="4"/>
  <c r="P84" i="4"/>
  <c r="L84" i="4"/>
  <c r="Q85" i="4"/>
  <c r="P86" i="4"/>
  <c r="L86" i="4"/>
  <c r="Q87" i="4"/>
  <c r="P88" i="4"/>
  <c r="L88" i="4"/>
  <c r="Q89" i="4"/>
  <c r="P90" i="4"/>
  <c r="L90" i="4"/>
  <c r="Q91" i="4"/>
  <c r="P92" i="4"/>
  <c r="L92" i="4"/>
  <c r="Q93" i="4"/>
  <c r="P94" i="4"/>
  <c r="L94" i="4"/>
  <c r="Q95" i="4"/>
  <c r="P96" i="4"/>
  <c r="L96" i="4"/>
  <c r="Q97" i="4"/>
  <c r="P98" i="4"/>
  <c r="L98" i="4"/>
  <c r="Q99" i="4"/>
  <c r="P100" i="4"/>
  <c r="L100" i="4"/>
  <c r="Q101" i="4"/>
  <c r="P102" i="4"/>
  <c r="L102" i="4"/>
  <c r="Q103" i="4"/>
  <c r="P104" i="4"/>
  <c r="R104" i="4" s="1"/>
  <c r="L104" i="4"/>
  <c r="Q41" i="4"/>
  <c r="L45" i="4"/>
  <c r="P45" i="4"/>
  <c r="R45" i="4" s="1"/>
  <c r="Q49" i="4"/>
  <c r="L53" i="4"/>
  <c r="P53" i="4"/>
  <c r="R53" i="4" s="1"/>
  <c r="P42" i="4"/>
  <c r="P50" i="4"/>
  <c r="L39" i="4"/>
  <c r="P39" i="4"/>
  <c r="L47" i="4"/>
  <c r="P47" i="4"/>
  <c r="P21" i="4"/>
  <c r="R21" i="4" s="1"/>
  <c r="Q43" i="4"/>
  <c r="Q51" i="4"/>
  <c r="P55" i="4"/>
  <c r="L27" i="4"/>
  <c r="P27" i="4"/>
  <c r="R27" i="4" s="1"/>
  <c r="P31" i="4"/>
  <c r="L35" i="4"/>
  <c r="P35" i="4"/>
  <c r="R35" i="4" s="1"/>
  <c r="P44" i="4"/>
  <c r="L52" i="4"/>
  <c r="P52" i="4"/>
  <c r="R52" i="4" s="1"/>
  <c r="Q56" i="4"/>
  <c r="P57" i="4"/>
  <c r="Q58" i="4"/>
  <c r="P59" i="4"/>
  <c r="L59" i="4"/>
  <c r="P61" i="4"/>
  <c r="L61" i="4"/>
  <c r="Q62" i="4"/>
  <c r="P63" i="4"/>
  <c r="L63" i="4"/>
  <c r="Q64" i="4"/>
  <c r="P65" i="4"/>
  <c r="R65" i="4" s="1"/>
  <c r="L65" i="4"/>
  <c r="Q66" i="4"/>
  <c r="P67" i="4"/>
  <c r="R67" i="4" s="1"/>
  <c r="L67" i="4"/>
  <c r="Q68" i="4"/>
  <c r="P69" i="4"/>
  <c r="L69" i="4"/>
  <c r="Q70" i="4"/>
  <c r="P71" i="4"/>
  <c r="L71" i="4"/>
  <c r="Q72" i="4"/>
  <c r="P73" i="4"/>
  <c r="Q74" i="4"/>
  <c r="P75" i="4"/>
  <c r="L75" i="4"/>
  <c r="Q76" i="4"/>
  <c r="P77" i="4"/>
  <c r="L77" i="4"/>
  <c r="Q78" i="4"/>
  <c r="P79" i="4"/>
  <c r="L79" i="4"/>
  <c r="Q80" i="4"/>
  <c r="P81" i="4"/>
  <c r="R81" i="4" s="1"/>
  <c r="L81" i="4"/>
  <c r="Q82" i="4"/>
  <c r="P83" i="4"/>
  <c r="R83" i="4" s="1"/>
  <c r="L83" i="4"/>
  <c r="Q84" i="4"/>
  <c r="P85" i="4"/>
  <c r="L85" i="4"/>
  <c r="Q86" i="4"/>
  <c r="P87" i="4"/>
  <c r="L87" i="4"/>
  <c r="Q88" i="4"/>
  <c r="P89" i="4"/>
  <c r="L89" i="4"/>
  <c r="Q90" i="4"/>
  <c r="P91" i="4"/>
  <c r="L91" i="4"/>
  <c r="Q92" i="4"/>
  <c r="P93" i="4"/>
  <c r="L93" i="4"/>
  <c r="Q94" i="4"/>
  <c r="P95" i="4"/>
  <c r="L95" i="4"/>
  <c r="Q96" i="4"/>
  <c r="P97" i="4"/>
  <c r="R97" i="4" s="1"/>
  <c r="L97" i="4"/>
  <c r="Q98" i="4"/>
  <c r="P99" i="4"/>
  <c r="R99" i="4" s="1"/>
  <c r="L99" i="4"/>
  <c r="Q100" i="4"/>
  <c r="P101" i="4"/>
  <c r="L101" i="4"/>
  <c r="Q102" i="4"/>
  <c r="P103" i="4"/>
  <c r="L103" i="4"/>
  <c r="P22" i="4"/>
  <c r="R22" i="4" s="1"/>
  <c r="L41" i="4"/>
  <c r="P41" i="4"/>
  <c r="L49" i="4"/>
  <c r="P49" i="4"/>
  <c r="L38" i="4"/>
  <c r="P38" i="4"/>
  <c r="Q42" i="4"/>
  <c r="P54" i="4"/>
  <c r="P36" i="4"/>
  <c r="R36" i="4" s="1"/>
  <c r="L34" i="4"/>
  <c r="P34" i="4"/>
  <c r="R34" i="4" s="1"/>
  <c r="Q50" i="4"/>
  <c r="P51" i="4"/>
  <c r="P16" i="3"/>
  <c r="R16" i="5" s="1"/>
  <c r="P4" i="3"/>
  <c r="K11" i="3"/>
  <c r="L13" i="3"/>
  <c r="P13" i="3"/>
  <c r="K19" i="3"/>
  <c r="L19" i="3" s="1"/>
  <c r="L22" i="3"/>
  <c r="P26" i="3"/>
  <c r="R26" i="5" s="1"/>
  <c r="L30" i="3"/>
  <c r="P34" i="3"/>
  <c r="P42" i="3"/>
  <c r="L46" i="3"/>
  <c r="K8" i="3"/>
  <c r="L8" i="3" s="1"/>
  <c r="N8" i="5" s="1"/>
  <c r="P10" i="3"/>
  <c r="K16" i="3"/>
  <c r="L18" i="3"/>
  <c r="P18" i="3"/>
  <c r="P49" i="3"/>
  <c r="R49" i="5" s="1"/>
  <c r="L49" i="3"/>
  <c r="P8" i="3"/>
  <c r="L3" i="3"/>
  <c r="P3" i="3"/>
  <c r="P15" i="3"/>
  <c r="R15" i="5" s="1"/>
  <c r="Q23" i="3"/>
  <c r="K39" i="3"/>
  <c r="M39" i="5" s="1"/>
  <c r="K51" i="3"/>
  <c r="M51" i="5" s="1"/>
  <c r="P11" i="3"/>
  <c r="R11" i="5" s="1"/>
  <c r="Q21" i="3"/>
  <c r="S21" i="5" s="1"/>
  <c r="L25" i="3"/>
  <c r="P25" i="3"/>
  <c r="P33" i="3"/>
  <c r="R33" i="5" s="1"/>
  <c r="L33" i="3"/>
  <c r="Q34" i="3"/>
  <c r="S34" i="5" s="1"/>
  <c r="P41" i="3"/>
  <c r="L41" i="3"/>
  <c r="P55" i="3"/>
  <c r="P7" i="3"/>
  <c r="L6" i="3"/>
  <c r="P6" i="3"/>
  <c r="K7" i="3"/>
  <c r="L7" i="3" s="1"/>
  <c r="P9" i="3"/>
  <c r="K15" i="3"/>
  <c r="P17" i="3"/>
  <c r="P59" i="3"/>
  <c r="P12" i="3"/>
  <c r="R12" i="5" s="1"/>
  <c r="K12" i="3"/>
  <c r="L14" i="3"/>
  <c r="P14" i="3"/>
  <c r="K20" i="3"/>
  <c r="L47" i="3"/>
  <c r="Q49" i="3"/>
  <c r="L50" i="3"/>
  <c r="L5" i="3"/>
  <c r="P5" i="3"/>
  <c r="K17" i="3"/>
  <c r="P19" i="3"/>
  <c r="K27" i="3"/>
  <c r="M27" i="5" s="1"/>
  <c r="K35" i="3"/>
  <c r="M35" i="5" s="1"/>
  <c r="K43" i="3"/>
  <c r="M43" i="5" s="1"/>
  <c r="P48" i="3"/>
  <c r="P21" i="3"/>
  <c r="L21" i="3"/>
  <c r="Q22" i="3"/>
  <c r="Q25" i="3"/>
  <c r="L29" i="3"/>
  <c r="P29" i="3"/>
  <c r="Q30" i="3"/>
  <c r="Q33" i="3"/>
  <c r="S33" i="5" s="1"/>
  <c r="L37" i="3"/>
  <c r="P37" i="3"/>
  <c r="P45" i="3"/>
  <c r="P20" i="3"/>
  <c r="P28" i="3"/>
  <c r="L32" i="3"/>
  <c r="P36" i="3"/>
  <c r="L40" i="3"/>
  <c r="P44" i="3"/>
  <c r="P52" i="3"/>
  <c r="L55" i="3"/>
  <c r="P57" i="3"/>
  <c r="R57" i="5" s="1"/>
  <c r="Q61" i="3"/>
  <c r="P62" i="3"/>
  <c r="R62" i="5" s="1"/>
  <c r="L62" i="3"/>
  <c r="P64" i="3"/>
  <c r="R64" i="5" s="1"/>
  <c r="L64" i="3"/>
  <c r="P66" i="3"/>
  <c r="R66" i="5" s="1"/>
  <c r="L66" i="3"/>
  <c r="Q67" i="3"/>
  <c r="S67" i="5" s="1"/>
  <c r="P68" i="3"/>
  <c r="L68" i="3"/>
  <c r="P70" i="3"/>
  <c r="R70" i="5" s="1"/>
  <c r="L70" i="3"/>
  <c r="P72" i="3"/>
  <c r="R72" i="5" s="1"/>
  <c r="Q73" i="3"/>
  <c r="P74" i="3"/>
  <c r="Q75" i="3"/>
  <c r="S75" i="5" s="1"/>
  <c r="P76" i="3"/>
  <c r="L76" i="3"/>
  <c r="Q77" i="3"/>
  <c r="S77" i="5" s="1"/>
  <c r="P78" i="3"/>
  <c r="R78" i="5" s="1"/>
  <c r="L78" i="3"/>
  <c r="P80" i="3"/>
  <c r="R80" i="5" s="1"/>
  <c r="L80" i="3"/>
  <c r="Q81" i="3"/>
  <c r="P82" i="3"/>
  <c r="R82" i="5" s="1"/>
  <c r="L82" i="3"/>
  <c r="N82" i="5" s="1"/>
  <c r="Q83" i="3"/>
  <c r="S83" i="5" s="1"/>
  <c r="P84" i="3"/>
  <c r="L84" i="3"/>
  <c r="P86" i="3"/>
  <c r="R86" i="5" s="1"/>
  <c r="L86" i="3"/>
  <c r="Q87" i="3"/>
  <c r="S87" i="5" s="1"/>
  <c r="P88" i="3"/>
  <c r="R88" i="5" s="1"/>
  <c r="L88" i="3"/>
  <c r="N88" i="5" s="1"/>
  <c r="Q89" i="3"/>
  <c r="P90" i="3"/>
  <c r="R90" i="5" s="1"/>
  <c r="L90" i="3"/>
  <c r="Q91" i="3"/>
  <c r="S91" i="5" s="1"/>
  <c r="P92" i="3"/>
  <c r="L92" i="3"/>
  <c r="Q93" i="3"/>
  <c r="S93" i="5" s="1"/>
  <c r="P94" i="3"/>
  <c r="R94" i="5" s="1"/>
  <c r="L94" i="3"/>
  <c r="Q95" i="3"/>
  <c r="S95" i="5" s="1"/>
  <c r="P96" i="3"/>
  <c r="R96" i="5" s="1"/>
  <c r="L96" i="3"/>
  <c r="P98" i="3"/>
  <c r="R98" i="5" s="1"/>
  <c r="L98" i="3"/>
  <c r="Q99" i="3"/>
  <c r="S99" i="5" s="1"/>
  <c r="P100" i="3"/>
  <c r="Q101" i="3"/>
  <c r="S101" i="5" s="1"/>
  <c r="P102" i="3"/>
  <c r="R102" i="5" s="1"/>
  <c r="L102" i="3"/>
  <c r="Q103" i="3"/>
  <c r="S103" i="5" s="1"/>
  <c r="P104" i="3"/>
  <c r="L104" i="3"/>
  <c r="Q60" i="3"/>
  <c r="L53" i="3"/>
  <c r="Q57" i="3"/>
  <c r="P61" i="3"/>
  <c r="L61" i="3"/>
  <c r="Q62" i="3"/>
  <c r="S62" i="5" s="1"/>
  <c r="P63" i="3"/>
  <c r="L63" i="3"/>
  <c r="Q64" i="3"/>
  <c r="P65" i="3"/>
  <c r="L65" i="3"/>
  <c r="Q66" i="3"/>
  <c r="S66" i="5" s="1"/>
  <c r="P67" i="3"/>
  <c r="L67" i="3"/>
  <c r="Q68" i="3"/>
  <c r="S68" i="5" s="1"/>
  <c r="P69" i="3"/>
  <c r="Q70" i="3"/>
  <c r="P71" i="3"/>
  <c r="P73" i="3"/>
  <c r="L73" i="3"/>
  <c r="P75" i="3"/>
  <c r="L75" i="3"/>
  <c r="Q76" i="3"/>
  <c r="S76" i="5" s="1"/>
  <c r="P77" i="3"/>
  <c r="L77" i="3"/>
  <c r="Q78" i="3"/>
  <c r="S78" i="5" s="1"/>
  <c r="P79" i="3"/>
  <c r="Q80" i="3"/>
  <c r="P81" i="3"/>
  <c r="L81" i="3"/>
  <c r="Q82" i="3"/>
  <c r="S82" i="5" s="1"/>
  <c r="P83" i="3"/>
  <c r="L83" i="3"/>
  <c r="Q84" i="3"/>
  <c r="S84" i="5" s="1"/>
  <c r="P85" i="3"/>
  <c r="Q86" i="3"/>
  <c r="P87" i="3"/>
  <c r="L87" i="3"/>
  <c r="Q88" i="3"/>
  <c r="P89" i="3"/>
  <c r="L89" i="3"/>
  <c r="Q90" i="3"/>
  <c r="S90" i="5" s="1"/>
  <c r="P91" i="3"/>
  <c r="L91" i="3"/>
  <c r="Q92" i="3"/>
  <c r="S92" i="5" s="1"/>
  <c r="P93" i="3"/>
  <c r="L93" i="3"/>
  <c r="D92" i="2" s="1"/>
  <c r="L92" i="2" s="1"/>
  <c r="M92" i="2" s="1"/>
  <c r="N92" i="2" s="1"/>
  <c r="O92" i="2" s="1"/>
  <c r="P92" i="2" s="1"/>
  <c r="Q92" i="2" s="1"/>
  <c r="R92" i="2" s="1"/>
  <c r="S92" i="2" s="1"/>
  <c r="Q94" i="3"/>
  <c r="S94" i="5" s="1"/>
  <c r="P95" i="3"/>
  <c r="L95" i="3"/>
  <c r="Q96" i="3"/>
  <c r="P97" i="3"/>
  <c r="L97" i="3"/>
  <c r="Q98" i="3"/>
  <c r="S98" i="5" s="1"/>
  <c r="P99" i="3"/>
  <c r="L99" i="3"/>
  <c r="Q100" i="3"/>
  <c r="S100" i="5" s="1"/>
  <c r="P101" i="3"/>
  <c r="L101" i="3"/>
  <c r="Q102" i="3"/>
  <c r="P103" i="3"/>
  <c r="L103" i="3"/>
  <c r="Q55" i="3"/>
  <c r="P60" i="3"/>
  <c r="L48" i="3" l="1"/>
  <c r="Q60" i="4"/>
  <c r="Q63" i="3"/>
  <c r="S61" i="5"/>
  <c r="N32" i="5"/>
  <c r="L57" i="4"/>
  <c r="Q79" i="3"/>
  <c r="M54" i="5"/>
  <c r="L79" i="3"/>
  <c r="Q65" i="3"/>
  <c r="R54" i="4"/>
  <c r="S54" i="5"/>
  <c r="N64" i="5"/>
  <c r="L54" i="4"/>
  <c r="L20" i="4"/>
  <c r="Q74" i="3"/>
  <c r="S74" i="5" s="1"/>
  <c r="L72" i="3"/>
  <c r="R38" i="4"/>
  <c r="L55" i="4"/>
  <c r="R24" i="4"/>
  <c r="L4" i="4"/>
  <c r="M73" i="5"/>
  <c r="M24" i="5"/>
  <c r="R54" i="3"/>
  <c r="T54" i="5" s="1"/>
  <c r="Q72" i="3"/>
  <c r="Q97" i="3"/>
  <c r="L24" i="3"/>
  <c r="D23" i="2" s="1"/>
  <c r="L23" i="2" s="1"/>
  <c r="M23" i="2" s="1"/>
  <c r="N23" i="2" s="1"/>
  <c r="O23" i="2" s="1"/>
  <c r="P23" i="2" s="1"/>
  <c r="Q23" i="2" s="1"/>
  <c r="L59" i="3"/>
  <c r="Q26" i="3"/>
  <c r="L71" i="3"/>
  <c r="N71" i="5" s="1"/>
  <c r="L38" i="3"/>
  <c r="L73" i="4"/>
  <c r="R47" i="4"/>
  <c r="R37" i="4"/>
  <c r="L16" i="4"/>
  <c r="L10" i="4"/>
  <c r="L74" i="3"/>
  <c r="D73" i="2" s="1"/>
  <c r="L73" i="2" s="1"/>
  <c r="M73" i="2" s="1"/>
  <c r="N73" i="2" s="1"/>
  <c r="O73" i="2" s="1"/>
  <c r="P73" i="2" s="1"/>
  <c r="Q73" i="2" s="1"/>
  <c r="Q69" i="3"/>
  <c r="S69" i="5" s="1"/>
  <c r="R33" i="4"/>
  <c r="L7" i="4"/>
  <c r="Q71" i="3"/>
  <c r="S71" i="5" s="1"/>
  <c r="S102" i="5"/>
  <c r="S70" i="5"/>
  <c r="L100" i="3"/>
  <c r="L14" i="4"/>
  <c r="L6" i="4"/>
  <c r="N6" i="5" s="1"/>
  <c r="Q26" i="4"/>
  <c r="R26" i="4" s="1"/>
  <c r="Q24" i="3"/>
  <c r="Q59" i="3"/>
  <c r="S59" i="5" s="1"/>
  <c r="Q85" i="3"/>
  <c r="S85" i="5" s="1"/>
  <c r="S86" i="5"/>
  <c r="L85" i="3"/>
  <c r="L69" i="3"/>
  <c r="Q38" i="3"/>
  <c r="S38" i="5" s="1"/>
  <c r="R29" i="4"/>
  <c r="L13" i="4"/>
  <c r="L5" i="4"/>
  <c r="M29" i="5"/>
  <c r="R51" i="4"/>
  <c r="R103" i="4"/>
  <c r="R87" i="4"/>
  <c r="R71" i="4"/>
  <c r="R39" i="4"/>
  <c r="S48" i="5"/>
  <c r="R44" i="4"/>
  <c r="L37" i="4"/>
  <c r="R49" i="4"/>
  <c r="R91" i="4"/>
  <c r="R75" i="4"/>
  <c r="R59" i="4"/>
  <c r="L44" i="4"/>
  <c r="L17" i="4"/>
  <c r="L22" i="4"/>
  <c r="M70" i="5"/>
  <c r="D46" i="2"/>
  <c r="L46" i="2" s="1"/>
  <c r="M46" i="2" s="1"/>
  <c r="N46" i="2" s="1"/>
  <c r="O46" i="2" s="1"/>
  <c r="P46" i="2" s="1"/>
  <c r="Q46" i="2" s="1"/>
  <c r="R46" i="2" s="1"/>
  <c r="S46" i="2" s="1"/>
  <c r="L48" i="4"/>
  <c r="L29" i="4"/>
  <c r="N29" i="5" s="1"/>
  <c r="L25" i="4"/>
  <c r="N25" i="5" s="1"/>
  <c r="S25" i="5"/>
  <c r="L31" i="4"/>
  <c r="R25" i="4"/>
  <c r="D27" i="2"/>
  <c r="L27" i="2" s="1"/>
  <c r="M27" i="2" s="1"/>
  <c r="N27" i="2" s="1"/>
  <c r="O27" i="2" s="1"/>
  <c r="P27" i="2" s="1"/>
  <c r="Q27" i="2" s="1"/>
  <c r="R27" i="2" s="1"/>
  <c r="S27" i="2" s="1"/>
  <c r="N19" i="5"/>
  <c r="D18" i="2"/>
  <c r="L18" i="2" s="1"/>
  <c r="M18" i="2" s="1"/>
  <c r="N18" i="2" s="1"/>
  <c r="O18" i="2" s="1"/>
  <c r="P18" i="2" s="1"/>
  <c r="Q18" i="2" s="1"/>
  <c r="R23" i="2"/>
  <c r="S23" i="2" s="1"/>
  <c r="G73" i="6"/>
  <c r="G73" i="8" s="1"/>
  <c r="AA73" i="8"/>
  <c r="G41" i="6"/>
  <c r="G41" i="8" s="1"/>
  <c r="AA41" i="8"/>
  <c r="AA9" i="8"/>
  <c r="G9" i="6"/>
  <c r="G9" i="8" s="1"/>
  <c r="AA96" i="8"/>
  <c r="G96" i="6"/>
  <c r="G96" i="8" s="1"/>
  <c r="G64" i="6"/>
  <c r="G64" i="8" s="1"/>
  <c r="AA64" i="8"/>
  <c r="M83" i="8"/>
  <c r="D82" i="3"/>
  <c r="D82" i="5" s="1"/>
  <c r="N96" i="5"/>
  <c r="D95" i="2"/>
  <c r="L95" i="2" s="1"/>
  <c r="M95" i="2" s="1"/>
  <c r="N95" i="2" s="1"/>
  <c r="O95" i="2" s="1"/>
  <c r="P95" i="2" s="1"/>
  <c r="Q95" i="2" s="1"/>
  <c r="R29" i="3"/>
  <c r="T29" i="5" s="1"/>
  <c r="R29" i="5"/>
  <c r="M99" i="8"/>
  <c r="D98" i="3"/>
  <c r="D98" i="5" s="1"/>
  <c r="R77" i="3"/>
  <c r="R77" i="5"/>
  <c r="N50" i="5"/>
  <c r="D49" i="2"/>
  <c r="N59" i="5"/>
  <c r="D58" i="2"/>
  <c r="C100" i="8"/>
  <c r="C98" i="8"/>
  <c r="C82" i="8"/>
  <c r="C66" i="8"/>
  <c r="R103" i="3"/>
  <c r="T103" i="5" s="1"/>
  <c r="R103" i="5"/>
  <c r="N97" i="5"/>
  <c r="D96" i="2"/>
  <c r="L96" i="2" s="1"/>
  <c r="M96" i="2" s="1"/>
  <c r="N96" i="2" s="1"/>
  <c r="O96" i="2" s="1"/>
  <c r="P96" i="2" s="1"/>
  <c r="Q96" i="2" s="1"/>
  <c r="N74" i="5"/>
  <c r="H60" i="5"/>
  <c r="R30" i="3"/>
  <c r="T30" i="5" s="1"/>
  <c r="S30" i="5"/>
  <c r="R48" i="3"/>
  <c r="T48" i="5" s="1"/>
  <c r="R48" i="5"/>
  <c r="R6" i="5"/>
  <c r="R31" i="3"/>
  <c r="S31" i="5"/>
  <c r="C104" i="8"/>
  <c r="N103" i="5"/>
  <c r="D102" i="2"/>
  <c r="L102" i="2" s="1"/>
  <c r="M102" i="2" s="1"/>
  <c r="N102" i="2" s="1"/>
  <c r="O102" i="2" s="1"/>
  <c r="P102" i="2" s="1"/>
  <c r="Q102" i="2" s="1"/>
  <c r="R60" i="3"/>
  <c r="R60" i="5"/>
  <c r="R97" i="3"/>
  <c r="T97" i="5" s="1"/>
  <c r="R97" i="5"/>
  <c r="N91" i="5"/>
  <c r="D90" i="2"/>
  <c r="L90" i="2" s="1"/>
  <c r="M90" i="2" s="1"/>
  <c r="N90" i="2" s="1"/>
  <c r="O90" i="2" s="1"/>
  <c r="P90" i="2" s="1"/>
  <c r="Q90" i="2" s="1"/>
  <c r="R81" i="3"/>
  <c r="T81" i="5" s="1"/>
  <c r="R81" i="5"/>
  <c r="N75" i="5"/>
  <c r="D74" i="2"/>
  <c r="L74" i="2" s="1"/>
  <c r="M74" i="2" s="1"/>
  <c r="N74" i="2" s="1"/>
  <c r="O74" i="2" s="1"/>
  <c r="P74" i="2" s="1"/>
  <c r="Q74" i="2" s="1"/>
  <c r="R65" i="3"/>
  <c r="T65" i="5" s="1"/>
  <c r="R65" i="5"/>
  <c r="N53" i="5"/>
  <c r="D52" i="2"/>
  <c r="N100" i="5"/>
  <c r="D99" i="2"/>
  <c r="L99" i="2" s="1"/>
  <c r="M99" i="2" s="1"/>
  <c r="N99" i="2" s="1"/>
  <c r="O99" i="2" s="1"/>
  <c r="P99" i="2" s="1"/>
  <c r="Q99" i="2" s="1"/>
  <c r="R99" i="2" s="1"/>
  <c r="S99" i="2" s="1"/>
  <c r="N84" i="5"/>
  <c r="D83" i="2"/>
  <c r="L83" i="2" s="1"/>
  <c r="M83" i="2" s="1"/>
  <c r="N83" i="2" s="1"/>
  <c r="O83" i="2" s="1"/>
  <c r="P83" i="2" s="1"/>
  <c r="Q83" i="2" s="1"/>
  <c r="S79" i="5"/>
  <c r="R74" i="5"/>
  <c r="N68" i="5"/>
  <c r="D67" i="2"/>
  <c r="S63" i="5"/>
  <c r="R44" i="5"/>
  <c r="N45" i="5"/>
  <c r="D44" i="2"/>
  <c r="L44" i="2" s="1"/>
  <c r="M44" i="2" s="1"/>
  <c r="N44" i="2" s="1"/>
  <c r="O44" i="2" s="1"/>
  <c r="P44" i="2" s="1"/>
  <c r="Q44" i="2" s="1"/>
  <c r="M67" i="8"/>
  <c r="D66" i="3"/>
  <c r="D66" i="5" s="1"/>
  <c r="M58" i="8"/>
  <c r="D57" i="3"/>
  <c r="D57" i="5" s="1"/>
  <c r="C41" i="8"/>
  <c r="E40" i="3"/>
  <c r="M44" i="8"/>
  <c r="D43" i="3"/>
  <c r="D43" i="5" s="1"/>
  <c r="C50" i="8"/>
  <c r="C25" i="8"/>
  <c r="C49" i="8"/>
  <c r="C30" i="8"/>
  <c r="M42" i="8"/>
  <c r="D41" i="3"/>
  <c r="D41" i="5" s="1"/>
  <c r="E83" i="4"/>
  <c r="C84" i="8"/>
  <c r="R87" i="3"/>
  <c r="T87" i="5" s="1"/>
  <c r="R87" i="5"/>
  <c r="N81" i="5"/>
  <c r="D80" i="2"/>
  <c r="L80" i="2" s="1"/>
  <c r="M80" i="2" s="1"/>
  <c r="N80" i="2" s="1"/>
  <c r="O80" i="2" s="1"/>
  <c r="P80" i="2" s="1"/>
  <c r="Q80" i="2" s="1"/>
  <c r="S57" i="5"/>
  <c r="N48" i="5"/>
  <c r="D47" i="2"/>
  <c r="L47" i="2" s="1"/>
  <c r="M47" i="2" s="1"/>
  <c r="N47" i="2" s="1"/>
  <c r="O47" i="2" s="1"/>
  <c r="P47" i="2" s="1"/>
  <c r="Q47" i="2" s="1"/>
  <c r="R47" i="2" s="1"/>
  <c r="S47" i="2" s="1"/>
  <c r="R45" i="5"/>
  <c r="S55" i="5"/>
  <c r="D84" i="2"/>
  <c r="L84" i="2" s="1"/>
  <c r="M84" i="2" s="1"/>
  <c r="N84" i="2" s="1"/>
  <c r="O84" i="2" s="1"/>
  <c r="P84" i="2" s="1"/>
  <c r="Q84" i="2" s="1"/>
  <c r="N41" i="5"/>
  <c r="D40" i="2"/>
  <c r="L40" i="2" s="1"/>
  <c r="M40" i="2" s="1"/>
  <c r="N40" i="2" s="1"/>
  <c r="O40" i="2" s="1"/>
  <c r="P40" i="2" s="1"/>
  <c r="Q40" i="2" s="1"/>
  <c r="N3" i="5"/>
  <c r="D2" i="2"/>
  <c r="L2" i="2" s="1"/>
  <c r="M2" i="2" s="1"/>
  <c r="N2" i="2" s="1"/>
  <c r="O2" i="2" s="1"/>
  <c r="P2" i="2" s="1"/>
  <c r="R10" i="5"/>
  <c r="N30" i="5"/>
  <c r="D29" i="2"/>
  <c r="L29" i="2" s="1"/>
  <c r="M29" i="2" s="1"/>
  <c r="N29" i="2" s="1"/>
  <c r="O29" i="2" s="1"/>
  <c r="P29" i="2" s="1"/>
  <c r="Q29" i="2" s="1"/>
  <c r="N4" i="5"/>
  <c r="D3" i="2"/>
  <c r="L3" i="2" s="1"/>
  <c r="M3" i="2" s="1"/>
  <c r="N3" i="2" s="1"/>
  <c r="O3" i="2" s="1"/>
  <c r="P3" i="2" s="1"/>
  <c r="Q3" i="2" s="1"/>
  <c r="R13" i="5"/>
  <c r="M62" i="8"/>
  <c r="D61" i="3"/>
  <c r="D61" i="5" s="1"/>
  <c r="M45" i="8"/>
  <c r="D44" i="3"/>
  <c r="D44" i="5" s="1"/>
  <c r="C47" i="8"/>
  <c r="C16" i="8"/>
  <c r="C29" i="8"/>
  <c r="C33" i="8"/>
  <c r="C42" i="8"/>
  <c r="E55" i="4"/>
  <c r="C56" i="8"/>
  <c r="R93" i="3"/>
  <c r="R93" i="5"/>
  <c r="N87" i="5"/>
  <c r="D86" i="2"/>
  <c r="L86" i="2" s="1"/>
  <c r="M86" i="2" s="1"/>
  <c r="N86" i="2" s="1"/>
  <c r="O86" i="2" s="1"/>
  <c r="P86" i="2" s="1"/>
  <c r="Q86" i="2" s="1"/>
  <c r="R61" i="3"/>
  <c r="R61" i="5"/>
  <c r="R71" i="3"/>
  <c r="R71" i="5"/>
  <c r="N65" i="5"/>
  <c r="D64" i="2"/>
  <c r="L64" i="2" s="1"/>
  <c r="M64" i="2" s="1"/>
  <c r="N64" i="2" s="1"/>
  <c r="O64" i="2" s="1"/>
  <c r="P64" i="2" s="1"/>
  <c r="Q64" i="2" s="1"/>
  <c r="R64" i="2" s="1"/>
  <c r="S64" i="2" s="1"/>
  <c r="N90" i="5"/>
  <c r="D89" i="2"/>
  <c r="L89" i="2" s="1"/>
  <c r="M89" i="2" s="1"/>
  <c r="N89" i="2" s="1"/>
  <c r="O89" i="2" s="1"/>
  <c r="P89" i="2" s="1"/>
  <c r="Q89" i="2" s="1"/>
  <c r="R89" i="2" s="1"/>
  <c r="S89" i="2" s="1"/>
  <c r="R101" i="3"/>
  <c r="R101" i="5"/>
  <c r="R22" i="3"/>
  <c r="T22" i="5" s="1"/>
  <c r="S22" i="5"/>
  <c r="R14" i="5"/>
  <c r="R9" i="5"/>
  <c r="C97" i="8"/>
  <c r="C90" i="8"/>
  <c r="C74" i="8"/>
  <c r="C58" i="8"/>
  <c r="H56" i="5"/>
  <c r="N5" i="5"/>
  <c r="D4" i="2"/>
  <c r="L4" i="2" s="1"/>
  <c r="M4" i="2" s="1"/>
  <c r="N4" i="2" s="1"/>
  <c r="O4" i="2" s="1"/>
  <c r="P4" i="2" s="1"/>
  <c r="Q4" i="2" s="1"/>
  <c r="R95" i="3"/>
  <c r="R95" i="5"/>
  <c r="N89" i="5"/>
  <c r="D88" i="2"/>
  <c r="L88" i="2" s="1"/>
  <c r="M88" i="2" s="1"/>
  <c r="N88" i="2" s="1"/>
  <c r="O88" i="2" s="1"/>
  <c r="P88" i="2" s="1"/>
  <c r="Q88" i="2" s="1"/>
  <c r="R88" i="2" s="1"/>
  <c r="S88" i="2" s="1"/>
  <c r="R79" i="3"/>
  <c r="R79" i="5"/>
  <c r="N73" i="5"/>
  <c r="D72" i="2"/>
  <c r="L72" i="2" s="1"/>
  <c r="M72" i="2" s="1"/>
  <c r="N72" i="2" s="1"/>
  <c r="O72" i="2" s="1"/>
  <c r="P72" i="2" s="1"/>
  <c r="Q72" i="2" s="1"/>
  <c r="R63" i="3"/>
  <c r="R63" i="5"/>
  <c r="R104" i="5"/>
  <c r="N98" i="5"/>
  <c r="D97" i="2"/>
  <c r="L97" i="2" s="1"/>
  <c r="M97" i="2" s="1"/>
  <c r="N97" i="2" s="1"/>
  <c r="O97" i="2" s="1"/>
  <c r="P97" i="2" s="1"/>
  <c r="Q97" i="2" s="1"/>
  <c r="N37" i="5"/>
  <c r="D36" i="2"/>
  <c r="L36" i="2" s="1"/>
  <c r="M36" i="2" s="1"/>
  <c r="N36" i="2" s="1"/>
  <c r="O36" i="2" s="1"/>
  <c r="P36" i="2" s="1"/>
  <c r="Q36" i="2" s="1"/>
  <c r="H11" i="5"/>
  <c r="H3" i="5"/>
  <c r="N52" i="5"/>
  <c r="D51" i="2"/>
  <c r="L51" i="2" s="1"/>
  <c r="M51" i="2" s="1"/>
  <c r="N51" i="2" s="1"/>
  <c r="O51" i="2" s="1"/>
  <c r="P51" i="2" s="1"/>
  <c r="Q51" i="2" s="1"/>
  <c r="R51" i="2" s="1"/>
  <c r="S51" i="2" s="1"/>
  <c r="N46" i="5"/>
  <c r="D45" i="2"/>
  <c r="L45" i="2" s="1"/>
  <c r="M45" i="2" s="1"/>
  <c r="N45" i="2" s="1"/>
  <c r="O45" i="2" s="1"/>
  <c r="P45" i="2" s="1"/>
  <c r="Q45" i="2" s="1"/>
  <c r="N99" i="5"/>
  <c r="D98" i="2"/>
  <c r="L98" i="2" s="1"/>
  <c r="M98" i="2" s="1"/>
  <c r="N98" i="2" s="1"/>
  <c r="O98" i="2" s="1"/>
  <c r="P98" i="2" s="1"/>
  <c r="Q98" i="2" s="1"/>
  <c r="R89" i="3"/>
  <c r="R89" i="5"/>
  <c r="N83" i="5"/>
  <c r="D82" i="2"/>
  <c r="L82" i="2" s="1"/>
  <c r="M82" i="2" s="1"/>
  <c r="N82" i="2" s="1"/>
  <c r="O82" i="2" s="1"/>
  <c r="P82" i="2" s="1"/>
  <c r="Q82" i="2" s="1"/>
  <c r="R82" i="2" s="1"/>
  <c r="S82" i="2" s="1"/>
  <c r="R73" i="3"/>
  <c r="R73" i="5"/>
  <c r="N67" i="5"/>
  <c r="D66" i="2"/>
  <c r="L66" i="2" s="1"/>
  <c r="M66" i="2" s="1"/>
  <c r="N66" i="2" s="1"/>
  <c r="O66" i="2" s="1"/>
  <c r="P66" i="2" s="1"/>
  <c r="Q66" i="2" s="1"/>
  <c r="N92" i="5"/>
  <c r="D91" i="2"/>
  <c r="L91" i="2" s="1"/>
  <c r="M91" i="2" s="1"/>
  <c r="N91" i="2" s="1"/>
  <c r="O91" i="2" s="1"/>
  <c r="P91" i="2" s="1"/>
  <c r="Q91" i="2" s="1"/>
  <c r="R91" i="2" s="1"/>
  <c r="S91" i="2" s="1"/>
  <c r="N76" i="5"/>
  <c r="D75" i="2"/>
  <c r="R28" i="3"/>
  <c r="T28" i="5" s="1"/>
  <c r="R28" i="5"/>
  <c r="N7" i="5"/>
  <c r="D6" i="2"/>
  <c r="N33" i="5"/>
  <c r="D32" i="2"/>
  <c r="L32" i="2" s="1"/>
  <c r="M32" i="2" s="1"/>
  <c r="N32" i="2" s="1"/>
  <c r="O32" i="2" s="1"/>
  <c r="P32" i="2" s="1"/>
  <c r="Q32" i="2" s="1"/>
  <c r="N49" i="5"/>
  <c r="D48" i="2"/>
  <c r="L48" i="2" s="1"/>
  <c r="M48" i="2" s="1"/>
  <c r="N48" i="2" s="1"/>
  <c r="O48" i="2" s="1"/>
  <c r="P48" i="2" s="1"/>
  <c r="Q48" i="2" s="1"/>
  <c r="Q19" i="3"/>
  <c r="S19" i="5" s="1"/>
  <c r="M19" i="5"/>
  <c r="R55" i="4"/>
  <c r="H52" i="5"/>
  <c r="N42" i="5"/>
  <c r="D41" i="2"/>
  <c r="L41" i="2" s="1"/>
  <c r="M41" i="2" s="1"/>
  <c r="N41" i="2" s="1"/>
  <c r="O41" i="2" s="1"/>
  <c r="P41" i="2" s="1"/>
  <c r="Q41" i="2" s="1"/>
  <c r="G28" i="6"/>
  <c r="G28" i="8" s="1"/>
  <c r="AA28" i="8"/>
  <c r="AA87" i="8"/>
  <c r="G87" i="6"/>
  <c r="G87" i="8" s="1"/>
  <c r="AA55" i="8"/>
  <c r="G55" i="6"/>
  <c r="G55" i="8" s="1"/>
  <c r="G23" i="6"/>
  <c r="G23" i="8" s="1"/>
  <c r="AA23" i="8"/>
  <c r="AA90" i="8"/>
  <c r="G90" i="6"/>
  <c r="AA58" i="8"/>
  <c r="G58" i="6"/>
  <c r="AA26" i="8"/>
  <c r="G26" i="6"/>
  <c r="G26" i="8" s="1"/>
  <c r="E94" i="4"/>
  <c r="E78" i="4"/>
  <c r="E52" i="4"/>
  <c r="M81" i="8"/>
  <c r="D80" i="3"/>
  <c r="D80" i="5" s="1"/>
  <c r="E88" i="4"/>
  <c r="C93" i="8"/>
  <c r="M90" i="8"/>
  <c r="D89" i="3"/>
  <c r="D89" i="5" s="1"/>
  <c r="E56" i="8"/>
  <c r="I51" i="8"/>
  <c r="E102" i="4"/>
  <c r="E82" i="4"/>
  <c r="E60" i="4"/>
  <c r="E28" i="4"/>
  <c r="M102" i="8"/>
  <c r="D101" i="3"/>
  <c r="D101" i="5" s="1"/>
  <c r="J64" i="8"/>
  <c r="E69" i="4"/>
  <c r="E84" i="8"/>
  <c r="C61" i="8"/>
  <c r="E85" i="4"/>
  <c r="E72" i="4"/>
  <c r="D83" i="8"/>
  <c r="C79" i="8"/>
  <c r="D74" i="8"/>
  <c r="C65" i="8"/>
  <c r="C99" i="8"/>
  <c r="D85" i="8"/>
  <c r="M74" i="8"/>
  <c r="D73" i="3"/>
  <c r="D73" i="5" s="1"/>
  <c r="C69" i="8"/>
  <c r="E68" i="3"/>
  <c r="J58" i="8"/>
  <c r="C39" i="8"/>
  <c r="M20" i="8"/>
  <c r="D19" i="3"/>
  <c r="D19" i="5" s="1"/>
  <c r="D4" i="8"/>
  <c r="M23" i="8"/>
  <c r="D22" i="3"/>
  <c r="D22" i="5" s="1"/>
  <c r="D11" i="8"/>
  <c r="M24" i="8"/>
  <c r="D23" i="3"/>
  <c r="D23" i="5" s="1"/>
  <c r="J13" i="8"/>
  <c r="E30" i="8"/>
  <c r="D9" i="8"/>
  <c r="I26" i="8"/>
  <c r="M15" i="8"/>
  <c r="D14" i="3"/>
  <c r="D14" i="5" s="1"/>
  <c r="M11" i="8"/>
  <c r="D10" i="3"/>
  <c r="D10" i="5" s="1"/>
  <c r="R39" i="5"/>
  <c r="R51" i="5"/>
  <c r="R17" i="4"/>
  <c r="R40" i="5"/>
  <c r="D81" i="2"/>
  <c r="L81" i="2" s="1"/>
  <c r="M81" i="2" s="1"/>
  <c r="N81" i="2" s="1"/>
  <c r="O81" i="2" s="1"/>
  <c r="P81" i="2" s="1"/>
  <c r="Q81" i="2" s="1"/>
  <c r="R58" i="5"/>
  <c r="R50" i="5"/>
  <c r="R22" i="5"/>
  <c r="E54" i="4"/>
  <c r="AA101" i="8"/>
  <c r="G101" i="6"/>
  <c r="G101" i="8" s="1"/>
  <c r="G69" i="6"/>
  <c r="G69" i="8" s="1"/>
  <c r="AA69" i="8"/>
  <c r="G37" i="6"/>
  <c r="G37" i="8" s="1"/>
  <c r="AA37" i="8"/>
  <c r="AA5" i="8"/>
  <c r="G5" i="6"/>
  <c r="G5" i="8" s="1"/>
  <c r="G92" i="6"/>
  <c r="G92" i="8" s="1"/>
  <c r="AA92" i="8"/>
  <c r="G60" i="6"/>
  <c r="G20" i="6"/>
  <c r="G20" i="8" s="1"/>
  <c r="AA20" i="8"/>
  <c r="AA83" i="8"/>
  <c r="G83" i="6"/>
  <c r="G83" i="8" s="1"/>
  <c r="AA51" i="8"/>
  <c r="G51" i="6"/>
  <c r="G51" i="8" s="1"/>
  <c r="G19" i="6"/>
  <c r="G19" i="8" s="1"/>
  <c r="AA19" i="8"/>
  <c r="AA86" i="8"/>
  <c r="G86" i="6"/>
  <c r="G86" i="8" s="1"/>
  <c r="AA54" i="8"/>
  <c r="G54" i="6"/>
  <c r="G54" i="8" s="1"/>
  <c r="AA22" i="8"/>
  <c r="G22" i="6"/>
  <c r="G22" i="8" s="1"/>
  <c r="E92" i="4"/>
  <c r="E65" i="4"/>
  <c r="I47" i="8"/>
  <c r="E40" i="8"/>
  <c r="M37" i="8"/>
  <c r="D36" i="3"/>
  <c r="D36" i="5" s="1"/>
  <c r="M105" i="8"/>
  <c r="D104" i="3"/>
  <c r="D104" i="5" s="1"/>
  <c r="M94" i="8"/>
  <c r="D93" i="3"/>
  <c r="D93" i="5" s="1"/>
  <c r="M49" i="8"/>
  <c r="D48" i="3"/>
  <c r="D48" i="5" s="1"/>
  <c r="E89" i="4"/>
  <c r="C88" i="8"/>
  <c r="M104" i="8"/>
  <c r="D103" i="3"/>
  <c r="D103" i="5" s="1"/>
  <c r="C80" i="8"/>
  <c r="E80" i="4"/>
  <c r="E11" i="4"/>
  <c r="E86" i="4"/>
  <c r="E14" i="4"/>
  <c r="D57" i="8"/>
  <c r="M101" i="8"/>
  <c r="D100" i="3"/>
  <c r="D100" i="5" s="1"/>
  <c r="J96" i="8"/>
  <c r="M85" i="8"/>
  <c r="D84" i="3"/>
  <c r="D84" i="5" s="1"/>
  <c r="C81" i="8"/>
  <c r="C77" i="8"/>
  <c r="D65" i="8"/>
  <c r="C52" i="8"/>
  <c r="E51" i="3"/>
  <c r="E51" i="5" s="1"/>
  <c r="I43" i="8"/>
  <c r="M18" i="8"/>
  <c r="D17" i="3"/>
  <c r="D17" i="5" s="1"/>
  <c r="D10" i="8"/>
  <c r="D14" i="8"/>
  <c r="J7" i="8"/>
  <c r="J15" i="8"/>
  <c r="I5" i="8"/>
  <c r="M65" i="8"/>
  <c r="D15" i="8"/>
  <c r="M41" i="8"/>
  <c r="D40" i="3"/>
  <c r="D40" i="5" s="1"/>
  <c r="E17" i="8"/>
  <c r="M13" i="8"/>
  <c r="D12" i="3"/>
  <c r="D12" i="5" s="1"/>
  <c r="I29" i="8"/>
  <c r="M4" i="8"/>
  <c r="Q40" i="3"/>
  <c r="M40" i="5"/>
  <c r="Q56" i="3"/>
  <c r="M56" i="5"/>
  <c r="L75" i="2"/>
  <c r="M75" i="2" s="1"/>
  <c r="N75" i="2" s="1"/>
  <c r="O75" i="2" s="1"/>
  <c r="P75" i="2" s="1"/>
  <c r="Q75" i="2" s="1"/>
  <c r="L52" i="2"/>
  <c r="M52" i="2" s="1"/>
  <c r="N52" i="2" s="1"/>
  <c r="O52" i="2" s="1"/>
  <c r="P52" i="2" s="1"/>
  <c r="Q52" i="2" s="1"/>
  <c r="R52" i="2" s="1"/>
  <c r="S52" i="2" s="1"/>
  <c r="M57" i="5"/>
  <c r="M62" i="5"/>
  <c r="D31" i="2"/>
  <c r="L31" i="2" s="1"/>
  <c r="M31" i="2" s="1"/>
  <c r="N31" i="2" s="1"/>
  <c r="O31" i="2" s="1"/>
  <c r="P31" i="2" s="1"/>
  <c r="Q31" i="2" s="1"/>
  <c r="N101" i="5"/>
  <c r="S96" i="5"/>
  <c r="R91" i="3"/>
  <c r="T91" i="5" s="1"/>
  <c r="R91" i="5"/>
  <c r="N85" i="5"/>
  <c r="S80" i="5"/>
  <c r="R75" i="3"/>
  <c r="T75" i="5" s="1"/>
  <c r="R75" i="5"/>
  <c r="N69" i="5"/>
  <c r="D68" i="2"/>
  <c r="L68" i="2" s="1"/>
  <c r="M68" i="2" s="1"/>
  <c r="N68" i="2" s="1"/>
  <c r="O68" i="2" s="1"/>
  <c r="P68" i="2" s="1"/>
  <c r="Q68" i="2" s="1"/>
  <c r="S64" i="5"/>
  <c r="S60" i="5"/>
  <c r="R100" i="5"/>
  <c r="N94" i="5"/>
  <c r="D93" i="2"/>
  <c r="L93" i="2" s="1"/>
  <c r="M93" i="2" s="1"/>
  <c r="N93" i="2" s="1"/>
  <c r="O93" i="2" s="1"/>
  <c r="P93" i="2" s="1"/>
  <c r="Q93" i="2" s="1"/>
  <c r="S89" i="5"/>
  <c r="R84" i="5"/>
  <c r="N78" i="5"/>
  <c r="S73" i="5"/>
  <c r="R68" i="5"/>
  <c r="N62" i="5"/>
  <c r="D61" i="2"/>
  <c r="L61" i="2" s="1"/>
  <c r="M61" i="2" s="1"/>
  <c r="N61" i="2" s="1"/>
  <c r="O61" i="2" s="1"/>
  <c r="P61" i="2" s="1"/>
  <c r="Q61" i="2" s="1"/>
  <c r="N40" i="5"/>
  <c r="D39" i="2"/>
  <c r="L39" i="2" s="1"/>
  <c r="M39" i="2" s="1"/>
  <c r="N39" i="2" s="1"/>
  <c r="O39" i="2" s="1"/>
  <c r="P39" i="2" s="1"/>
  <c r="Q39" i="2" s="1"/>
  <c r="S49" i="5"/>
  <c r="R59" i="5"/>
  <c r="R7" i="5"/>
  <c r="S26" i="5"/>
  <c r="R23" i="3"/>
  <c r="T23" i="5" s="1"/>
  <c r="S23" i="5"/>
  <c r="R18" i="5"/>
  <c r="R42" i="5"/>
  <c r="N13" i="5"/>
  <c r="D12" i="2"/>
  <c r="L12" i="2" s="1"/>
  <c r="M12" i="2" s="1"/>
  <c r="N12" i="2" s="1"/>
  <c r="O12" i="2" s="1"/>
  <c r="P12" i="2" s="1"/>
  <c r="Q12" i="2" s="1"/>
  <c r="R101" i="4"/>
  <c r="R85" i="4"/>
  <c r="R69" i="4"/>
  <c r="C96" i="8"/>
  <c r="E95" i="3"/>
  <c r="M95" i="8"/>
  <c r="D94" i="3"/>
  <c r="D94" i="5" s="1"/>
  <c r="M79" i="8"/>
  <c r="D78" i="3"/>
  <c r="D78" i="5" s="1"/>
  <c r="M63" i="8"/>
  <c r="D62" i="3"/>
  <c r="D62" i="5" s="1"/>
  <c r="C54" i="8"/>
  <c r="E53" i="3"/>
  <c r="M39" i="8"/>
  <c r="D38" i="3"/>
  <c r="D38" i="5" s="1"/>
  <c r="C34" i="8"/>
  <c r="M50" i="8"/>
  <c r="D49" i="3"/>
  <c r="D49" i="5" s="1"/>
  <c r="C21" i="8"/>
  <c r="C46" i="8"/>
  <c r="C26" i="8"/>
  <c r="E25" i="3"/>
  <c r="E25" i="5" s="1"/>
  <c r="M55" i="8"/>
  <c r="D54" i="3"/>
  <c r="D54" i="5" s="1"/>
  <c r="E47" i="4"/>
  <c r="AA97" i="8"/>
  <c r="G97" i="6"/>
  <c r="G65" i="6"/>
  <c r="G65" i="8" s="1"/>
  <c r="AA65" i="8"/>
  <c r="G33" i="6"/>
  <c r="AA33" i="8"/>
  <c r="G36" i="6"/>
  <c r="G36" i="8" s="1"/>
  <c r="AA36" i="8"/>
  <c r="G88" i="6"/>
  <c r="G88" i="8" s="1"/>
  <c r="AA88" i="8"/>
  <c r="G56" i="6"/>
  <c r="G56" i="8" s="1"/>
  <c r="AA56" i="8"/>
  <c r="G12" i="6"/>
  <c r="G12" i="8" s="1"/>
  <c r="AA12" i="8"/>
  <c r="AA79" i="8"/>
  <c r="G79" i="6"/>
  <c r="G79" i="8" s="1"/>
  <c r="AA47" i="8"/>
  <c r="G47" i="6"/>
  <c r="G15" i="6"/>
  <c r="G15" i="8" s="1"/>
  <c r="AA15" i="8"/>
  <c r="AA82" i="8"/>
  <c r="G82" i="6"/>
  <c r="AA50" i="8"/>
  <c r="G50" i="6"/>
  <c r="AA18" i="8"/>
  <c r="G18" i="6"/>
  <c r="M7" i="10"/>
  <c r="AA8" i="7" s="1"/>
  <c r="G8" i="7" s="1"/>
  <c r="M77" i="8"/>
  <c r="D76" i="3"/>
  <c r="D76" i="5" s="1"/>
  <c r="E30" i="4"/>
  <c r="C64" i="8"/>
  <c r="E63" i="3"/>
  <c r="E63" i="5" s="1"/>
  <c r="E7" i="4"/>
  <c r="I91" i="8"/>
  <c r="E61" i="8"/>
  <c r="I55" i="8"/>
  <c r="D51" i="8"/>
  <c r="M53" i="8"/>
  <c r="I104" i="8"/>
  <c r="E64" i="8"/>
  <c r="C57" i="8"/>
  <c r="E64" i="4"/>
  <c r="E6" i="4"/>
  <c r="C87" i="8"/>
  <c r="E86" i="3"/>
  <c r="E86" i="5" s="1"/>
  <c r="J76" i="8"/>
  <c r="D67" i="8"/>
  <c r="E81" i="4"/>
  <c r="E48" i="4"/>
  <c r="I86" i="8"/>
  <c r="C83" i="8"/>
  <c r="E82" i="3"/>
  <c r="E82" i="5" s="1"/>
  <c r="C73" i="8"/>
  <c r="E72" i="3"/>
  <c r="E72" i="5" s="1"/>
  <c r="I63" i="8"/>
  <c r="I10" i="8"/>
  <c r="C4" i="8"/>
  <c r="I14" i="8"/>
  <c r="I37" i="8"/>
  <c r="M22" i="8"/>
  <c r="D21" i="3"/>
  <c r="D21" i="5" s="1"/>
  <c r="E34" i="8"/>
  <c r="C15" i="8"/>
  <c r="E14" i="3"/>
  <c r="E14" i="5" s="1"/>
  <c r="J10" i="8"/>
  <c r="E7" i="8"/>
  <c r="C31" i="8"/>
  <c r="M26" i="8"/>
  <c r="D25" i="3"/>
  <c r="D25" i="5" s="1"/>
  <c r="E13" i="8"/>
  <c r="M7" i="8"/>
  <c r="D6" i="3"/>
  <c r="D6" i="5" s="1"/>
  <c r="J41" i="8"/>
  <c r="I32" i="8"/>
  <c r="I24" i="8"/>
  <c r="C19" i="8"/>
  <c r="E18" i="3"/>
  <c r="E18" i="5" s="1"/>
  <c r="M9" i="8"/>
  <c r="D8" i="3"/>
  <c r="D8" i="5" s="1"/>
  <c r="M8" i="8"/>
  <c r="I13" i="8"/>
  <c r="J6" i="8"/>
  <c r="R47" i="5"/>
  <c r="M44" i="5"/>
  <c r="Q44" i="3"/>
  <c r="L23" i="3"/>
  <c r="M23" i="5"/>
  <c r="M61" i="5"/>
  <c r="N26" i="5"/>
  <c r="D25" i="2"/>
  <c r="L25" i="2" s="1"/>
  <c r="M25" i="2" s="1"/>
  <c r="N25" i="2" s="1"/>
  <c r="O25" i="2" s="1"/>
  <c r="P25" i="2" s="1"/>
  <c r="Q25" i="2" s="1"/>
  <c r="N95" i="5"/>
  <c r="D94" i="2"/>
  <c r="L94" i="2" s="1"/>
  <c r="M94" i="2" s="1"/>
  <c r="N94" i="2" s="1"/>
  <c r="O94" i="2" s="1"/>
  <c r="P94" i="2" s="1"/>
  <c r="Q94" i="2" s="1"/>
  <c r="R85" i="3"/>
  <c r="R85" i="5"/>
  <c r="N79" i="5"/>
  <c r="D78" i="2"/>
  <c r="L78" i="2" s="1"/>
  <c r="M78" i="2" s="1"/>
  <c r="N78" i="2" s="1"/>
  <c r="O78" i="2" s="1"/>
  <c r="P78" i="2" s="1"/>
  <c r="Q78" i="2" s="1"/>
  <c r="R78" i="2" s="1"/>
  <c r="S78" i="2" s="1"/>
  <c r="R69" i="5"/>
  <c r="N63" i="5"/>
  <c r="D62" i="2"/>
  <c r="L62" i="2" s="1"/>
  <c r="M62" i="2" s="1"/>
  <c r="N62" i="2" s="1"/>
  <c r="O62" i="2" s="1"/>
  <c r="P62" i="2" s="1"/>
  <c r="Q62" i="2" s="1"/>
  <c r="N104" i="5"/>
  <c r="D103" i="2"/>
  <c r="L103" i="2" s="1"/>
  <c r="M103" i="2" s="1"/>
  <c r="N103" i="2" s="1"/>
  <c r="O103" i="2" s="1"/>
  <c r="P103" i="2" s="1"/>
  <c r="Q103" i="2" s="1"/>
  <c r="N72" i="5"/>
  <c r="D71" i="2"/>
  <c r="L71" i="2" s="1"/>
  <c r="M71" i="2" s="1"/>
  <c r="N71" i="2" s="1"/>
  <c r="O71" i="2" s="1"/>
  <c r="P71" i="2" s="1"/>
  <c r="Q71" i="2" s="1"/>
  <c r="R36" i="5"/>
  <c r="N47" i="5"/>
  <c r="R17" i="5"/>
  <c r="R25" i="3"/>
  <c r="T25" i="5" s="1"/>
  <c r="R25" i="5"/>
  <c r="N18" i="5"/>
  <c r="D17" i="2"/>
  <c r="L17" i="2" s="1"/>
  <c r="M17" i="2" s="1"/>
  <c r="N17" i="2" s="1"/>
  <c r="O17" i="2" s="1"/>
  <c r="P17" i="2" s="1"/>
  <c r="Q17" i="2" s="1"/>
  <c r="N38" i="5"/>
  <c r="Q11" i="3"/>
  <c r="S11" i="5" s="1"/>
  <c r="M11" i="5"/>
  <c r="R41" i="4"/>
  <c r="R95" i="4"/>
  <c r="R79" i="4"/>
  <c r="R63" i="4"/>
  <c r="C105" i="8"/>
  <c r="E104" i="3"/>
  <c r="C94" i="8"/>
  <c r="C78" i="8"/>
  <c r="C62" i="8"/>
  <c r="M54" i="8"/>
  <c r="D53" i="3"/>
  <c r="D53" i="5" s="1"/>
  <c r="M32" i="8"/>
  <c r="D31" i="3"/>
  <c r="D31" i="5" s="1"/>
  <c r="C37" i="8"/>
  <c r="C17" i="8"/>
  <c r="M46" i="8"/>
  <c r="D45" i="3"/>
  <c r="D45" i="5" s="1"/>
  <c r="C22" i="8"/>
  <c r="E21" i="3"/>
  <c r="E21" i="5" s="1"/>
  <c r="C55" i="8"/>
  <c r="E54" i="3"/>
  <c r="E54" i="5" s="1"/>
  <c r="AA93" i="8"/>
  <c r="G93" i="6"/>
  <c r="G93" i="8" s="1"/>
  <c r="G61" i="6"/>
  <c r="G61" i="8" s="1"/>
  <c r="AA61" i="8"/>
  <c r="AA29" i="8"/>
  <c r="G29" i="6"/>
  <c r="G24" i="6"/>
  <c r="G24" i="8" s="1"/>
  <c r="AA24" i="8"/>
  <c r="G84" i="6"/>
  <c r="G84" i="8" s="1"/>
  <c r="AA84" i="8"/>
  <c r="G52" i="6"/>
  <c r="G52" i="8" s="1"/>
  <c r="AA52" i="8"/>
  <c r="G8" i="6"/>
  <c r="G8" i="8" s="1"/>
  <c r="AA75" i="8"/>
  <c r="G75" i="6"/>
  <c r="G75" i="8" s="1"/>
  <c r="AA43" i="8"/>
  <c r="G43" i="6"/>
  <c r="G43" i="8" s="1"/>
  <c r="G11" i="6"/>
  <c r="G11" i="8" s="1"/>
  <c r="AA11" i="8"/>
  <c r="AA78" i="8"/>
  <c r="G78" i="6"/>
  <c r="G78" i="8" s="1"/>
  <c r="AA46" i="8"/>
  <c r="G46" i="6"/>
  <c r="G46" i="8" s="1"/>
  <c r="AA14" i="8"/>
  <c r="G14" i="6"/>
  <c r="G14" i="8" s="1"/>
  <c r="M16" i="10"/>
  <c r="AA17" i="7" s="1"/>
  <c r="G17" i="7" s="1"/>
  <c r="E16" i="4" s="1"/>
  <c r="M59" i="10"/>
  <c r="AA60" i="7" s="1"/>
  <c r="G60" i="7" s="1"/>
  <c r="E34" i="4"/>
  <c r="E76" i="4"/>
  <c r="D95" i="8"/>
  <c r="E57" i="4"/>
  <c r="D80" i="8"/>
  <c r="E79" i="3"/>
  <c r="E79" i="5" s="1"/>
  <c r="D72" i="8"/>
  <c r="C68" i="8"/>
  <c r="D103" i="8"/>
  <c r="M92" i="8"/>
  <c r="D91" i="3"/>
  <c r="D91" i="5" s="1"/>
  <c r="D59" i="8"/>
  <c r="E73" i="8"/>
  <c r="D48" i="8"/>
  <c r="M100" i="8"/>
  <c r="D99" i="3"/>
  <c r="D99" i="5" s="1"/>
  <c r="E96" i="8"/>
  <c r="M93" i="8"/>
  <c r="D92" i="3"/>
  <c r="D92" i="5" s="1"/>
  <c r="D43" i="8"/>
  <c r="M17" i="8"/>
  <c r="D16" i="3"/>
  <c r="D16" i="5" s="1"/>
  <c r="C48" i="8"/>
  <c r="M5" i="8"/>
  <c r="D4" i="3"/>
  <c r="D4" i="5" s="1"/>
  <c r="I21" i="8"/>
  <c r="E44" i="8"/>
  <c r="M29" i="8"/>
  <c r="D28" i="3"/>
  <c r="D28" i="5" s="1"/>
  <c r="E15" i="8"/>
  <c r="C12" i="8"/>
  <c r="E11" i="3"/>
  <c r="E11" i="5" s="1"/>
  <c r="F11" i="5" s="1"/>
  <c r="M57" i="8"/>
  <c r="I28" i="8"/>
  <c r="C23" i="8"/>
  <c r="E22" i="3"/>
  <c r="Q58" i="3"/>
  <c r="M58" i="5"/>
  <c r="L58" i="3"/>
  <c r="Q46" i="3"/>
  <c r="M46" i="5"/>
  <c r="N54" i="5"/>
  <c r="Q52" i="3"/>
  <c r="S52" i="5" s="1"/>
  <c r="M52" i="5"/>
  <c r="R38" i="5"/>
  <c r="L67" i="2"/>
  <c r="M67" i="2" s="1"/>
  <c r="N67" i="2" s="1"/>
  <c r="O67" i="2" s="1"/>
  <c r="P67" i="2" s="1"/>
  <c r="Q67" i="2" s="1"/>
  <c r="R46" i="5"/>
  <c r="Q41" i="3"/>
  <c r="S41" i="5" s="1"/>
  <c r="M41" i="5"/>
  <c r="M68" i="5"/>
  <c r="M60" i="5"/>
  <c r="Q32" i="3"/>
  <c r="M32" i="5"/>
  <c r="M25" i="5"/>
  <c r="N66" i="5"/>
  <c r="D65" i="2"/>
  <c r="L65" i="2" s="1"/>
  <c r="M65" i="2" s="1"/>
  <c r="N65" i="2" s="1"/>
  <c r="O65" i="2" s="1"/>
  <c r="P65" i="2" s="1"/>
  <c r="Q65" i="2" s="1"/>
  <c r="R37" i="5"/>
  <c r="R19" i="3"/>
  <c r="T19" i="5" s="1"/>
  <c r="R19" i="5"/>
  <c r="Q20" i="3"/>
  <c r="S20" i="5" s="1"/>
  <c r="M20" i="5"/>
  <c r="Q15" i="3"/>
  <c r="S15" i="5" s="1"/>
  <c r="M15" i="5"/>
  <c r="R55" i="5"/>
  <c r="R3" i="5"/>
  <c r="Q16" i="3"/>
  <c r="S16" i="5" s="1"/>
  <c r="M16" i="5"/>
  <c r="R34" i="3"/>
  <c r="T34" i="5" s="1"/>
  <c r="R34" i="5"/>
  <c r="R4" i="5"/>
  <c r="R89" i="4"/>
  <c r="R73" i="4"/>
  <c r="R57" i="4"/>
  <c r="R31" i="4"/>
  <c r="R31" i="5"/>
  <c r="C101" i="8"/>
  <c r="E100" i="3"/>
  <c r="E100" i="5" s="1"/>
  <c r="M91" i="8"/>
  <c r="D90" i="3"/>
  <c r="D90" i="5" s="1"/>
  <c r="M75" i="8"/>
  <c r="D74" i="3"/>
  <c r="D74" i="5" s="1"/>
  <c r="M59" i="8"/>
  <c r="D58" i="3"/>
  <c r="D58" i="5" s="1"/>
  <c r="M52" i="8"/>
  <c r="D51" i="3"/>
  <c r="D51" i="5" s="1"/>
  <c r="C35" i="8"/>
  <c r="M43" i="8"/>
  <c r="D42" i="3"/>
  <c r="D42" i="5" s="1"/>
  <c r="C13" i="8"/>
  <c r="C18" i="8"/>
  <c r="E17" i="3"/>
  <c r="E103" i="4"/>
  <c r="AA89" i="8"/>
  <c r="G89" i="6"/>
  <c r="G89" i="8" s="1"/>
  <c r="G57" i="6"/>
  <c r="G57" i="8" s="1"/>
  <c r="AA57" i="8"/>
  <c r="AA25" i="8"/>
  <c r="G25" i="6"/>
  <c r="G16" i="6"/>
  <c r="AA16" i="8"/>
  <c r="G80" i="6"/>
  <c r="G80" i="8" s="1"/>
  <c r="AA80" i="8"/>
  <c r="G48" i="6"/>
  <c r="G48" i="8" s="1"/>
  <c r="AA48" i="8"/>
  <c r="AA103" i="8"/>
  <c r="G103" i="6"/>
  <c r="G103" i="8" s="1"/>
  <c r="AA71" i="8"/>
  <c r="G71" i="6"/>
  <c r="G71" i="8" s="1"/>
  <c r="AA39" i="8"/>
  <c r="G39" i="6"/>
  <c r="G39" i="8" s="1"/>
  <c r="G7" i="6"/>
  <c r="G7" i="8" s="1"/>
  <c r="AA7" i="8"/>
  <c r="AA74" i="8"/>
  <c r="G74" i="6"/>
  <c r="G42" i="6"/>
  <c r="AA10" i="8"/>
  <c r="G10" i="6"/>
  <c r="G10" i="8" s="1"/>
  <c r="M41" i="10"/>
  <c r="AA42" i="7" s="1"/>
  <c r="G42" i="7" s="1"/>
  <c r="E41" i="4" s="1"/>
  <c r="M73" i="8"/>
  <c r="D72" i="3"/>
  <c r="D72" i="5" s="1"/>
  <c r="M69" i="8"/>
  <c r="D68" i="3"/>
  <c r="D68" i="5" s="1"/>
  <c r="C60" i="8"/>
  <c r="E59" i="3"/>
  <c r="D53" i="8"/>
  <c r="D91" i="8"/>
  <c r="J78" i="8"/>
  <c r="D55" i="8"/>
  <c r="D50" i="8"/>
  <c r="C72" i="8"/>
  <c r="E3" i="4"/>
  <c r="J100" i="8"/>
  <c r="E74" i="4"/>
  <c r="D86" i="8"/>
  <c r="E76" i="8"/>
  <c r="C67" i="8"/>
  <c r="M60" i="8"/>
  <c r="D59" i="3"/>
  <c r="D59" i="5" s="1"/>
  <c r="D96" i="8"/>
  <c r="M86" i="8"/>
  <c r="D85" i="3"/>
  <c r="D85" i="5" s="1"/>
  <c r="D75" i="8"/>
  <c r="C71" i="8"/>
  <c r="M64" i="8"/>
  <c r="D63" i="3"/>
  <c r="D63" i="5" s="1"/>
  <c r="M68" i="8"/>
  <c r="D67" i="3"/>
  <c r="D67" i="5" s="1"/>
  <c r="D56" i="8"/>
  <c r="E55" i="3"/>
  <c r="E55" i="5" s="1"/>
  <c r="D21" i="8"/>
  <c r="D18" i="8"/>
  <c r="J19" i="8"/>
  <c r="D6" i="8"/>
  <c r="C32" i="8"/>
  <c r="M27" i="8"/>
  <c r="D26" i="3"/>
  <c r="D26" i="5" s="1"/>
  <c r="D24" i="8"/>
  <c r="D12" i="8"/>
  <c r="C8" i="8"/>
  <c r="I12" i="8"/>
  <c r="N28" i="5"/>
  <c r="R30" i="5"/>
  <c r="L36" i="3"/>
  <c r="Q104" i="3"/>
  <c r="S104" i="5" s="1"/>
  <c r="M104" i="5"/>
  <c r="Q37" i="3"/>
  <c r="S37" i="5" s="1"/>
  <c r="M37" i="5"/>
  <c r="D63" i="2"/>
  <c r="L63" i="2" s="1"/>
  <c r="M63" i="2" s="1"/>
  <c r="N63" i="2" s="1"/>
  <c r="O63" i="2" s="1"/>
  <c r="P63" i="2" s="1"/>
  <c r="Q63" i="2" s="1"/>
  <c r="L56" i="3"/>
  <c r="Q45" i="3"/>
  <c r="M45" i="5"/>
  <c r="Q47" i="3"/>
  <c r="M47" i="5"/>
  <c r="D100" i="2"/>
  <c r="L100" i="2" s="1"/>
  <c r="M100" i="2" s="1"/>
  <c r="N100" i="2" s="1"/>
  <c r="O100" i="2" s="1"/>
  <c r="P100" i="2" s="1"/>
  <c r="Q100" i="2" s="1"/>
  <c r="M51" i="8"/>
  <c r="D50" i="3"/>
  <c r="D50" i="5" s="1"/>
  <c r="C28" i="8"/>
  <c r="E27" i="3"/>
  <c r="E27" i="5" s="1"/>
  <c r="C43" i="8"/>
  <c r="E42" i="3"/>
  <c r="E42" i="5" s="1"/>
  <c r="C9" i="8"/>
  <c r="E8" i="3"/>
  <c r="E8" i="5" s="1"/>
  <c r="C14" i="8"/>
  <c r="E13" i="3"/>
  <c r="E13" i="5" s="1"/>
  <c r="AA85" i="8"/>
  <c r="G85" i="6"/>
  <c r="G85" i="8" s="1"/>
  <c r="G53" i="6"/>
  <c r="G53" i="8" s="1"/>
  <c r="AA53" i="8"/>
  <c r="G21" i="6"/>
  <c r="G21" i="8" s="1"/>
  <c r="G4" i="6"/>
  <c r="G4" i="8" s="1"/>
  <c r="AA4" i="8"/>
  <c r="G76" i="6"/>
  <c r="G76" i="8" s="1"/>
  <c r="AA76" i="8"/>
  <c r="G44" i="6"/>
  <c r="G44" i="8" s="1"/>
  <c r="AA44" i="8"/>
  <c r="G99" i="6"/>
  <c r="G99" i="8" s="1"/>
  <c r="AA99" i="8"/>
  <c r="AA67" i="8"/>
  <c r="G67" i="6"/>
  <c r="G67" i="8" s="1"/>
  <c r="AA35" i="8"/>
  <c r="G35" i="6"/>
  <c r="G35" i="8" s="1"/>
  <c r="AA102" i="8"/>
  <c r="G102" i="6"/>
  <c r="G102" i="8" s="1"/>
  <c r="AA70" i="8"/>
  <c r="G70" i="6"/>
  <c r="G70" i="8" s="1"/>
  <c r="G38" i="6"/>
  <c r="G38" i="8" s="1"/>
  <c r="AA38" i="8"/>
  <c r="AA6" i="8"/>
  <c r="G6" i="6"/>
  <c r="G6" i="8" s="1"/>
  <c r="M20" i="10"/>
  <c r="AA21" i="7" s="1"/>
  <c r="G21" i="7" s="1"/>
  <c r="E58" i="4"/>
  <c r="M97" i="8"/>
  <c r="D96" i="3"/>
  <c r="D96" i="5" s="1"/>
  <c r="C95" i="8"/>
  <c r="J66" i="8"/>
  <c r="M48" i="8"/>
  <c r="D47" i="3"/>
  <c r="D47" i="5" s="1"/>
  <c r="C103" i="8"/>
  <c r="E102" i="3"/>
  <c r="E102" i="5" s="1"/>
  <c r="C59" i="8"/>
  <c r="E58" i="3"/>
  <c r="E58" i="5" s="1"/>
  <c r="E62" i="4"/>
  <c r="AA105" i="8"/>
  <c r="E56" i="4"/>
  <c r="M98" i="8"/>
  <c r="D97" i="3"/>
  <c r="D97" i="5" s="1"/>
  <c r="M84" i="8"/>
  <c r="D83" i="3"/>
  <c r="D83" i="5" s="1"/>
  <c r="M80" i="8"/>
  <c r="D79" i="3"/>
  <c r="D79" i="5" s="1"/>
  <c r="M76" i="8"/>
  <c r="D75" i="3"/>
  <c r="D75" i="5" s="1"/>
  <c r="E42" i="8"/>
  <c r="M16" i="8"/>
  <c r="D15" i="3"/>
  <c r="D15" i="5" s="1"/>
  <c r="M19" i="8"/>
  <c r="D18" i="3"/>
  <c r="D18" i="5" s="1"/>
  <c r="D16" i="8"/>
  <c r="C7" i="8"/>
  <c r="I4" i="8"/>
  <c r="D30" i="8"/>
  <c r="C40" i="8"/>
  <c r="C36" i="8"/>
  <c r="E35" i="3"/>
  <c r="E35" i="5" s="1"/>
  <c r="C44" i="8"/>
  <c r="E43" i="3"/>
  <c r="M35" i="8"/>
  <c r="D34" i="3"/>
  <c r="D34" i="5" s="1"/>
  <c r="M28" i="8"/>
  <c r="D27" i="3"/>
  <c r="D27" i="5" s="1"/>
  <c r="E18" i="8"/>
  <c r="M14" i="8"/>
  <c r="D13" i="3"/>
  <c r="D13" i="5" s="1"/>
  <c r="D28" i="8"/>
  <c r="N60" i="5"/>
  <c r="D59" i="2"/>
  <c r="L59" i="2" s="1"/>
  <c r="M59" i="2" s="1"/>
  <c r="N59" i="2" s="1"/>
  <c r="O59" i="2" s="1"/>
  <c r="P59" i="2" s="1"/>
  <c r="Q59" i="2" s="1"/>
  <c r="Q50" i="3"/>
  <c r="S50" i="5" s="1"/>
  <c r="M50" i="5"/>
  <c r="D87" i="2"/>
  <c r="L87" i="2" s="1"/>
  <c r="M87" i="2" s="1"/>
  <c r="N87" i="2" s="1"/>
  <c r="O87" i="2" s="1"/>
  <c r="P87" i="2" s="1"/>
  <c r="Q87" i="2" s="1"/>
  <c r="R87" i="2" s="1"/>
  <c r="S87" i="2" s="1"/>
  <c r="M55" i="5"/>
  <c r="R27" i="5"/>
  <c r="R24" i="5"/>
  <c r="R99" i="3"/>
  <c r="T99" i="5" s="1"/>
  <c r="R99" i="5"/>
  <c r="N93" i="5"/>
  <c r="S88" i="5"/>
  <c r="R83" i="3"/>
  <c r="T83" i="5" s="1"/>
  <c r="R83" i="5"/>
  <c r="N77" i="5"/>
  <c r="D76" i="2"/>
  <c r="L76" i="2" s="1"/>
  <c r="M76" i="2" s="1"/>
  <c r="N76" i="2" s="1"/>
  <c r="O76" i="2" s="1"/>
  <c r="P76" i="2" s="1"/>
  <c r="Q76" i="2" s="1"/>
  <c r="R76" i="2" s="1"/>
  <c r="S76" i="2" s="1"/>
  <c r="S72" i="5"/>
  <c r="R67" i="3"/>
  <c r="T67" i="5" s="1"/>
  <c r="R67" i="5"/>
  <c r="N61" i="5"/>
  <c r="D60" i="2"/>
  <c r="N102" i="5"/>
  <c r="D101" i="2"/>
  <c r="L101" i="2" s="1"/>
  <c r="M101" i="2" s="1"/>
  <c r="N101" i="2" s="1"/>
  <c r="O101" i="2" s="1"/>
  <c r="P101" i="2" s="1"/>
  <c r="Q101" i="2" s="1"/>
  <c r="R101" i="2" s="1"/>
  <c r="S101" i="2" s="1"/>
  <c r="S97" i="5"/>
  <c r="R92" i="5"/>
  <c r="N86" i="5"/>
  <c r="D85" i="2"/>
  <c r="L85" i="2" s="1"/>
  <c r="M85" i="2" s="1"/>
  <c r="N85" i="2" s="1"/>
  <c r="O85" i="2" s="1"/>
  <c r="P85" i="2" s="1"/>
  <c r="Q85" i="2" s="1"/>
  <c r="R85" i="2" s="1"/>
  <c r="S85" i="2" s="1"/>
  <c r="S81" i="5"/>
  <c r="R76" i="5"/>
  <c r="N70" i="5"/>
  <c r="D69" i="2"/>
  <c r="L69" i="2" s="1"/>
  <c r="M69" i="2" s="1"/>
  <c r="N69" i="2" s="1"/>
  <c r="O69" i="2" s="1"/>
  <c r="P69" i="2" s="1"/>
  <c r="Q69" i="2" s="1"/>
  <c r="S65" i="5"/>
  <c r="N55" i="5"/>
  <c r="D54" i="2"/>
  <c r="L54" i="2" s="1"/>
  <c r="M54" i="2" s="1"/>
  <c r="N54" i="2" s="1"/>
  <c r="O54" i="2" s="1"/>
  <c r="P54" i="2" s="1"/>
  <c r="Q54" i="2" s="1"/>
  <c r="R54" i="2" s="1"/>
  <c r="S54" i="2" s="1"/>
  <c r="N24" i="5"/>
  <c r="N21" i="5"/>
  <c r="D20" i="2"/>
  <c r="L20" i="2" s="1"/>
  <c r="M20" i="2" s="1"/>
  <c r="N20" i="2" s="1"/>
  <c r="O20" i="2" s="1"/>
  <c r="P20" i="2" s="1"/>
  <c r="Q20" i="2" s="1"/>
  <c r="Q17" i="3"/>
  <c r="S17" i="5" s="1"/>
  <c r="M17" i="5"/>
  <c r="N14" i="5"/>
  <c r="D13" i="2"/>
  <c r="L13" i="2" s="1"/>
  <c r="M13" i="2" s="1"/>
  <c r="N13" i="2" s="1"/>
  <c r="O13" i="2" s="1"/>
  <c r="P13" i="2" s="1"/>
  <c r="Q13" i="2" s="1"/>
  <c r="N9" i="5"/>
  <c r="D8" i="2"/>
  <c r="L8" i="2" s="1"/>
  <c r="M8" i="2" s="1"/>
  <c r="N8" i="2" s="1"/>
  <c r="O8" i="2" s="1"/>
  <c r="P8" i="2" s="1"/>
  <c r="Q8" i="2" s="1"/>
  <c r="R41" i="3"/>
  <c r="T41" i="5" s="1"/>
  <c r="R41" i="5"/>
  <c r="R8" i="5"/>
  <c r="N10" i="5"/>
  <c r="D9" i="2"/>
  <c r="L9" i="2" s="1"/>
  <c r="M9" i="2" s="1"/>
  <c r="N9" i="2" s="1"/>
  <c r="O9" i="2" s="1"/>
  <c r="P9" i="2" s="1"/>
  <c r="Q9" i="2" s="1"/>
  <c r="R93" i="4"/>
  <c r="R77" i="4"/>
  <c r="R61" i="4"/>
  <c r="M103" i="8"/>
  <c r="D102" i="3"/>
  <c r="D102" i="5" s="1"/>
  <c r="M87" i="8"/>
  <c r="D86" i="3"/>
  <c r="D86" i="5" s="1"/>
  <c r="M71" i="8"/>
  <c r="D70" i="3"/>
  <c r="D70" i="5" s="1"/>
  <c r="M70" i="8"/>
  <c r="D69" i="3"/>
  <c r="D69" i="5" s="1"/>
  <c r="C51" i="8"/>
  <c r="E50" i="3"/>
  <c r="C24" i="8"/>
  <c r="E23" i="3"/>
  <c r="E23" i="5" s="1"/>
  <c r="M40" i="8"/>
  <c r="D39" i="3"/>
  <c r="D39" i="5" s="1"/>
  <c r="C5" i="8"/>
  <c r="E4" i="3"/>
  <c r="E4" i="5" s="1"/>
  <c r="C38" i="8"/>
  <c r="C10" i="8"/>
  <c r="E9" i="3"/>
  <c r="E9" i="5" s="1"/>
  <c r="E95" i="4"/>
  <c r="G81" i="6"/>
  <c r="G81" i="8" s="1"/>
  <c r="AA81" i="8"/>
  <c r="G49" i="6"/>
  <c r="AA49" i="8"/>
  <c r="AA17" i="8"/>
  <c r="G17" i="6"/>
  <c r="G17" i="8" s="1"/>
  <c r="AA104" i="8"/>
  <c r="G104" i="6"/>
  <c r="G72" i="6"/>
  <c r="G72" i="8" s="1"/>
  <c r="AA72" i="8"/>
  <c r="G40" i="6"/>
  <c r="G40" i="8" s="1"/>
  <c r="AA40" i="8"/>
  <c r="AA95" i="8"/>
  <c r="G95" i="6"/>
  <c r="G95" i="8" s="1"/>
  <c r="AA63" i="8"/>
  <c r="G63" i="6"/>
  <c r="G63" i="8" s="1"/>
  <c r="G31" i="6"/>
  <c r="G31" i="8" s="1"/>
  <c r="AA31" i="8"/>
  <c r="AA98" i="8"/>
  <c r="G98" i="6"/>
  <c r="AA66" i="8"/>
  <c r="G66" i="6"/>
  <c r="G34" i="6"/>
  <c r="G34" i="8" s="1"/>
  <c r="AA34" i="8"/>
  <c r="M17" i="10"/>
  <c r="AA18" i="7" s="1"/>
  <c r="G18" i="7" s="1"/>
  <c r="E17" i="4" s="1"/>
  <c r="E68" i="4"/>
  <c r="E26" i="4"/>
  <c r="I74" i="8"/>
  <c r="E104" i="4"/>
  <c r="E70" i="4"/>
  <c r="C91" i="8"/>
  <c r="E90" i="3"/>
  <c r="E90" i="5" s="1"/>
  <c r="D84" i="8"/>
  <c r="E83" i="3"/>
  <c r="E83" i="5" s="1"/>
  <c r="D76" i="8"/>
  <c r="E75" i="3"/>
  <c r="E75" i="5" s="1"/>
  <c r="J70" i="8"/>
  <c r="J56" i="8"/>
  <c r="C53" i="8"/>
  <c r="E52" i="3"/>
  <c r="E52" i="5" s="1"/>
  <c r="F52" i="5" s="1"/>
  <c r="D93" i="8"/>
  <c r="I103" i="8"/>
  <c r="C63" i="8"/>
  <c r="M56" i="8"/>
  <c r="D55" i="3"/>
  <c r="D55" i="5" s="1"/>
  <c r="E73" i="4"/>
  <c r="E53" i="4"/>
  <c r="M88" i="8"/>
  <c r="D87" i="3"/>
  <c r="D87" i="5" s="1"/>
  <c r="J84" i="8"/>
  <c r="E80" i="8"/>
  <c r="J68" i="8"/>
  <c r="D92" i="8"/>
  <c r="C85" i="8"/>
  <c r="E84" i="3"/>
  <c r="E84" i="5" s="1"/>
  <c r="D79" i="8"/>
  <c r="C75" i="8"/>
  <c r="E74" i="3"/>
  <c r="E74" i="5" s="1"/>
  <c r="D70" i="8"/>
  <c r="E90" i="4"/>
  <c r="E18" i="4"/>
  <c r="D99" i="8"/>
  <c r="M72" i="8"/>
  <c r="D71" i="3"/>
  <c r="D71" i="5" s="1"/>
  <c r="E48" i="8"/>
  <c r="M21" i="8"/>
  <c r="D20" i="3"/>
  <c r="D20" i="5" s="1"/>
  <c r="D36" i="8"/>
  <c r="J4" i="8"/>
  <c r="M25" i="8"/>
  <c r="D24" i="3"/>
  <c r="D24" i="5" s="1"/>
  <c r="C11" i="8"/>
  <c r="E10" i="3"/>
  <c r="E10" i="5" s="1"/>
  <c r="M61" i="8"/>
  <c r="J35" i="8"/>
  <c r="M10" i="8"/>
  <c r="D9" i="3"/>
  <c r="D9" i="5" s="1"/>
  <c r="D8" i="8"/>
  <c r="M12" i="8"/>
  <c r="N57" i="5"/>
  <c r="Q42" i="3"/>
  <c r="S42" i="5" s="1"/>
  <c r="M42" i="5"/>
  <c r="S29" i="5"/>
  <c r="M48" i="5"/>
  <c r="L58" i="2"/>
  <c r="M58" i="2" s="1"/>
  <c r="N58" i="2" s="1"/>
  <c r="O58" i="2" s="1"/>
  <c r="P58" i="2" s="1"/>
  <c r="Q58" i="2" s="1"/>
  <c r="L31" i="3"/>
  <c r="M31" i="5"/>
  <c r="Q36" i="3"/>
  <c r="S36" i="5" s="1"/>
  <c r="N80" i="5"/>
  <c r="D79" i="2"/>
  <c r="L79" i="2" s="1"/>
  <c r="M79" i="2" s="1"/>
  <c r="N79" i="2" s="1"/>
  <c r="O79" i="2" s="1"/>
  <c r="P79" i="2" s="1"/>
  <c r="Q79" i="2" s="1"/>
  <c r="R52" i="5"/>
  <c r="R20" i="3"/>
  <c r="T20" i="5" s="1"/>
  <c r="R20" i="5"/>
  <c r="R21" i="3"/>
  <c r="T21" i="5" s="1"/>
  <c r="R21" i="5"/>
  <c r="R5" i="5"/>
  <c r="Q12" i="3"/>
  <c r="S12" i="5" s="1"/>
  <c r="M12" i="5"/>
  <c r="Q7" i="3"/>
  <c r="S7" i="5" s="1"/>
  <c r="M7" i="5"/>
  <c r="Q8" i="3"/>
  <c r="S8" i="5" s="1"/>
  <c r="M8" i="5"/>
  <c r="N22" i="5"/>
  <c r="D21" i="2"/>
  <c r="L21" i="2" s="1"/>
  <c r="M21" i="2" s="1"/>
  <c r="N21" i="2" s="1"/>
  <c r="O21" i="2" s="1"/>
  <c r="P21" i="2" s="1"/>
  <c r="Q21" i="2" s="1"/>
  <c r="C102" i="8"/>
  <c r="E101" i="3"/>
  <c r="E101" i="5" s="1"/>
  <c r="C86" i="8"/>
  <c r="E85" i="3"/>
  <c r="E85" i="5" s="1"/>
  <c r="C70" i="8"/>
  <c r="E69" i="3"/>
  <c r="E69" i="5" s="1"/>
  <c r="M66" i="8"/>
  <c r="D65" i="3"/>
  <c r="D65" i="5" s="1"/>
  <c r="M47" i="8"/>
  <c r="D46" i="3"/>
  <c r="D46" i="5" s="1"/>
  <c r="C20" i="8"/>
  <c r="E19" i="3"/>
  <c r="E19" i="5" s="1"/>
  <c r="M36" i="8"/>
  <c r="D35" i="3"/>
  <c r="D35" i="5" s="1"/>
  <c r="C6" i="8"/>
  <c r="E5" i="3"/>
  <c r="E5" i="5" s="1"/>
  <c r="E59" i="4"/>
  <c r="E40" i="4"/>
  <c r="E50" i="4"/>
  <c r="E20" i="4"/>
  <c r="G77" i="6"/>
  <c r="G77" i="8" s="1"/>
  <c r="AA77" i="8"/>
  <c r="G45" i="6"/>
  <c r="G45" i="8" s="1"/>
  <c r="AA45" i="8"/>
  <c r="AA13" i="8"/>
  <c r="G13" i="6"/>
  <c r="G13" i="8" s="1"/>
  <c r="AA100" i="8"/>
  <c r="G100" i="6"/>
  <c r="G68" i="6"/>
  <c r="G68" i="8" s="1"/>
  <c r="AA68" i="8"/>
  <c r="AA32" i="8"/>
  <c r="G32" i="6"/>
  <c r="G32" i="8" s="1"/>
  <c r="AA91" i="8"/>
  <c r="G91" i="6"/>
  <c r="G91" i="8" s="1"/>
  <c r="AA59" i="8"/>
  <c r="G59" i="6"/>
  <c r="G59" i="8" s="1"/>
  <c r="G27" i="6"/>
  <c r="G27" i="8" s="1"/>
  <c r="AA27" i="8"/>
  <c r="AA94" i="8"/>
  <c r="G94" i="6"/>
  <c r="G94" i="8" s="1"/>
  <c r="AA62" i="8"/>
  <c r="G62" i="6"/>
  <c r="G62" i="8" s="1"/>
  <c r="AA30" i="8"/>
  <c r="G30" i="6"/>
  <c r="G30" i="8" s="1"/>
  <c r="E66" i="4"/>
  <c r="E22" i="4"/>
  <c r="M96" i="8"/>
  <c r="D95" i="3"/>
  <c r="D95" i="5" s="1"/>
  <c r="M38" i="8"/>
  <c r="D37" i="3"/>
  <c r="D37" i="5" s="1"/>
  <c r="M34" i="8"/>
  <c r="D33" i="3"/>
  <c r="D33" i="5" s="1"/>
  <c r="E10" i="4"/>
  <c r="C92" i="8"/>
  <c r="E91" i="3"/>
  <c r="E91" i="5" s="1"/>
  <c r="E98" i="4"/>
  <c r="C89" i="8"/>
  <c r="E88" i="3"/>
  <c r="E88" i="5" s="1"/>
  <c r="F88" i="5" s="1"/>
  <c r="C76" i="8"/>
  <c r="E61" i="4"/>
  <c r="E46" i="4"/>
  <c r="E81" i="8"/>
  <c r="I57" i="8"/>
  <c r="E49" i="4"/>
  <c r="E43" i="4"/>
  <c r="J49" i="8"/>
  <c r="C45" i="8"/>
  <c r="E84" i="4"/>
  <c r="M82" i="8"/>
  <c r="D81" i="3"/>
  <c r="D81" i="5" s="1"/>
  <c r="M78" i="8"/>
  <c r="D77" i="3"/>
  <c r="D77" i="5" s="1"/>
  <c r="I65" i="8"/>
  <c r="M31" i="8"/>
  <c r="D30" i="3"/>
  <c r="D30" i="5" s="1"/>
  <c r="E19" i="8"/>
  <c r="I33" i="8"/>
  <c r="C27" i="8"/>
  <c r="E26" i="3"/>
  <c r="M6" i="8"/>
  <c r="D5" i="3"/>
  <c r="D5" i="5" s="1"/>
  <c r="I36" i="8"/>
  <c r="D38" i="8"/>
  <c r="D32" i="8"/>
  <c r="I25" i="8"/>
  <c r="D22" i="8"/>
  <c r="M33" i="8"/>
  <c r="D32" i="3"/>
  <c r="D32" i="5" s="1"/>
  <c r="J17" i="8"/>
  <c r="D13" i="8"/>
  <c r="J42" i="8"/>
  <c r="M30" i="8"/>
  <c r="D29" i="3"/>
  <c r="D29" i="5" s="1"/>
  <c r="D37" i="2"/>
  <c r="L37" i="2" s="1"/>
  <c r="M37" i="2" s="1"/>
  <c r="N37" i="2" s="1"/>
  <c r="O37" i="2" s="1"/>
  <c r="P37" i="2" s="1"/>
  <c r="Q37" i="2" s="1"/>
  <c r="R53" i="3"/>
  <c r="T53" i="5" s="1"/>
  <c r="R53" i="5"/>
  <c r="N34" i="5"/>
  <c r="D33" i="2"/>
  <c r="L33" i="2" s="1"/>
  <c r="M33" i="2" s="1"/>
  <c r="N33" i="2" s="1"/>
  <c r="O33" i="2" s="1"/>
  <c r="P33" i="2" s="1"/>
  <c r="Q33" i="2" s="1"/>
  <c r="D56" i="2"/>
  <c r="L56" i="2" s="1"/>
  <c r="M56" i="2" s="1"/>
  <c r="N56" i="2" s="1"/>
  <c r="O56" i="2" s="1"/>
  <c r="P56" i="2" s="1"/>
  <c r="Q56" i="2" s="1"/>
  <c r="L44" i="3"/>
  <c r="R54" i="5"/>
  <c r="D77" i="2"/>
  <c r="L77" i="2" s="1"/>
  <c r="M77" i="2" s="1"/>
  <c r="N77" i="2" s="1"/>
  <c r="O77" i="2" s="1"/>
  <c r="P77" i="2" s="1"/>
  <c r="Q77" i="2" s="1"/>
  <c r="D53" i="2"/>
  <c r="L53" i="2" s="1"/>
  <c r="M53" i="2" s="1"/>
  <c r="N53" i="2" s="1"/>
  <c r="O53" i="2" s="1"/>
  <c r="P53" i="2" s="1"/>
  <c r="Q53" i="2" s="1"/>
  <c r="R53" i="2" s="1"/>
  <c r="S53" i="2" s="1"/>
  <c r="D7" i="2"/>
  <c r="L7" i="2" s="1"/>
  <c r="M7" i="2" s="1"/>
  <c r="N7" i="2" s="1"/>
  <c r="O7" i="2" s="1"/>
  <c r="P7" i="2" s="1"/>
  <c r="Q7" i="2" s="1"/>
  <c r="R32" i="5"/>
  <c r="Q18" i="3"/>
  <c r="S18" i="5" s="1"/>
  <c r="M18" i="5"/>
  <c r="M5" i="5"/>
  <c r="Q5" i="3"/>
  <c r="S5" i="5" s="1"/>
  <c r="Q9" i="3"/>
  <c r="M9" i="5"/>
  <c r="Q14" i="3"/>
  <c r="M14" i="5"/>
  <c r="Q13" i="3"/>
  <c r="M13" i="5"/>
  <c r="Q6" i="3"/>
  <c r="M6" i="5"/>
  <c r="M22" i="5"/>
  <c r="Q10" i="3"/>
  <c r="M10" i="5"/>
  <c r="R35" i="5"/>
  <c r="M26" i="5"/>
  <c r="L6" i="2"/>
  <c r="M6" i="2" s="1"/>
  <c r="N6" i="2" s="1"/>
  <c r="O6" i="2" s="1"/>
  <c r="P6" i="2" s="1"/>
  <c r="Q6" i="2" s="1"/>
  <c r="Q3" i="3"/>
  <c r="S3" i="5" s="1"/>
  <c r="M3" i="5"/>
  <c r="L49" i="2"/>
  <c r="M49" i="2" s="1"/>
  <c r="N49" i="2" s="1"/>
  <c r="O49" i="2" s="1"/>
  <c r="P49" i="2" s="1"/>
  <c r="Q49" i="2" s="1"/>
  <c r="R49" i="2" s="1"/>
  <c r="S49" i="2" s="1"/>
  <c r="Q4" i="3"/>
  <c r="S4" i="5" s="1"/>
  <c r="M4" i="5"/>
  <c r="L60" i="2"/>
  <c r="M60" i="2" s="1"/>
  <c r="N60" i="2" s="1"/>
  <c r="O60" i="2" s="1"/>
  <c r="P60" i="2" s="1"/>
  <c r="Q60" i="2" s="1"/>
  <c r="R60" i="2" s="1"/>
  <c r="S60" i="2" s="1"/>
  <c r="R92" i="4"/>
  <c r="R76" i="4"/>
  <c r="R60" i="4"/>
  <c r="R102" i="4"/>
  <c r="R86" i="4"/>
  <c r="R70" i="4"/>
  <c r="R96" i="4"/>
  <c r="R80" i="4"/>
  <c r="R64" i="4"/>
  <c r="R90" i="4"/>
  <c r="R74" i="4"/>
  <c r="R58" i="4"/>
  <c r="R100" i="4"/>
  <c r="R84" i="4"/>
  <c r="R68" i="4"/>
  <c r="R50" i="4"/>
  <c r="R94" i="4"/>
  <c r="R78" i="4"/>
  <c r="R62" i="4"/>
  <c r="R42" i="4"/>
  <c r="R88" i="4"/>
  <c r="R72" i="4"/>
  <c r="R56" i="4"/>
  <c r="R43" i="4"/>
  <c r="R98" i="4"/>
  <c r="R82" i="4"/>
  <c r="R66" i="4"/>
  <c r="R92" i="3"/>
  <c r="R76" i="3"/>
  <c r="R59" i="3"/>
  <c r="R33" i="3"/>
  <c r="T33" i="5" s="1"/>
  <c r="L51" i="3"/>
  <c r="Q51" i="3"/>
  <c r="R102" i="3"/>
  <c r="R86" i="3"/>
  <c r="R70" i="3"/>
  <c r="L39" i="3"/>
  <c r="Q39" i="3"/>
  <c r="R96" i="3"/>
  <c r="T96" i="5" s="1"/>
  <c r="R80" i="3"/>
  <c r="T80" i="5" s="1"/>
  <c r="R64" i="3"/>
  <c r="T64" i="5" s="1"/>
  <c r="L17" i="3"/>
  <c r="R90" i="3"/>
  <c r="T90" i="5" s="1"/>
  <c r="R74" i="3"/>
  <c r="Q43" i="3"/>
  <c r="L43" i="3"/>
  <c r="R55" i="3"/>
  <c r="T55" i="5" s="1"/>
  <c r="R49" i="3"/>
  <c r="T49" i="5" s="1"/>
  <c r="R26" i="3"/>
  <c r="T26" i="5" s="1"/>
  <c r="R16" i="3"/>
  <c r="T16" i="5" s="1"/>
  <c r="R100" i="3"/>
  <c r="R84" i="3"/>
  <c r="R68" i="3"/>
  <c r="Q35" i="3"/>
  <c r="L35" i="3"/>
  <c r="L16" i="3"/>
  <c r="R94" i="3"/>
  <c r="R78" i="3"/>
  <c r="T78" i="5" s="1"/>
  <c r="R62" i="3"/>
  <c r="Q27" i="3"/>
  <c r="L27" i="3"/>
  <c r="L20" i="3"/>
  <c r="L15" i="3"/>
  <c r="R88" i="3"/>
  <c r="R72" i="3"/>
  <c r="L12" i="3"/>
  <c r="R11" i="3"/>
  <c r="T11" i="5" s="1"/>
  <c r="R98" i="3"/>
  <c r="R82" i="3"/>
  <c r="R66" i="3"/>
  <c r="R57" i="3"/>
  <c r="T57" i="5" s="1"/>
  <c r="L11" i="3"/>
  <c r="R94" i="2"/>
  <c r="S94" i="2" s="1"/>
  <c r="R93" i="2"/>
  <c r="S93" i="2" s="1"/>
  <c r="R83" i="2"/>
  <c r="S83" i="2" s="1"/>
  <c r="R102" i="2"/>
  <c r="S102" i="2" s="1"/>
  <c r="R90" i="2"/>
  <c r="S90" i="2" s="1"/>
  <c r="Q2" i="2"/>
  <c r="R5" i="3" l="1"/>
  <c r="T5" i="5" s="1"/>
  <c r="R15" i="3"/>
  <c r="T15" i="5" s="1"/>
  <c r="R69" i="3"/>
  <c r="T69" i="5" s="1"/>
  <c r="R52" i="3"/>
  <c r="T52" i="5" s="1"/>
  <c r="D24" i="2"/>
  <c r="L24" i="2" s="1"/>
  <c r="M24" i="2" s="1"/>
  <c r="N24" i="2" s="1"/>
  <c r="O24" i="2" s="1"/>
  <c r="P24" i="2" s="1"/>
  <c r="Q24" i="2" s="1"/>
  <c r="T59" i="5"/>
  <c r="T98" i="5"/>
  <c r="T94" i="5"/>
  <c r="R38" i="3"/>
  <c r="T38" i="5" s="1"/>
  <c r="T71" i="5"/>
  <c r="D70" i="2"/>
  <c r="L70" i="2" s="1"/>
  <c r="M70" i="2" s="1"/>
  <c r="N70" i="2" s="1"/>
  <c r="O70" i="2" s="1"/>
  <c r="P70" i="2" s="1"/>
  <c r="Q70" i="2" s="1"/>
  <c r="T85" i="5"/>
  <c r="D28" i="2"/>
  <c r="L28" i="2" s="1"/>
  <c r="M28" i="2" s="1"/>
  <c r="N28" i="2" s="1"/>
  <c r="O28" i="2" s="1"/>
  <c r="P28" i="2" s="1"/>
  <c r="Q28" i="2" s="1"/>
  <c r="R28" i="2" s="1"/>
  <c r="S28" i="2" s="1"/>
  <c r="D5" i="2"/>
  <c r="L5" i="2" s="1"/>
  <c r="M5" i="2" s="1"/>
  <c r="N5" i="2" s="1"/>
  <c r="O5" i="2" s="1"/>
  <c r="P5" i="2" s="1"/>
  <c r="Q5" i="2" s="1"/>
  <c r="T92" i="5"/>
  <c r="S24" i="5"/>
  <c r="R24" i="3"/>
  <c r="T24" i="5" s="1"/>
  <c r="T68" i="5"/>
  <c r="T100" i="5"/>
  <c r="T72" i="5"/>
  <c r="T102" i="5"/>
  <c r="T84" i="5"/>
  <c r="T70" i="5"/>
  <c r="T86" i="5"/>
  <c r="T88" i="5"/>
  <c r="R56" i="2"/>
  <c r="S56" i="2" s="1"/>
  <c r="R37" i="2"/>
  <c r="S37" i="2" s="1"/>
  <c r="H50" i="5"/>
  <c r="H85" i="5"/>
  <c r="F85" i="5"/>
  <c r="H42" i="5"/>
  <c r="F42" i="5"/>
  <c r="H74" i="5"/>
  <c r="F74" i="5"/>
  <c r="R67" i="2"/>
  <c r="S67" i="2" s="1"/>
  <c r="H16" i="5"/>
  <c r="F16" i="5"/>
  <c r="E47" i="3"/>
  <c r="E47" i="5" s="1"/>
  <c r="S44" i="5"/>
  <c r="R44" i="3"/>
  <c r="T44" i="5" s="1"/>
  <c r="H25" i="5"/>
  <c r="F25" i="5"/>
  <c r="E20" i="3"/>
  <c r="E20" i="5" s="1"/>
  <c r="E53" i="5"/>
  <c r="E95" i="5"/>
  <c r="F95" i="5" s="1"/>
  <c r="R42" i="3"/>
  <c r="T42" i="5" s="1"/>
  <c r="H10" i="5"/>
  <c r="F10" i="5"/>
  <c r="F23" i="5"/>
  <c r="H23" i="5"/>
  <c r="E38" i="3"/>
  <c r="E38" i="5" s="1"/>
  <c r="E98" i="3"/>
  <c r="E98" i="5" s="1"/>
  <c r="R32" i="2"/>
  <c r="S32" i="2" s="1"/>
  <c r="R96" i="2"/>
  <c r="S96" i="2" s="1"/>
  <c r="R77" i="2"/>
  <c r="S77" i="2" s="1"/>
  <c r="N11" i="5"/>
  <c r="D10" i="2"/>
  <c r="L10" i="2" s="1"/>
  <c r="M10" i="2" s="1"/>
  <c r="N10" i="2" s="1"/>
  <c r="O10" i="2" s="1"/>
  <c r="P10" i="2" s="1"/>
  <c r="R8" i="2"/>
  <c r="S8" i="2" s="1"/>
  <c r="H27" i="5"/>
  <c r="F27" i="5"/>
  <c r="E39" i="3"/>
  <c r="E39" i="5" s="1"/>
  <c r="F39" i="5" s="1"/>
  <c r="H83" i="5"/>
  <c r="F83" i="5"/>
  <c r="H96" i="5"/>
  <c r="F96" i="5"/>
  <c r="R65" i="2"/>
  <c r="S65" i="2" s="1"/>
  <c r="E31" i="3"/>
  <c r="E31" i="5" s="1"/>
  <c r="H67" i="5"/>
  <c r="S58" i="5"/>
  <c r="R58" i="3"/>
  <c r="T58" i="5" s="1"/>
  <c r="H28" i="5"/>
  <c r="E71" i="3"/>
  <c r="E71" i="5" s="1"/>
  <c r="H45" i="5"/>
  <c r="H53" i="5"/>
  <c r="F53" i="5"/>
  <c r="E104" i="5"/>
  <c r="F104" i="5" s="1"/>
  <c r="R62" i="2"/>
  <c r="S62" i="2" s="1"/>
  <c r="H21" i="5"/>
  <c r="F21" i="5"/>
  <c r="G50" i="8"/>
  <c r="E49" i="3"/>
  <c r="E49" i="5" s="1"/>
  <c r="F49" i="5" s="1"/>
  <c r="H12" i="5"/>
  <c r="H93" i="5"/>
  <c r="AA60" i="8"/>
  <c r="R50" i="3"/>
  <c r="T50" i="5" s="1"/>
  <c r="E92" i="3"/>
  <c r="E92" i="5" s="1"/>
  <c r="T89" i="5"/>
  <c r="T101" i="5"/>
  <c r="H43" i="5"/>
  <c r="R63" i="2"/>
  <c r="S63" i="2" s="1"/>
  <c r="S9" i="5"/>
  <c r="R9" i="3"/>
  <c r="T9" i="5" s="1"/>
  <c r="H18" i="5"/>
  <c r="F18" i="5"/>
  <c r="N17" i="5"/>
  <c r="D16" i="2"/>
  <c r="L16" i="2" s="1"/>
  <c r="M16" i="2" s="1"/>
  <c r="N16" i="2" s="1"/>
  <c r="O16" i="2" s="1"/>
  <c r="P16" i="2" s="1"/>
  <c r="Q16" i="2" s="1"/>
  <c r="S13" i="5"/>
  <c r="R13" i="3"/>
  <c r="T13" i="5" s="1"/>
  <c r="H29" i="5"/>
  <c r="H35" i="5"/>
  <c r="F35" i="5"/>
  <c r="H87" i="5"/>
  <c r="N15" i="5"/>
  <c r="D14" i="2"/>
  <c r="L14" i="2" s="1"/>
  <c r="M14" i="2" s="1"/>
  <c r="N14" i="2" s="1"/>
  <c r="O14" i="2" s="1"/>
  <c r="P14" i="2" s="1"/>
  <c r="Q14" i="2" s="1"/>
  <c r="N16" i="5"/>
  <c r="D15" i="2"/>
  <c r="L15" i="2" s="1"/>
  <c r="M15" i="2" s="1"/>
  <c r="N15" i="2" s="1"/>
  <c r="O15" i="2" s="1"/>
  <c r="P15" i="2" s="1"/>
  <c r="Q15" i="2" s="1"/>
  <c r="R51" i="3"/>
  <c r="T51" i="5" s="1"/>
  <c r="S51" i="5"/>
  <c r="S10" i="5"/>
  <c r="R10" i="3"/>
  <c r="T10" i="5" s="1"/>
  <c r="R84" i="2"/>
  <c r="S84" i="2" s="1"/>
  <c r="N44" i="5"/>
  <c r="D43" i="2"/>
  <c r="L43" i="2" s="1"/>
  <c r="M43" i="2" s="1"/>
  <c r="N43" i="2" s="1"/>
  <c r="O43" i="2" s="1"/>
  <c r="P43" i="2" s="1"/>
  <c r="Q43" i="2" s="1"/>
  <c r="F71" i="5"/>
  <c r="H71" i="5"/>
  <c r="H39" i="5"/>
  <c r="H70" i="5"/>
  <c r="F15" i="5"/>
  <c r="H15" i="5"/>
  <c r="AA21" i="8"/>
  <c r="R100" i="2"/>
  <c r="S100" i="2" s="1"/>
  <c r="E59" i="5"/>
  <c r="E34" i="3"/>
  <c r="E34" i="5" s="1"/>
  <c r="H90" i="5"/>
  <c r="F90" i="5"/>
  <c r="R3" i="3"/>
  <c r="T3" i="5" s="1"/>
  <c r="S32" i="5"/>
  <c r="R32" i="3"/>
  <c r="T32" i="5" s="1"/>
  <c r="E22" i="5"/>
  <c r="R17" i="2"/>
  <c r="S17" i="2" s="1"/>
  <c r="E30" i="3"/>
  <c r="E30" i="5" s="1"/>
  <c r="H54" i="5"/>
  <c r="F54" i="5"/>
  <c r="H49" i="5"/>
  <c r="H62" i="5"/>
  <c r="R18" i="3"/>
  <c r="T18" i="5" s="1"/>
  <c r="R75" i="2"/>
  <c r="S75" i="2" s="1"/>
  <c r="F100" i="5"/>
  <c r="H100" i="5"/>
  <c r="H103" i="5"/>
  <c r="G60" i="8"/>
  <c r="H14" i="5"/>
  <c r="F14" i="5"/>
  <c r="E64" i="3"/>
  <c r="E64" i="5" s="1"/>
  <c r="F64" i="5" s="1"/>
  <c r="E60" i="3"/>
  <c r="E60" i="5" s="1"/>
  <c r="F60" i="5" s="1"/>
  <c r="R66" i="2"/>
  <c r="S66" i="2" s="1"/>
  <c r="R98" i="2"/>
  <c r="S98" i="2" s="1"/>
  <c r="R104" i="3"/>
  <c r="T104" i="5" s="1"/>
  <c r="H98" i="5"/>
  <c r="F98" i="5"/>
  <c r="N51" i="5"/>
  <c r="D50" i="2"/>
  <c r="L50" i="2" s="1"/>
  <c r="M50" i="2" s="1"/>
  <c r="N50" i="2" s="1"/>
  <c r="O50" i="2" s="1"/>
  <c r="P50" i="2" s="1"/>
  <c r="Q50" i="2" s="1"/>
  <c r="E44" i="3"/>
  <c r="E44" i="5" s="1"/>
  <c r="H33" i="5"/>
  <c r="G100" i="8"/>
  <c r="E99" i="3"/>
  <c r="E99" i="5" s="1"/>
  <c r="F99" i="5" s="1"/>
  <c r="R9" i="2"/>
  <c r="S9" i="2" s="1"/>
  <c r="R13" i="2"/>
  <c r="S13" i="2" s="1"/>
  <c r="R59" i="2"/>
  <c r="S59" i="2" s="1"/>
  <c r="H34" i="5"/>
  <c r="F34" i="5"/>
  <c r="H97" i="5"/>
  <c r="E7" i="3"/>
  <c r="E7" i="5" s="1"/>
  <c r="F7" i="5" s="1"/>
  <c r="F63" i="5"/>
  <c r="H63" i="5"/>
  <c r="F59" i="5"/>
  <c r="H59" i="5"/>
  <c r="G42" i="8"/>
  <c r="E41" i="3"/>
  <c r="E41" i="5" s="1"/>
  <c r="F41" i="5" s="1"/>
  <c r="R24" i="2"/>
  <c r="S24" i="2" s="1"/>
  <c r="H92" i="5"/>
  <c r="F92" i="5"/>
  <c r="E16" i="3"/>
  <c r="E16" i="5" s="1"/>
  <c r="E61" i="3"/>
  <c r="E61" i="5" s="1"/>
  <c r="R25" i="2"/>
  <c r="S25" i="2" s="1"/>
  <c r="G82" i="8"/>
  <c r="E81" i="3"/>
  <c r="E81" i="5" s="1"/>
  <c r="E76" i="3"/>
  <c r="E76" i="5" s="1"/>
  <c r="F76" i="5" s="1"/>
  <c r="H104" i="5"/>
  <c r="H22" i="5"/>
  <c r="F22" i="5"/>
  <c r="E68" i="5"/>
  <c r="G58" i="8"/>
  <c r="E57" i="3"/>
  <c r="E57" i="5" s="1"/>
  <c r="H81" i="5"/>
  <c r="F81" i="5"/>
  <c r="H69" i="5"/>
  <c r="F69" i="5"/>
  <c r="F24" i="5"/>
  <c r="H24" i="5"/>
  <c r="G104" i="8"/>
  <c r="E103" i="3"/>
  <c r="E103" i="5" s="1"/>
  <c r="F103" i="5" s="1"/>
  <c r="T82" i="5"/>
  <c r="R12" i="3"/>
  <c r="T12" i="5" s="1"/>
  <c r="N35" i="5"/>
  <c r="D34" i="2"/>
  <c r="L34" i="2" s="1"/>
  <c r="M34" i="2" s="1"/>
  <c r="N34" i="2" s="1"/>
  <c r="O34" i="2" s="1"/>
  <c r="P34" i="2" s="1"/>
  <c r="Q34" i="2" s="1"/>
  <c r="R6" i="2"/>
  <c r="S6" i="2" s="1"/>
  <c r="S14" i="5"/>
  <c r="R14" i="3"/>
  <c r="T14" i="5" s="1"/>
  <c r="R33" i="2"/>
  <c r="S33" i="2" s="1"/>
  <c r="N31" i="5"/>
  <c r="D30" i="2"/>
  <c r="L30" i="2" s="1"/>
  <c r="M30" i="2" s="1"/>
  <c r="N30" i="2" s="1"/>
  <c r="O30" i="2" s="1"/>
  <c r="P30" i="2" s="1"/>
  <c r="Q30" i="2" s="1"/>
  <c r="H86" i="5"/>
  <c r="F86" i="5"/>
  <c r="R61" i="2"/>
  <c r="S61" i="2" s="1"/>
  <c r="F47" i="5"/>
  <c r="H47" i="5"/>
  <c r="S47" i="5"/>
  <c r="R47" i="3"/>
  <c r="T47" i="5" s="1"/>
  <c r="F68" i="5"/>
  <c r="H68" i="5"/>
  <c r="AA42" i="8"/>
  <c r="G16" i="8"/>
  <c r="E15" i="3"/>
  <c r="E15" i="5" s="1"/>
  <c r="E17" i="5"/>
  <c r="H51" i="5"/>
  <c r="F51" i="5"/>
  <c r="R4" i="3"/>
  <c r="T4" i="5" s="1"/>
  <c r="F91" i="5"/>
  <c r="H91" i="5"/>
  <c r="R36" i="3"/>
  <c r="T36" i="5" s="1"/>
  <c r="H76" i="5"/>
  <c r="G33" i="8"/>
  <c r="E32" i="3"/>
  <c r="E32" i="5" s="1"/>
  <c r="E33" i="3"/>
  <c r="E33" i="5" s="1"/>
  <c r="F33" i="5" s="1"/>
  <c r="H78" i="5"/>
  <c r="R39" i="2"/>
  <c r="S39" i="2" s="1"/>
  <c r="S56" i="5"/>
  <c r="R56" i="3"/>
  <c r="T56" i="5" s="1"/>
  <c r="H40" i="5"/>
  <c r="F40" i="5"/>
  <c r="E87" i="3"/>
  <c r="E87" i="5" s="1"/>
  <c r="F87" i="5" s="1"/>
  <c r="H80" i="5"/>
  <c r="E29" i="3"/>
  <c r="E29" i="5" s="1"/>
  <c r="F29" i="5" s="1"/>
  <c r="R81" i="2"/>
  <c r="S81" i="2" s="1"/>
  <c r="H5" i="5"/>
  <c r="F5" i="5"/>
  <c r="H37" i="5"/>
  <c r="H46" i="5"/>
  <c r="R58" i="2"/>
  <c r="S58" i="2" s="1"/>
  <c r="F9" i="5"/>
  <c r="H9" i="5"/>
  <c r="F55" i="5"/>
  <c r="H55" i="5"/>
  <c r="G66" i="8"/>
  <c r="E65" i="3"/>
  <c r="E65" i="5" s="1"/>
  <c r="R69" i="2"/>
  <c r="S69" i="2" s="1"/>
  <c r="E43" i="5"/>
  <c r="F43" i="5" s="1"/>
  <c r="E6" i="3"/>
  <c r="E6" i="5" s="1"/>
  <c r="F6" i="5" s="1"/>
  <c r="F75" i="5"/>
  <c r="H75" i="5"/>
  <c r="E70" i="3"/>
  <c r="E70" i="5" s="1"/>
  <c r="F70" i="5" s="1"/>
  <c r="E66" i="3"/>
  <c r="E66" i="5" s="1"/>
  <c r="G74" i="8"/>
  <c r="E73" i="3"/>
  <c r="E73" i="5" s="1"/>
  <c r="F73" i="5" s="1"/>
  <c r="G25" i="8"/>
  <c r="E24" i="3"/>
  <c r="E24" i="5" s="1"/>
  <c r="R37" i="3"/>
  <c r="T37" i="5" s="1"/>
  <c r="F4" i="5"/>
  <c r="H4" i="5"/>
  <c r="E36" i="3"/>
  <c r="E36" i="5" s="1"/>
  <c r="F36" i="5" s="1"/>
  <c r="E77" i="3"/>
  <c r="E77" i="5" s="1"/>
  <c r="F77" i="5" s="1"/>
  <c r="R71" i="2"/>
  <c r="S71" i="2" s="1"/>
  <c r="H6" i="5"/>
  <c r="E3" i="3"/>
  <c r="E3" i="5" s="1"/>
  <c r="R12" i="2"/>
  <c r="S12" i="2" s="1"/>
  <c r="H17" i="5"/>
  <c r="F17" i="5"/>
  <c r="E80" i="3"/>
  <c r="E80" i="5" s="1"/>
  <c r="F80" i="5" s="1"/>
  <c r="H36" i="5"/>
  <c r="H73" i="5"/>
  <c r="E78" i="3"/>
  <c r="E78" i="5" s="1"/>
  <c r="F78" i="5" s="1"/>
  <c r="G90" i="8"/>
  <c r="E89" i="3"/>
  <c r="E89" i="5" s="1"/>
  <c r="F89" i="5" s="1"/>
  <c r="T73" i="5"/>
  <c r="R68" i="2"/>
  <c r="S68" i="2" s="1"/>
  <c r="F30" i="5"/>
  <c r="H30" i="5"/>
  <c r="N27" i="5"/>
  <c r="D26" i="2"/>
  <c r="L26" i="2" s="1"/>
  <c r="M26" i="2" s="1"/>
  <c r="N26" i="2" s="1"/>
  <c r="O26" i="2" s="1"/>
  <c r="P26" i="2" s="1"/>
  <c r="Q26" i="2" s="1"/>
  <c r="R35" i="3"/>
  <c r="T35" i="5" s="1"/>
  <c r="S35" i="5"/>
  <c r="N43" i="5"/>
  <c r="D42" i="2"/>
  <c r="L42" i="2" s="1"/>
  <c r="M42" i="2" s="1"/>
  <c r="N42" i="2" s="1"/>
  <c r="O42" i="2" s="1"/>
  <c r="P42" i="2" s="1"/>
  <c r="Q42" i="2" s="1"/>
  <c r="R39" i="3"/>
  <c r="T39" i="5" s="1"/>
  <c r="S39" i="5"/>
  <c r="R27" i="3"/>
  <c r="T27" i="5" s="1"/>
  <c r="S27" i="5"/>
  <c r="R43" i="3"/>
  <c r="T43" i="5" s="1"/>
  <c r="S43" i="5"/>
  <c r="N39" i="5"/>
  <c r="D38" i="2"/>
  <c r="L38" i="2" s="1"/>
  <c r="M38" i="2" s="1"/>
  <c r="N38" i="2" s="1"/>
  <c r="O38" i="2" s="1"/>
  <c r="P38" i="2" s="1"/>
  <c r="Q38" i="2" s="1"/>
  <c r="T76" i="5"/>
  <c r="R7" i="2"/>
  <c r="S7" i="2" s="1"/>
  <c r="H32" i="5"/>
  <c r="F32" i="5"/>
  <c r="H77" i="5"/>
  <c r="E37" i="3"/>
  <c r="E37" i="5" s="1"/>
  <c r="F37" i="5" s="1"/>
  <c r="E50" i="5"/>
  <c r="F50" i="5" s="1"/>
  <c r="F102" i="5"/>
  <c r="H102" i="5"/>
  <c r="R8" i="3"/>
  <c r="T8" i="5" s="1"/>
  <c r="F13" i="5"/>
  <c r="H13" i="5"/>
  <c r="S45" i="5"/>
  <c r="R45" i="3"/>
  <c r="T45" i="5" s="1"/>
  <c r="N36" i="5"/>
  <c r="D35" i="2"/>
  <c r="L35" i="2" s="1"/>
  <c r="M35" i="2" s="1"/>
  <c r="N35" i="2" s="1"/>
  <c r="O35" i="2" s="1"/>
  <c r="P35" i="2" s="1"/>
  <c r="Q35" i="2" s="1"/>
  <c r="F72" i="5"/>
  <c r="H72" i="5"/>
  <c r="E12" i="3"/>
  <c r="E12" i="5" s="1"/>
  <c r="F12" i="5" s="1"/>
  <c r="F58" i="5"/>
  <c r="H58" i="5"/>
  <c r="S46" i="5"/>
  <c r="R46" i="3"/>
  <c r="T46" i="5" s="1"/>
  <c r="H99" i="5"/>
  <c r="H8" i="5"/>
  <c r="F8" i="5"/>
  <c r="E45" i="3"/>
  <c r="E45" i="5" s="1"/>
  <c r="F45" i="5" s="1"/>
  <c r="F38" i="5"/>
  <c r="H38" i="5"/>
  <c r="H94" i="5"/>
  <c r="R31" i="2"/>
  <c r="S31" i="2" s="1"/>
  <c r="S40" i="5"/>
  <c r="R40" i="3"/>
  <c r="T40" i="5" s="1"/>
  <c r="R73" i="2"/>
  <c r="S73" i="2" s="1"/>
  <c r="H19" i="5"/>
  <c r="F19" i="5"/>
  <c r="R48" i="2"/>
  <c r="S48" i="2" s="1"/>
  <c r="G49" i="8"/>
  <c r="E48" i="3"/>
  <c r="E48" i="5" s="1"/>
  <c r="F48" i="5" s="1"/>
  <c r="T66" i="5"/>
  <c r="N20" i="5"/>
  <c r="D19" i="2"/>
  <c r="L19" i="2" s="1"/>
  <c r="M19" i="2" s="1"/>
  <c r="N19" i="2" s="1"/>
  <c r="O19" i="2" s="1"/>
  <c r="P19" i="2" s="1"/>
  <c r="Q19" i="2" s="1"/>
  <c r="N12" i="5"/>
  <c r="D11" i="2"/>
  <c r="L11" i="2" s="1"/>
  <c r="M11" i="2" s="1"/>
  <c r="N11" i="2" s="1"/>
  <c r="O11" i="2" s="1"/>
  <c r="P11" i="2" s="1"/>
  <c r="Q11" i="2" s="1"/>
  <c r="T62" i="5"/>
  <c r="T74" i="5"/>
  <c r="S6" i="5"/>
  <c r="R6" i="3"/>
  <c r="T6" i="5" s="1"/>
  <c r="E26" i="5"/>
  <c r="H95" i="5"/>
  <c r="H65" i="5"/>
  <c r="F65" i="5"/>
  <c r="R21" i="2"/>
  <c r="S21" i="2" s="1"/>
  <c r="R79" i="2"/>
  <c r="S79" i="2" s="1"/>
  <c r="H20" i="5"/>
  <c r="F20" i="5"/>
  <c r="E62" i="3"/>
  <c r="E62" i="5" s="1"/>
  <c r="F62" i="5" s="1"/>
  <c r="G98" i="8"/>
  <c r="E97" i="3"/>
  <c r="E97" i="5" s="1"/>
  <c r="F97" i="5" s="1"/>
  <c r="R20" i="2"/>
  <c r="S20" i="2" s="1"/>
  <c r="F79" i="5"/>
  <c r="H79" i="5"/>
  <c r="E94" i="3"/>
  <c r="E94" i="5" s="1"/>
  <c r="F94" i="5" s="1"/>
  <c r="N56" i="5"/>
  <c r="D55" i="2"/>
  <c r="L55" i="2" s="1"/>
  <c r="M55" i="2" s="1"/>
  <c r="N55" i="2" s="1"/>
  <c r="O55" i="2" s="1"/>
  <c r="P55" i="2" s="1"/>
  <c r="Q55" i="2" s="1"/>
  <c r="F26" i="5"/>
  <c r="H26" i="5"/>
  <c r="N58" i="5"/>
  <c r="D57" i="2"/>
  <c r="L57" i="2" s="1"/>
  <c r="M57" i="2" s="1"/>
  <c r="N57" i="2" s="1"/>
  <c r="O57" i="2" s="1"/>
  <c r="P57" i="2" s="1"/>
  <c r="Q57" i="2" s="1"/>
  <c r="E67" i="3"/>
  <c r="E67" i="5" s="1"/>
  <c r="F67" i="5" s="1"/>
  <c r="AA8" i="8"/>
  <c r="G29" i="8"/>
  <c r="E28" i="3"/>
  <c r="E28" i="5" s="1"/>
  <c r="F28" i="5" s="1"/>
  <c r="F31" i="5"/>
  <c r="H31" i="5"/>
  <c r="E93" i="3"/>
  <c r="E93" i="5" s="1"/>
  <c r="F93" i="5" s="1"/>
  <c r="R17" i="3"/>
  <c r="T17" i="5" s="1"/>
  <c r="R103" i="2"/>
  <c r="S103" i="2" s="1"/>
  <c r="N23" i="5"/>
  <c r="D22" i="2"/>
  <c r="L22" i="2" s="1"/>
  <c r="M22" i="2" s="1"/>
  <c r="N22" i="2" s="1"/>
  <c r="O22" i="2" s="1"/>
  <c r="P22" i="2" s="1"/>
  <c r="Q22" i="2" s="1"/>
  <c r="E56" i="3"/>
  <c r="E56" i="5" s="1"/>
  <c r="F56" i="5" s="1"/>
  <c r="G18" i="8"/>
  <c r="G47" i="8"/>
  <c r="E46" i="3"/>
  <c r="E46" i="5" s="1"/>
  <c r="F46" i="5" s="1"/>
  <c r="G97" i="8"/>
  <c r="E96" i="3"/>
  <c r="E96" i="5" s="1"/>
  <c r="R7" i="3"/>
  <c r="T7" i="5" s="1"/>
  <c r="F84" i="5"/>
  <c r="H84" i="5"/>
  <c r="H48" i="5"/>
  <c r="H101" i="5"/>
  <c r="F101" i="5"/>
  <c r="H89" i="5"/>
  <c r="R41" i="2"/>
  <c r="S41" i="2" s="1"/>
  <c r="T93" i="5"/>
  <c r="T63" i="5"/>
  <c r="T95" i="5"/>
  <c r="E40" i="5"/>
  <c r="R44" i="2"/>
  <c r="S44" i="2" s="1"/>
  <c r="R36" i="2"/>
  <c r="S36" i="2" s="1"/>
  <c r="R72" i="2"/>
  <c r="S72" i="2" s="1"/>
  <c r="R74" i="2"/>
  <c r="S74" i="2" s="1"/>
  <c r="R70" i="2"/>
  <c r="S70" i="2" s="1"/>
  <c r="R45" i="2"/>
  <c r="S45" i="2" s="1"/>
  <c r="T61" i="5"/>
  <c r="R3" i="2"/>
  <c r="S3" i="2" s="1"/>
  <c r="R40" i="2"/>
  <c r="S40" i="2" s="1"/>
  <c r="H57" i="5"/>
  <c r="F57" i="5"/>
  <c r="T60" i="5"/>
  <c r="R95" i="2"/>
  <c r="S95" i="2" s="1"/>
  <c r="R97" i="2"/>
  <c r="S97" i="2" s="1"/>
  <c r="R4" i="2"/>
  <c r="S4" i="2" s="1"/>
  <c r="R86" i="2"/>
  <c r="S86" i="2" s="1"/>
  <c r="H44" i="5"/>
  <c r="F44" i="5"/>
  <c r="T31" i="5"/>
  <c r="R5" i="2"/>
  <c r="S5" i="2" s="1"/>
  <c r="T79" i="5"/>
  <c r="R29" i="2"/>
  <c r="S29" i="2" s="1"/>
  <c r="H41" i="5"/>
  <c r="T77" i="5"/>
  <c r="R18" i="2"/>
  <c r="S18" i="2" s="1"/>
  <c r="F61" i="5"/>
  <c r="H61" i="5"/>
  <c r="R80" i="2"/>
  <c r="S80" i="2" s="1"/>
  <c r="H66" i="5"/>
  <c r="F66" i="5"/>
  <c r="H82" i="5"/>
  <c r="F82" i="5"/>
  <c r="R2" i="2"/>
  <c r="S2" i="2" s="1"/>
  <c r="R15" i="2" l="1"/>
  <c r="S15" i="2" s="1"/>
  <c r="Q10" i="2"/>
  <c r="R55" i="2"/>
  <c r="S55" i="2" s="1"/>
  <c r="R26" i="2"/>
  <c r="S26" i="2" s="1"/>
  <c r="R14" i="2"/>
  <c r="S14" i="2" s="1"/>
  <c r="R30" i="2"/>
  <c r="S30" i="2" s="1"/>
  <c r="R34" i="2"/>
  <c r="S34" i="2" s="1"/>
  <c r="R43" i="2"/>
  <c r="S43" i="2" s="1"/>
  <c r="R11" i="2"/>
  <c r="S11" i="2" s="1"/>
  <c r="R19" i="2"/>
  <c r="S19" i="2" s="1"/>
  <c r="R57" i="2"/>
  <c r="S57" i="2" s="1"/>
  <c r="R38" i="2"/>
  <c r="S38" i="2" s="1"/>
  <c r="R42" i="2"/>
  <c r="S42" i="2" s="1"/>
  <c r="F3" i="5"/>
  <c r="R22" i="2"/>
  <c r="S22" i="2" s="1"/>
  <c r="R35" i="2"/>
  <c r="S35" i="2" s="1"/>
  <c r="R50" i="2"/>
  <c r="S50" i="2" s="1"/>
  <c r="R16" i="2"/>
  <c r="S16" i="2" s="1"/>
  <c r="R10" i="2" l="1"/>
  <c r="S10" i="2" s="1"/>
</calcChain>
</file>

<file path=xl/sharedStrings.xml><?xml version="1.0" encoding="utf-8"?>
<sst xmlns="http://schemas.openxmlformats.org/spreadsheetml/2006/main" count="6812" uniqueCount="503">
  <si>
    <t>Selskabsnavn</t>
  </si>
  <si>
    <t>ID nummer</t>
  </si>
  <si>
    <t>Økonomisk Ramme til brug for benchmarking (2023 prisniveau)</t>
  </si>
  <si>
    <t>Faktiske omkostninger
(2022 prisniveau)</t>
  </si>
  <si>
    <t>Nye omkostninger i 2022 (2022 prisniveau)</t>
  </si>
  <si>
    <t>Tillæg der skal stilles krav til, som ikke indgår direkte i BM (2022 prisniveau)</t>
  </si>
  <si>
    <t>Efficiensscorer
DEA</t>
  </si>
  <si>
    <t>Efficiensscorer
SFA</t>
  </si>
  <si>
    <t>Efficiensscorer
best-of-two</t>
  </si>
  <si>
    <t>Kompensation for costdriversammensætning</t>
  </si>
  <si>
    <t>Eff.score efter Costdriversammensætning</t>
  </si>
  <si>
    <t>Effektivt
niveau
(2022 prisniveau)</t>
  </si>
  <si>
    <t>Prisfremskrevet effektivt niveau
(2023 prisniveau)</t>
  </si>
  <si>
    <t xml:space="preserve">
Potentiale 
i kr.</t>
  </si>
  <si>
    <t>Potentiale 
i pct.</t>
  </si>
  <si>
    <r>
      <t xml:space="preserve">Årligt krav </t>
    </r>
    <r>
      <rPr>
        <b/>
        <sz val="11"/>
        <color theme="1"/>
        <rFont val="Calibri"/>
        <family val="2"/>
        <scheme val="minor"/>
      </rPr>
      <t>i pct.</t>
    </r>
  </si>
  <si>
    <r>
      <t xml:space="preserve">Korrigeret årligt krav </t>
    </r>
    <r>
      <rPr>
        <b/>
        <sz val="11"/>
        <color theme="1"/>
        <rFont val="Calibri"/>
        <family val="2"/>
        <scheme val="minor"/>
      </rPr>
      <t xml:space="preserve"> i pct.</t>
    </r>
  </si>
  <si>
    <r>
      <t xml:space="preserve">Korrigeret årligt krav
</t>
    </r>
    <r>
      <rPr>
        <b/>
        <sz val="11"/>
        <rFont val="Calibri"/>
        <family val="2"/>
        <scheme val="minor"/>
      </rPr>
      <t>i</t>
    </r>
    <r>
      <rPr>
        <b/>
        <sz val="11"/>
        <color theme="1"/>
        <rFont val="Calibri"/>
        <family val="2"/>
        <scheme val="minor"/>
      </rPr>
      <t xml:space="preserve"> kr. (2023 prisniveau)</t>
    </r>
  </si>
  <si>
    <r>
      <t xml:space="preserve">Korrigeret årligt krav
</t>
    </r>
    <r>
      <rPr>
        <b/>
        <sz val="11"/>
        <rFont val="Calibri"/>
        <family val="2"/>
        <scheme val="minor"/>
      </rPr>
      <t>i</t>
    </r>
    <r>
      <rPr>
        <b/>
        <sz val="11"/>
        <color theme="1"/>
        <rFont val="Calibri"/>
        <family val="2"/>
        <scheme val="minor"/>
      </rPr>
      <t xml:space="preserve"> kr. (2024 prisniveau)</t>
    </r>
  </si>
  <si>
    <t>Novafos Spildevand Ballerup A/S</t>
  </si>
  <si>
    <t>S001</t>
  </si>
  <si>
    <t>Novafos Spildevand Allerød A/S</t>
  </si>
  <si>
    <t>S002</t>
  </si>
  <si>
    <t>AQUADJURS A/S</t>
  </si>
  <si>
    <t>S003</t>
  </si>
  <si>
    <t>ARWOS SPILDEVAND A/S</t>
  </si>
  <si>
    <t>S004</t>
  </si>
  <si>
    <t>ASSENS RENSNING A/S</t>
  </si>
  <si>
    <t>S005</t>
  </si>
  <si>
    <t>Assens Spildevand A/S</t>
  </si>
  <si>
    <t>S006</t>
  </si>
  <si>
    <t>Billund Spildevand A/S</t>
  </si>
  <si>
    <t>S007</t>
  </si>
  <si>
    <t>BIOFOS Lynettefællesskabet A/S</t>
  </si>
  <si>
    <t>S008</t>
  </si>
  <si>
    <t>BIOFOS Spildevandscenter Avedøre A/S</t>
  </si>
  <si>
    <t>S009</t>
  </si>
  <si>
    <t>Bornholms Spildevand A/S</t>
  </si>
  <si>
    <t>S010</t>
  </si>
  <si>
    <t>HOFOR SPILDEVAND BRØNDBY A/S</t>
  </si>
  <si>
    <t>S011</t>
  </si>
  <si>
    <t>Brønderslev Spildevand A/S</t>
  </si>
  <si>
    <t>S012</t>
  </si>
  <si>
    <t>Novafos Spildevand Egedal A/S</t>
  </si>
  <si>
    <t>S013</t>
  </si>
  <si>
    <t>Energi Viborg Vand A/S</t>
  </si>
  <si>
    <t>S014</t>
  </si>
  <si>
    <t>DIN Forsyning Spildevand A/S</t>
  </si>
  <si>
    <t>S015</t>
  </si>
  <si>
    <t>Favrskov Spildevand A/S</t>
  </si>
  <si>
    <t>S017</t>
  </si>
  <si>
    <t>Faxe Spildevand A/S</t>
  </si>
  <si>
    <t>S018</t>
  </si>
  <si>
    <t>Faxe Spildevandscenter A/S</t>
  </si>
  <si>
    <t>S019</t>
  </si>
  <si>
    <t>FFV Spildevand A/S</t>
  </si>
  <si>
    <t>S020</t>
  </si>
  <si>
    <t>Forsyning Helsingør Spildevand A/S</t>
  </si>
  <si>
    <t>S021</t>
  </si>
  <si>
    <t>Fredensborg Spildevand A/S</t>
  </si>
  <si>
    <t>S022</t>
  </si>
  <si>
    <t>FREDERICIA SPILDEVAND OG ENERGI A/S</t>
  </si>
  <si>
    <t>S023</t>
  </si>
  <si>
    <t>Frederiksberg Kloak A/S</t>
  </si>
  <si>
    <t>S024</t>
  </si>
  <si>
    <t>Frederikshavn Spildevand A/S</t>
  </si>
  <si>
    <t>S025</t>
  </si>
  <si>
    <t>Novafos Spildevand Frederikssund A/S</t>
  </si>
  <si>
    <t>S026</t>
  </si>
  <si>
    <t>Novafos Spildevand Furesø A/S</t>
  </si>
  <si>
    <t>S027</t>
  </si>
  <si>
    <t>Novafos Spildevand Gentofte A/S</t>
  </si>
  <si>
    <t>S028</t>
  </si>
  <si>
    <t>Novafos Spildevand Gladsaxe A/S</t>
  </si>
  <si>
    <t>S029</t>
  </si>
  <si>
    <t>Glostrup Spildevand a/s</t>
  </si>
  <si>
    <t>S030</t>
  </si>
  <si>
    <t>GREVE SPILDEVAND A/S</t>
  </si>
  <si>
    <t>S031</t>
  </si>
  <si>
    <t>Gribvand Spildevand A/S</t>
  </si>
  <si>
    <t>S032</t>
  </si>
  <si>
    <t>Guldborgsund Spildevand A/S</t>
  </si>
  <si>
    <t>S033</t>
  </si>
  <si>
    <t>Haderslev Spildevand A/S</t>
  </si>
  <si>
    <t>S034</t>
  </si>
  <si>
    <t>HALSNÆS SPILDEVAND A/S</t>
  </si>
  <si>
    <t>S035</t>
  </si>
  <si>
    <t>Hedensted Spildevand</t>
  </si>
  <si>
    <t>S036</t>
  </si>
  <si>
    <t>Herning Rens A/S</t>
  </si>
  <si>
    <t>S037</t>
  </si>
  <si>
    <t>Herning Vand A/S</t>
  </si>
  <si>
    <t>S038</t>
  </si>
  <si>
    <t>Hillerød Spildevand A/S</t>
  </si>
  <si>
    <t>S039</t>
  </si>
  <si>
    <t>Hjørring Vandselskab A/S</t>
  </si>
  <si>
    <t>S040</t>
  </si>
  <si>
    <t>HOFOR Spildevand Albertslund A/S</t>
  </si>
  <si>
    <t>S041</t>
  </si>
  <si>
    <t>HOFOR Spildevand Herlev A/S</t>
  </si>
  <si>
    <t>S043</t>
  </si>
  <si>
    <t>HOFOR Spildevand Hvidovre A/S</t>
  </si>
  <si>
    <t>S044</t>
  </si>
  <si>
    <t>HOFOR Spildevand København A/S</t>
  </si>
  <si>
    <t>S045</t>
  </si>
  <si>
    <t>HOFOR Spildevand Rødovre A/S</t>
  </si>
  <si>
    <t>S046</t>
  </si>
  <si>
    <t>FORS Spildevand Holbæk A/S</t>
  </si>
  <si>
    <t>S047</t>
  </si>
  <si>
    <t>HORSENS VAND A/S</t>
  </si>
  <si>
    <t>S048</t>
  </si>
  <si>
    <t>HTK Kloak A/S</t>
  </si>
  <si>
    <t>S049</t>
  </si>
  <si>
    <t>Novafos Spildevand Hørsholm A/S</t>
  </si>
  <si>
    <t>S051</t>
  </si>
  <si>
    <t>IKAST-BRANDE SPILDEVAND A/S</t>
  </si>
  <si>
    <t>S052</t>
  </si>
  <si>
    <t>Ishøj Spildevand A/S</t>
  </si>
  <si>
    <t>S053</t>
  </si>
  <si>
    <t>Jammerbugt Forsyning A/S</t>
  </si>
  <si>
    <t>S054</t>
  </si>
  <si>
    <t>KALUNDBORG RENSEANLÆG A/S</t>
  </si>
  <si>
    <t>S055</t>
  </si>
  <si>
    <t>KALUNDBORG SPILDEVANDSANLÆG A/S</t>
  </si>
  <si>
    <t>S056</t>
  </si>
  <si>
    <t>KERTEMINDE FORSYNING - SPILDEVAND A/S</t>
  </si>
  <si>
    <t>S057</t>
  </si>
  <si>
    <t>BlueKolding Spildevand A/S</t>
  </si>
  <si>
    <t>S058</t>
  </si>
  <si>
    <t>Køge Afløb A/S</t>
  </si>
  <si>
    <t>S059</t>
  </si>
  <si>
    <t>FORS Spildevand Lejre A/S</t>
  </si>
  <si>
    <t>S061</t>
  </si>
  <si>
    <t>Lemvig Vand &amp; Spildevand A/S</t>
  </si>
  <si>
    <t>S062</t>
  </si>
  <si>
    <t>Lolland Spildevand A/S</t>
  </si>
  <si>
    <t>S063</t>
  </si>
  <si>
    <t>Lyngby-Taarbæk Spildevand A/S</t>
  </si>
  <si>
    <t>S064</t>
  </si>
  <si>
    <t>Mariagerfjord Vand a/s</t>
  </si>
  <si>
    <t>S066</t>
  </si>
  <si>
    <t>Middelfart Spildevand A/S</t>
  </si>
  <si>
    <t>S067</t>
  </si>
  <si>
    <t>MORSØ SPILDEVAND A/S</t>
  </si>
  <si>
    <t>S068</t>
  </si>
  <si>
    <t>Mølleåværket A/S</t>
  </si>
  <si>
    <t>S069</t>
  </si>
  <si>
    <t>Novafos Måløv Rens A/S</t>
  </si>
  <si>
    <t>S070</t>
  </si>
  <si>
    <t>NFS Spildevand A/S</t>
  </si>
  <si>
    <t>S071</t>
  </si>
  <si>
    <t>NK-Spildevand A/S</t>
  </si>
  <si>
    <t>S072</t>
  </si>
  <si>
    <t>Odder Spildevand A/S</t>
  </si>
  <si>
    <t>S073</t>
  </si>
  <si>
    <t>Odsherred Spildevand A/S</t>
  </si>
  <si>
    <t>S074</t>
  </si>
  <si>
    <t>Vandmiljø Randers A/S</t>
  </si>
  <si>
    <t>S075</t>
  </si>
  <si>
    <t>REBILD VAND &amp; SPILDEVAND A/S</t>
  </si>
  <si>
    <t>S076</t>
  </si>
  <si>
    <t>Ringkøbing-Skjern Spildevand A/S</t>
  </si>
  <si>
    <t>S077</t>
  </si>
  <si>
    <t>Ringsted Centralrenseanlæg A/S</t>
  </si>
  <si>
    <t>S078</t>
  </si>
  <si>
    <t>Ringsted Spildevand A/S</t>
  </si>
  <si>
    <t>S079</t>
  </si>
  <si>
    <t>Fors Spildevand Roskilde A/S</t>
  </si>
  <si>
    <t>S080</t>
  </si>
  <si>
    <t>Novafos Spildevand Rudersdal A/S</t>
  </si>
  <si>
    <t>S081</t>
  </si>
  <si>
    <t>Silkeborg Spildevand A/S</t>
  </si>
  <si>
    <t>S083</t>
  </si>
  <si>
    <t>SK SPILDEVAND A/S</t>
  </si>
  <si>
    <t>S084</t>
  </si>
  <si>
    <t>Skanderborg Spildevand A/S</t>
  </si>
  <si>
    <t>S085</t>
  </si>
  <si>
    <t>Skive Vand A/S</t>
  </si>
  <si>
    <t>S086</t>
  </si>
  <si>
    <t>SOLRØD SPILDEVAND A/S</t>
  </si>
  <si>
    <t>S087</t>
  </si>
  <si>
    <t>Sorø Spildevand A/S</t>
  </si>
  <si>
    <t>S088</t>
  </si>
  <si>
    <t>Stevns Spildevand A/S</t>
  </si>
  <si>
    <t>S089</t>
  </si>
  <si>
    <t>STRUER ENERGI SPILDEVAND A/S</t>
  </si>
  <si>
    <t>S090</t>
  </si>
  <si>
    <t>Svendborg Spildevand A/S</t>
  </si>
  <si>
    <t>S091</t>
  </si>
  <si>
    <t>Syddjurs Spildevand A/S</t>
  </si>
  <si>
    <t>S092</t>
  </si>
  <si>
    <t>Sønderborg Spildevandsforsyning A/S</t>
  </si>
  <si>
    <t>S093</t>
  </si>
  <si>
    <t>Thisted Renseanlæg A/S</t>
  </si>
  <si>
    <t>S094</t>
  </si>
  <si>
    <t>Thisted Spildevand Transport A/S</t>
  </si>
  <si>
    <t>S095</t>
  </si>
  <si>
    <t>Tønder Spildevand A/S</t>
  </si>
  <si>
    <t>S096</t>
  </si>
  <si>
    <t>TÅRNBYFORSYNING Spildevand</t>
  </si>
  <si>
    <t>S097</t>
  </si>
  <si>
    <t>Vandcenter Syd A/S</t>
  </si>
  <si>
    <t>S099</t>
  </si>
  <si>
    <t>Vejen Renseanlæg</t>
  </si>
  <si>
    <t>S101</t>
  </si>
  <si>
    <t>Vejen Spildevand</t>
  </si>
  <si>
    <t>S102</t>
  </si>
  <si>
    <t>Vejle Spildevand a/s</t>
  </si>
  <si>
    <t>S103</t>
  </si>
  <si>
    <t>Vestforsyning Spildevand A/S</t>
  </si>
  <si>
    <t>S104</t>
  </si>
  <si>
    <t>Vesthimmerlands Vand A/S</t>
  </si>
  <si>
    <t>S105</t>
  </si>
  <si>
    <t>Vordingborg Spildevand A/S</t>
  </si>
  <si>
    <t>S107</t>
  </si>
  <si>
    <t>AALBORG KLOAK A/S</t>
  </si>
  <si>
    <t>S109</t>
  </si>
  <si>
    <t>Aarhus Vand A/S</t>
  </si>
  <si>
    <t>S110</t>
  </si>
  <si>
    <t>RINGKØBING-SKJERN RENSEANLÆG A/S</t>
  </si>
  <si>
    <t>S111</t>
  </si>
  <si>
    <t>Grindsted Renseanlæg A/S</t>
  </si>
  <si>
    <t>S112</t>
  </si>
  <si>
    <t>OBS - alle omkostninger er i 2022 niveau</t>
  </si>
  <si>
    <t>Alder</t>
  </si>
  <si>
    <t>Tæthed</t>
  </si>
  <si>
    <t>OPEX-Netvolumemål</t>
  </si>
  <si>
    <t>CAPEX-Netvolumemål</t>
  </si>
  <si>
    <t>Faktiske 
driftsomkostninger</t>
  </si>
  <si>
    <t>Faktiske anlægsomkostninger</t>
  </si>
  <si>
    <t>Samlede omkostninger 
(inden øa og sf er fratrukket)</t>
  </si>
  <si>
    <t>Øvrige aktiver</t>
  </si>
  <si>
    <t>Særlige forhold</t>
  </si>
  <si>
    <t>Omkostninger til benchmarking</t>
  </si>
  <si>
    <t>Adresser pr. km ledning</t>
  </si>
  <si>
    <t>Netvolumenmål</t>
  </si>
  <si>
    <t>FADO2021</t>
  </si>
  <si>
    <t>Historiske investeringer</t>
  </si>
  <si>
    <t>Finansielle omkostninger ifølge årsrapport</t>
  </si>
  <si>
    <t>Gennemførte Investeringer</t>
  </si>
  <si>
    <t>Totale anlægsomkostninger</t>
  </si>
  <si>
    <r>
      <t xml:space="preserve">Samlede påvirkelige omkostninger 
</t>
    </r>
    <r>
      <rPr>
        <b/>
        <sz val="11"/>
        <color theme="5" tint="-0.249977111117893"/>
        <rFont val="Calibri"/>
        <family val="2"/>
        <scheme val="minor"/>
      </rPr>
      <t>(</t>
    </r>
    <r>
      <rPr>
        <b/>
        <i/>
        <sz val="11"/>
        <color theme="5" tint="-0.249977111117893"/>
        <rFont val="Calibri"/>
        <family val="2"/>
        <scheme val="minor"/>
      </rPr>
      <t>inden</t>
    </r>
    <r>
      <rPr>
        <b/>
        <sz val="11"/>
        <color theme="5" tint="-0.249977111117893"/>
        <rFont val="Calibri"/>
        <family val="2"/>
        <scheme val="minor"/>
      </rPr>
      <t xml:space="preserve"> øvrige aktiver og særlige forhold)</t>
    </r>
  </si>
  <si>
    <r>
      <t xml:space="preserve">Særlige forhold
</t>
    </r>
    <r>
      <rPr>
        <b/>
        <i/>
        <sz val="11"/>
        <color theme="1"/>
        <rFont val="Calibri"/>
        <family val="2"/>
        <scheme val="minor"/>
      </rPr>
      <t>Driftsomkostninger</t>
    </r>
  </si>
  <si>
    <r>
      <t>Særlige forhold
A</t>
    </r>
    <r>
      <rPr>
        <b/>
        <i/>
        <sz val="11"/>
        <color theme="1"/>
        <rFont val="Calibri"/>
        <family val="2"/>
        <scheme val="minor"/>
      </rPr>
      <t>nlægsomkostninger</t>
    </r>
  </si>
  <si>
    <t>FADO
- særlige forhold</t>
  </si>
  <si>
    <t>Totale anlægsomkostninger
- særlige forhold
- øvrige aktiver</t>
  </si>
  <si>
    <t>FATO
- Øvrige aktiver
- Særlige forhold</t>
  </si>
  <si>
    <t>Driftsomkostninger der skal holdes ude af BM af specielle årsager</t>
  </si>
  <si>
    <t>Ny alder</t>
  </si>
  <si>
    <t>FADO2022</t>
  </si>
  <si>
    <t xml:space="preserve">FATO
- Øvrige aktiver
- Særlige forhold
</t>
  </si>
  <si>
    <t>Variable til korrektion af netvolumenmål</t>
  </si>
  <si>
    <t>Driftsomkostninger</t>
  </si>
  <si>
    <t>Anlægsomkostninger</t>
  </si>
  <si>
    <r>
      <t xml:space="preserve">Variable fastfrosset til frontfastlæggelse: </t>
    </r>
    <r>
      <rPr>
        <b/>
        <u/>
        <sz val="10"/>
        <color theme="1"/>
        <rFont val="Calibri"/>
        <family val="2"/>
        <scheme val="minor"/>
      </rPr>
      <t>d. 01-09-2023</t>
    </r>
  </si>
  <si>
    <t>Omkostninger</t>
  </si>
  <si>
    <t>Tæthed (adresser pr. km ledning)</t>
  </si>
  <si>
    <r>
      <t xml:space="preserve">OPEX-netvolumenmål 
</t>
    </r>
    <r>
      <rPr>
        <b/>
        <i/>
        <sz val="11"/>
        <color theme="1"/>
        <rFont val="Calibri"/>
        <family val="2"/>
        <scheme val="minor"/>
      </rPr>
      <t>Ukorrigeret</t>
    </r>
  </si>
  <si>
    <r>
      <t xml:space="preserve">OPEX-netvolumenmål
</t>
    </r>
    <r>
      <rPr>
        <b/>
        <i/>
        <sz val="11"/>
        <rFont val="Calibri"/>
        <family val="2"/>
        <scheme val="minor"/>
      </rPr>
      <t>Alders- og tæthedskorrigeret</t>
    </r>
  </si>
  <si>
    <r>
      <t xml:space="preserve">CAPEX-netvolumenmål
</t>
    </r>
    <r>
      <rPr>
        <b/>
        <i/>
        <sz val="11"/>
        <color theme="1"/>
        <rFont val="Calibri"/>
        <family val="2"/>
        <scheme val="minor"/>
      </rPr>
      <t>Ukorrigeret</t>
    </r>
    <r>
      <rPr>
        <b/>
        <sz val="11"/>
        <color theme="1"/>
        <rFont val="Calibri"/>
        <family val="2"/>
        <scheme val="minor"/>
      </rPr>
      <t xml:space="preserve">
</t>
    </r>
  </si>
  <si>
    <r>
      <t xml:space="preserve">CAPEX-netvolumenmål
</t>
    </r>
    <r>
      <rPr>
        <b/>
        <i/>
        <sz val="11"/>
        <rFont val="Calibri"/>
        <family val="2"/>
        <scheme val="minor"/>
      </rPr>
      <t>Alders- og tæthedskorrigeret</t>
    </r>
  </si>
  <si>
    <t>FADO</t>
  </si>
  <si>
    <t xml:space="preserve">Historiske investeringer. </t>
  </si>
  <si>
    <t>OPEX-netvolumenmål
ukorrigeret</t>
  </si>
  <si>
    <t xml:space="preserve">OPEX-netvolumenmål
Alders- og tæthedskorrigeret </t>
  </si>
  <si>
    <t>CAPEX-netvolumenmål
ukorrigeret</t>
  </si>
  <si>
    <t>Alders- og tæthedskorrigeret CAPEX netvolumenmål</t>
  </si>
  <si>
    <t>Konstant/Skæring</t>
  </si>
  <si>
    <t>Alderskoefficient</t>
  </si>
  <si>
    <t>Tæthedskoefficient</t>
  </si>
  <si>
    <t>ID Nummer</t>
  </si>
  <si>
    <t>Netvolumenmål CAPEX</t>
  </si>
  <si>
    <t>Netvolumenbidrag OPEX</t>
  </si>
  <si>
    <t>Adresser pr. m ledning</t>
  </si>
  <si>
    <t>ledninger</t>
  </si>
  <si>
    <t>Pumpestationer</t>
  </si>
  <si>
    <t>Regnvandsbassiner</t>
  </si>
  <si>
    <t>Spildevandsbassiner</t>
  </si>
  <si>
    <t>Renseanlæg</t>
  </si>
  <si>
    <t>Minirenseanlæg</t>
  </si>
  <si>
    <t>Slambehandling</t>
  </si>
  <si>
    <t>Slamdisponering</t>
  </si>
  <si>
    <t>Målerer og kunder</t>
  </si>
  <si>
    <t>Generel Administration</t>
  </si>
  <si>
    <t>Postadresser</t>
  </si>
  <si>
    <t>Ledninger</t>
  </si>
  <si>
    <t>Kunder</t>
  </si>
  <si>
    <t xml:space="preserve">Generel adm. </t>
  </si>
  <si>
    <t>Sommerhus + Land
(km)</t>
  </si>
  <si>
    <t>By
(km)</t>
  </si>
  <si>
    <t>City
(km)</t>
  </si>
  <si>
    <t>Indre city
(km)</t>
  </si>
  <si>
    <t>Rørbassin
(km)</t>
  </si>
  <si>
    <t>Antal husstands-pumper
(stk)</t>
  </si>
  <si>
    <t>Antal
0 l/s - 10 l/s
(stk)</t>
  </si>
  <si>
    <t>Antal
11 l/s - 100 l/s
(stk)</t>
  </si>
  <si>
    <t>Samlet kapacitet
ml 101 l/s -600 l/s
(l/s)</t>
  </si>
  <si>
    <t>Samlet kapacitet
over 600 l/s 
(l/s)</t>
  </si>
  <si>
    <t>Vedligeholdelses-
areal, land
(m2)</t>
  </si>
  <si>
    <t>Vedligeholdelses-
areal, by
(m2)</t>
  </si>
  <si>
    <t>Volumen
(m3)</t>
  </si>
  <si>
    <t>Belastning (NVM)</t>
  </si>
  <si>
    <t>Antal minirenseanlæg
(stk)</t>
  </si>
  <si>
    <t>Normal behandling
(TT før beh.)</t>
  </si>
  <si>
    <t>Anaerob udrådning
(TT før beh.)</t>
  </si>
  <si>
    <t>Slammineraliseringsanlæg
(TT før beh.)</t>
  </si>
  <si>
    <t>Jordbrugsformål
(TT efter beh.)</t>
  </si>
  <si>
    <t>Kompostering
(TT efter beh.)</t>
  </si>
  <si>
    <t>Forbrænding/Deponering
(TT efter beh.)</t>
  </si>
  <si>
    <t>Antal målere
(stk)</t>
  </si>
  <si>
    <t>Debiteret vandmængde
(m3)</t>
  </si>
  <si>
    <t>Selskabstype</t>
  </si>
  <si>
    <t>Produktion</t>
  </si>
  <si>
    <t>Distribution</t>
  </si>
  <si>
    <t>Fælles</t>
  </si>
  <si>
    <t>t</t>
  </si>
  <si>
    <t>t+r</t>
  </si>
  <si>
    <t>r</t>
  </si>
  <si>
    <t>ID-Nummer</t>
  </si>
  <si>
    <t>Adresser pr. ledning</t>
  </si>
  <si>
    <t>Zone</t>
  </si>
  <si>
    <t>Rensetype</t>
  </si>
  <si>
    <t>Godkendt 
kapacitet
(PE)</t>
  </si>
  <si>
    <t>Faktisk belastning
i BOD
(PE)</t>
  </si>
  <si>
    <t>Faktisk belastning
i COD
(PE)</t>
  </si>
  <si>
    <t>Faktisk belastning
i N
(PE)</t>
  </si>
  <si>
    <t>Netvolumenbidrag</t>
  </si>
  <si>
    <t>Netvolumenbidrag på selskabsniveau</t>
  </si>
  <si>
    <t>2021 afskrivninger</t>
  </si>
  <si>
    <t>2022 afskrivninger</t>
  </si>
  <si>
    <t>2021-total (i 2022 niveau)</t>
  </si>
  <si>
    <t>2022-total (i 2022 niveau)</t>
  </si>
  <si>
    <t>Afløb Ballerup A/S</t>
  </si>
  <si>
    <t>Allerød Spildevand A/S</t>
  </si>
  <si>
    <t>AquaDjurs A/S</t>
  </si>
  <si>
    <t>Arwos Spildevand A/S</t>
  </si>
  <si>
    <t>Assens Rensning A/S</t>
  </si>
  <si>
    <t>Biofos Lynettefællesskabet A/S</t>
  </si>
  <si>
    <t>Biofos Spildevandscenter Avedøre A/S</t>
  </si>
  <si>
    <t>Egedal Spildevand A/S</t>
  </si>
  <si>
    <t>Din Forsyning A/S</t>
  </si>
  <si>
    <t>Frederikssund Spildevand A/S</t>
  </si>
  <si>
    <t>Furesø Spildevand A/S</t>
  </si>
  <si>
    <t>Gentofte Spildevand A/S</t>
  </si>
  <si>
    <t>Gladsaxe Spildevand A/S</t>
  </si>
  <si>
    <t>Glostrup Spildevand A/S</t>
  </si>
  <si>
    <t>Greve Spildevand A/S</t>
  </si>
  <si>
    <t>Holbæk Spildevand A/S</t>
  </si>
  <si>
    <t>Horsens Vand A/S</t>
  </si>
  <si>
    <t>Hørsholm Vand ApS</t>
  </si>
  <si>
    <t>Ikast-Brande Spildevand A/S</t>
  </si>
  <si>
    <t>Kalundborg Renseanlæg A/S</t>
  </si>
  <si>
    <t>Kalundborg Spildevandsanlæg A/S</t>
  </si>
  <si>
    <t>Kerteminde Forsyning - Spildevand A/S</t>
  </si>
  <si>
    <t>Kolding Spildevand A/S</t>
  </si>
  <si>
    <t>Lejre Spildevand A/S</t>
  </si>
  <si>
    <t>Mariagerfjord Vand A/S</t>
  </si>
  <si>
    <t>Morsø Forsyning A/S</t>
  </si>
  <si>
    <t>Måløv Rens A/S</t>
  </si>
  <si>
    <t>Randers Spildevand A/S</t>
  </si>
  <si>
    <t>Rebild Vand &amp; Spildevand A/S</t>
  </si>
  <si>
    <t>Roskilde Spildevand A/S</t>
  </si>
  <si>
    <t>Rudersdal Forsyning A/S</t>
  </si>
  <si>
    <t>SK Spildevand A/S</t>
  </si>
  <si>
    <t>Skanderborg Forsyningsvirksomhed A/S</t>
  </si>
  <si>
    <t>Solrød Spildevand A/S</t>
  </si>
  <si>
    <t>Struer Forsyning Spildevand A/S</t>
  </si>
  <si>
    <t>Vejle Spildevand A/S</t>
  </si>
  <si>
    <t>Aalborg Forsyning, Kloak A/S</t>
  </si>
  <si>
    <t>Grindsted Renseanlæg</t>
  </si>
  <si>
    <t>NAVN</t>
  </si>
  <si>
    <t>ID</t>
  </si>
  <si>
    <t>ALDER</t>
  </si>
  <si>
    <t>TAETHED</t>
  </si>
  <si>
    <t>OPEX_U</t>
  </si>
  <si>
    <t>OPEX_KOR</t>
  </si>
  <si>
    <t>CAPEX_U</t>
  </si>
  <si>
    <t>CAPEX_KOR</t>
  </si>
  <si>
    <t>INV_OMK</t>
  </si>
  <si>
    <t>FATO</t>
  </si>
  <si>
    <t>ALDER_FROSSET</t>
  </si>
  <si>
    <t>TAETHED_FROSSET</t>
  </si>
  <si>
    <t>OPEX_U_FROSSET</t>
  </si>
  <si>
    <t>OPEX_KOR_FROSSET</t>
  </si>
  <si>
    <t>CAPEX_U_FROSSET</t>
  </si>
  <si>
    <t>CAPEX_KOR_FROSSET</t>
  </si>
  <si>
    <t>FADO_FROSSET</t>
  </si>
  <si>
    <t>INV_OMK_FROSSET</t>
  </si>
  <si>
    <t>FATO_FROSSET</t>
  </si>
  <si>
    <t>TYPE</t>
  </si>
  <si>
    <t>Pumpe</t>
  </si>
  <si>
    <t>Regnbas</t>
  </si>
  <si>
    <t>Spildebas</t>
  </si>
  <si>
    <t>Rense</t>
  </si>
  <si>
    <t>Minirense</t>
  </si>
  <si>
    <t>Behandling</t>
  </si>
  <si>
    <t>Disponering</t>
  </si>
  <si>
    <t>Adm</t>
  </si>
  <si>
    <t>Prod</t>
  </si>
  <si>
    <t>Dist</t>
  </si>
  <si>
    <t>Faelles</t>
  </si>
  <si>
    <t>BoT</t>
  </si>
  <si>
    <t>Variabel</t>
  </si>
  <si>
    <t>Beskrivelse</t>
  </si>
  <si>
    <t>Navn på selskab</t>
  </si>
  <si>
    <t>ID på selskab</t>
  </si>
  <si>
    <t>Alderen på selskabets anlægsaktiver</t>
  </si>
  <si>
    <t>Antal postadresser per km ledningsnet</t>
  </si>
  <si>
    <t>Ukorrigeret OPEX-Netvolumenmål - gennemsnit af 2021 og 2022</t>
  </si>
  <si>
    <t>Korrigeret OPEX-Netvolumenmål - gennemsnit af 2021 og 2022</t>
  </si>
  <si>
    <t>Ukorrigeret CAPEX-Netvolumenmål - gennemsnit af 2021 og 2022</t>
  </si>
  <si>
    <t>Korrigeret CAPEX-Netvolumenmål - gennemsnit af 2021 og 2022</t>
  </si>
  <si>
    <t>Faktiske driftsomkostninger fratrukket særlige forhold - gennemsnit af 2021 og 2022</t>
  </si>
  <si>
    <t>Investeringsomkostninger - gennemsnit af 2021 og 2022</t>
  </si>
  <si>
    <t>Totalomkostninger (FADO + INV) - gennemnsnit af 2021 og 2022</t>
  </si>
  <si>
    <t>Anlægsaktivernes alder fastfrosset til fronten - gennemsnit af 2021 og 2022</t>
  </si>
  <si>
    <t>Postadresser over kilometer ledninger fastfrosset til fronten - gennemsnit af 2021 og 2022</t>
  </si>
  <si>
    <t>Ukorrigeret OPEX-Netvolumenmål fastfrosset til fronten - gennemsnit af 2021 og 2022</t>
  </si>
  <si>
    <t>Korrigeret OPEX-Netvolumenmål fastfrosset til fronten - gennemsnit af 2021 og 2022</t>
  </si>
  <si>
    <t>Ukorrigeret CAPEX-Netvolumenmål fasfrosset til fronten - gennemsnit af 2021 og 2022</t>
  </si>
  <si>
    <r>
      <t>FADO_FROSSET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</si>
  <si>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Faktiske driftsomkostninger fratrukket særlige forhold fastfrosset til fronten - gennemsnit af 2021 og 2022</t>
  </si>
  <si>
    <r>
      <t>INV_OMK_FROSSET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</si>
  <si>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t>Investeringsomkostninger fastfrosset til fronten - gennemsnit af 2021 og 2022</t>
  </si>
  <si>
    <t>Totalomkostninger (FADO + INV) fastfrosset til fronten - gennemsnit af 2021 og 2022</t>
  </si>
  <si>
    <t>Selskabstype - renseselskab (r), transportselskab (t) eller rense- og transportselskab (t + r)</t>
  </si>
  <si>
    <t>Ledningers netvolumenbidrag til OPEX</t>
  </si>
  <si>
    <t>Pumpestationers netvolumenbidrag til OPEX</t>
  </si>
  <si>
    <t>Regnvandsbassiners netvolumenbidrag til OPEX</t>
  </si>
  <si>
    <t>Spildevandsbassiners netvolumenbidrag til OPEX</t>
  </si>
  <si>
    <t>Renseanlægs netvolumenbidrag til OPEX</t>
  </si>
  <si>
    <t>Minirenseanlægs netvolumenbidrag til OPEX</t>
  </si>
  <si>
    <t>Slambehandlingens netvolumenbidrag til OPEX</t>
  </si>
  <si>
    <t>Slamdisponeringens netvolumenbidrag til OPEX</t>
  </si>
  <si>
    <t>Kunders netvolumenbidrag til OPEX</t>
  </si>
  <si>
    <t>Generel administrations netvolumenbidrag til OPEX</t>
  </si>
  <si>
    <t>Produktionsanlægs netvolumenbidrag til CAPEX</t>
  </si>
  <si>
    <t>Distributionsanlægs netvolumenbidrag til CAPEX</t>
  </si>
  <si>
    <t>Fællesfunktionsanlægs netvolumenbidrag til CAPEX</t>
  </si>
  <si>
    <t xml:space="preserve">Best-of-two efficiens score fastfrosset ved frontfastlæggelse - til brug for costdriveranalysen </t>
  </si>
  <si>
    <t>1: FATO og FATO_FROSSET er fratrukket særlige forhold og øvrige aktiver</t>
  </si>
  <si>
    <t>2: FADO og FADO_FROSSET er fratrukket særlige forhold</t>
  </si>
  <si>
    <t>3: INV_OMK og INV_OMK_FROSSET er fratrukket særlige forhold og øvrige aktiver</t>
  </si>
  <si>
    <t>Landzone og sommerhusområde</t>
  </si>
  <si>
    <t>MBNKD</t>
  </si>
  <si>
    <t>MBN</t>
  </si>
  <si>
    <t>Byzone</t>
  </si>
  <si>
    <t>MBK</t>
  </si>
  <si>
    <t>MBNK/MBND</t>
  </si>
  <si>
    <t>MB</t>
  </si>
  <si>
    <t>BILLUND SPILDEVAND A/S</t>
  </si>
  <si>
    <t>BIOFOS LYNETTEFÆLLESSKABET A/S</t>
  </si>
  <si>
    <t>BIOFOS SPILDEVANDSCENTER AVEDØRE A/S</t>
  </si>
  <si>
    <t>BORNHOLMS SPILDEVAND A/S</t>
  </si>
  <si>
    <t>BRØNDERSLEV SPILDEVAND A/S</t>
  </si>
  <si>
    <t>ENERGI VIBORG VAND A/S</t>
  </si>
  <si>
    <t>M</t>
  </si>
  <si>
    <t>FAVRSKOV SPILDEVAND A/S</t>
  </si>
  <si>
    <t>FAXE SPILDEVANDSCENTER A/S</t>
  </si>
  <si>
    <t>FFV SPILDEVAND A/S</t>
  </si>
  <si>
    <t>FORSYNING HELSINGØR SPILDEVAND A/S</t>
  </si>
  <si>
    <t>FREDENSBORG SPILDEVAND A/S</t>
  </si>
  <si>
    <t>FREDERIKSHAVN SPILDEVAND A/S</t>
  </si>
  <si>
    <t>GRIBVAND SPILDEVAND A/S</t>
  </si>
  <si>
    <t>GULDBORGSUND SPILDEVAND A/S</t>
  </si>
  <si>
    <t>PROVAS-HADERSLEV SPILDEVAND A/S</t>
  </si>
  <si>
    <t>MK</t>
  </si>
  <si>
    <t>HEDENSTED SPILDEVAND A/S</t>
  </si>
  <si>
    <t>HERNING RENS A/S</t>
  </si>
  <si>
    <t>HILLERØD SPILDEVAND A/S</t>
  </si>
  <si>
    <t>HJØRRING VANDSELSKAB A/S</t>
  </si>
  <si>
    <t>HTK KLOAK A/S</t>
  </si>
  <si>
    <t>JAMMERBUGT FORSYNING A/S</t>
  </si>
  <si>
    <t>Landzone</t>
  </si>
  <si>
    <t>KØGE AFLØB A/S</t>
  </si>
  <si>
    <t>LEMVIG VAND A/S</t>
  </si>
  <si>
    <t>LOLLAND SPILDEVAND A/S</t>
  </si>
  <si>
    <t>MARIAGERFJORD VAND A/S</t>
  </si>
  <si>
    <t>MIDDELFART SPILDEVAND A/S</t>
  </si>
  <si>
    <t>MØLLEÅVÆRKET A/S</t>
  </si>
  <si>
    <t>NFS SPILDEVAND A/S</t>
  </si>
  <si>
    <t>NK-SPILDEVAND A/S</t>
  </si>
  <si>
    <t>ODDER SPILDEVAND A/S</t>
  </si>
  <si>
    <t>ODSHERRED SPILDEVAND A/S</t>
  </si>
  <si>
    <t>RINGSTED CENTRALRENSEANLÆG A/S</t>
  </si>
  <si>
    <t>RINGSTED SPILDEVAND A/S</t>
  </si>
  <si>
    <t>FORS Spildevand Roskilde A/S</t>
  </si>
  <si>
    <t>SILKEBORG SPILDEVAND A/S</t>
  </si>
  <si>
    <t>SKIVE VAND A/S</t>
  </si>
  <si>
    <t>STEVNS SPILDEVAND A/S</t>
  </si>
  <si>
    <t>SVENDBORG SPILDEVAND A/S</t>
  </si>
  <si>
    <t>SYDDJURS SPILDEVAND A/S</t>
  </si>
  <si>
    <t>SØNDERBORG SPILDEVANDSFORSYNING A/S</t>
  </si>
  <si>
    <t>THISTED RENSEANLÆG A/S</t>
  </si>
  <si>
    <t>TØNDER SPILDEVAND A/S</t>
  </si>
  <si>
    <t>TÅRNBYFORSYNING SPILDEVAND A/S</t>
  </si>
  <si>
    <t>VANDCENTER SYD A/S</t>
  </si>
  <si>
    <t>VEJEN RENSEANLÆG A/S</t>
  </si>
  <si>
    <t>VEJLE SPILDEVAND A/S</t>
  </si>
  <si>
    <t>VESTFORSYNING SPILDEVAND A/S</t>
  </si>
  <si>
    <t>VESTHIMMERLANDS VAND A/S</t>
  </si>
  <si>
    <t>VORDINGBORG SPILDEVAND A/S</t>
  </si>
  <si>
    <t>AARHUS VAND A/S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</si>
</sst>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\ _k_r_._-;\-* #,##0.00\ _k_r_._-;_-* &quot;-&quot;??\ _k_r_._-;_-@_-"/>
    <numFmt numFmtId="164" formatCode="_ * #,##0.00_ ;_ * \-#,##0.00_ ;_ * &quot;-&quot;??_ ;_ @_ "/>
    <numFmt numFmtId="165" formatCode="_ * #,##0_ ;_ * \-#,##0_ ;_ * &quot;-&quot;??_ ;_ @_ "/>
    <numFmt numFmtId="166" formatCode="0.00000000%"/>
    <numFmt numFmtId="167" formatCode="0.000"/>
    <numFmt numFmtId="168" formatCode="_ * #,##0.0000000_ ;_ * \-#,##0.0000000_ ;_ * &quot;-&quot;??_ ;_ @_ "/>
    <numFmt numFmtId="169" formatCode="_ * #,##0.00000_ ;_ * \-#,##0.00000_ ;_ * &quot;-&quot;??_ ;_ @_ "/>
    <numFmt numFmtId="174" formatCode="0.0000"/>
    <numFmt numFmtId="175" formatCode="_ * #,##0.0000_ ;_ * \-#,##0.0000_ ;_ * &quot;-&quot;??_ ;_ @_ "/>
    <numFmt numFmtId="176" formatCode="#,##0.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i/>
      <sz val="11"/>
      <color theme="5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9">
    <xf numFmtId="0" fontId="0" fillId="0" borderId="0" xfId="0"/>
    <xf numFmtId="0" fontId="3" fillId="0" borderId="1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wrapText="1"/>
    </xf>
    <xf numFmtId="165" fontId="2" fillId="0" borderId="0" xfId="2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165" fontId="0" fillId="0" borderId="5" xfId="2" applyNumberFormat="1" applyFont="1" applyFill="1" applyBorder="1" applyAlignment="1">
      <alignment wrapText="1"/>
    </xf>
    <xf numFmtId="165" fontId="0" fillId="0" borderId="7" xfId="2" applyNumberFormat="1" applyFont="1" applyFill="1" applyBorder="1" applyAlignment="1">
      <alignment wrapText="1"/>
    </xf>
    <xf numFmtId="165" fontId="0" fillId="0" borderId="6" xfId="2" applyNumberFormat="1" applyFont="1" applyFill="1" applyBorder="1" applyAlignment="1">
      <alignment wrapText="1"/>
    </xf>
    <xf numFmtId="167" fontId="0" fillId="0" borderId="0" xfId="0" applyNumberFormat="1" applyFill="1" applyBorder="1"/>
    <xf numFmtId="167" fontId="0" fillId="0" borderId="6" xfId="0" applyNumberFormat="1" applyFill="1" applyBorder="1" applyAlignment="1">
      <alignment wrapText="1"/>
    </xf>
    <xf numFmtId="164" fontId="0" fillId="0" borderId="0" xfId="2" applyNumberFormat="1" applyFont="1" applyFill="1" applyBorder="1" applyAlignment="1">
      <alignment wrapText="1"/>
    </xf>
    <xf numFmtId="9" fontId="0" fillId="0" borderId="0" xfId="1" applyFont="1" applyFill="1" applyBorder="1" applyAlignment="1">
      <alignment wrapText="1"/>
    </xf>
    <xf numFmtId="10" fontId="0" fillId="0" borderId="0" xfId="1" applyNumberFormat="1" applyFont="1" applyFill="1" applyBorder="1" applyAlignment="1">
      <alignment wrapText="1"/>
    </xf>
    <xf numFmtId="10" fontId="0" fillId="0" borderId="6" xfId="1" applyNumberFormat="1" applyFont="1" applyFill="1" applyBorder="1" applyAlignment="1">
      <alignment wrapText="1"/>
    </xf>
    <xf numFmtId="165" fontId="0" fillId="0" borderId="0" xfId="2" applyNumberFormat="1" applyFont="1" applyFill="1"/>
    <xf numFmtId="168" fontId="0" fillId="0" borderId="0" xfId="2" applyNumberFormat="1" applyFont="1" applyFill="1"/>
    <xf numFmtId="165" fontId="0" fillId="0" borderId="0" xfId="0" applyNumberFormat="1"/>
    <xf numFmtId="9" fontId="0" fillId="0" borderId="0" xfId="1" applyNumberFormat="1" applyFont="1" applyFill="1" applyBorder="1" applyAlignment="1">
      <alignment wrapText="1"/>
    </xf>
    <xf numFmtId="165" fontId="0" fillId="0" borderId="8" xfId="0" applyNumberFormat="1" applyFill="1" applyBorder="1"/>
    <xf numFmtId="165" fontId="0" fillId="0" borderId="9" xfId="2" applyNumberFormat="1" applyFont="1" applyFill="1" applyBorder="1" applyAlignment="1">
      <alignment wrapText="1"/>
    </xf>
    <xf numFmtId="165" fontId="0" fillId="0" borderId="10" xfId="2" applyNumberFormat="1" applyFont="1" applyFill="1" applyBorder="1" applyAlignment="1">
      <alignment wrapText="1"/>
    </xf>
    <xf numFmtId="167" fontId="0" fillId="0" borderId="10" xfId="0" applyNumberFormat="1" applyFill="1" applyBorder="1" applyAlignment="1">
      <alignment wrapText="1"/>
    </xf>
    <xf numFmtId="9" fontId="0" fillId="0" borderId="11" xfId="1" applyFont="1" applyFill="1" applyBorder="1" applyAlignment="1">
      <alignment wrapText="1"/>
    </xf>
    <xf numFmtId="10" fontId="0" fillId="0" borderId="11" xfId="1" applyNumberFormat="1" applyFont="1" applyFill="1" applyBorder="1" applyAlignment="1">
      <alignment wrapText="1"/>
    </xf>
    <xf numFmtId="10" fontId="0" fillId="0" borderId="10" xfId="1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Border="1"/>
    <xf numFmtId="0" fontId="2" fillId="0" borderId="14" xfId="0" applyFont="1" applyFill="1" applyBorder="1" applyAlignment="1">
      <alignment wrapText="1"/>
    </xf>
    <xf numFmtId="0" fontId="2" fillId="0" borderId="15" xfId="0" applyFont="1" applyFill="1" applyBorder="1" applyAlignment="1">
      <alignment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7" xfId="0" applyFont="1" applyFill="1" applyBorder="1" applyAlignment="1">
      <alignment horizontal="center" wrapText="1"/>
    </xf>
    <xf numFmtId="0" fontId="2" fillId="0" borderId="18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5" xfId="0" applyFont="1" applyFill="1" applyBorder="1"/>
    <xf numFmtId="2" fontId="0" fillId="0" borderId="6" xfId="0" applyNumberFormat="1" applyFill="1" applyBorder="1" applyAlignment="1"/>
    <xf numFmtId="2" fontId="0" fillId="0" borderId="8" xfId="2" applyNumberFormat="1" applyFont="1" applyFill="1" applyBorder="1" applyAlignment="1"/>
    <xf numFmtId="165" fontId="0" fillId="0" borderId="0" xfId="2" applyNumberFormat="1" applyFont="1" applyFill="1" applyBorder="1" applyAlignment="1"/>
    <xf numFmtId="165" fontId="0" fillId="0" borderId="6" xfId="2" applyNumberFormat="1" applyFont="1" applyFill="1" applyBorder="1" applyAlignment="1"/>
    <xf numFmtId="164" fontId="0" fillId="0" borderId="19" xfId="2" applyFont="1" applyFill="1" applyBorder="1" applyAlignment="1">
      <alignment wrapText="1"/>
    </xf>
    <xf numFmtId="164" fontId="0" fillId="0" borderId="20" xfId="2" applyFont="1" applyFill="1" applyBorder="1" applyAlignment="1">
      <alignment wrapText="1"/>
    </xf>
    <xf numFmtId="165" fontId="0" fillId="0" borderId="8" xfId="2" applyNumberFormat="1" applyFont="1" applyFill="1" applyBorder="1" applyAlignment="1"/>
    <xf numFmtId="165" fontId="0" fillId="0" borderId="21" xfId="2" applyNumberFormat="1" applyFont="1" applyFill="1" applyBorder="1" applyAlignment="1"/>
    <xf numFmtId="165" fontId="0" fillId="0" borderId="0" xfId="2" applyNumberFormat="1" applyFont="1" applyFill="1" applyBorder="1"/>
    <xf numFmtId="2" fontId="0" fillId="0" borderId="6" xfId="0" applyNumberFormat="1" applyFill="1" applyBorder="1" applyAlignment="1">
      <alignment horizontal="center"/>
    </xf>
    <xf numFmtId="2" fontId="0" fillId="0" borderId="8" xfId="2" applyNumberFormat="1" applyFont="1" applyFill="1" applyBorder="1" applyAlignment="1">
      <alignment horizontal="center"/>
    </xf>
    <xf numFmtId="165" fontId="0" fillId="0" borderId="0" xfId="2" applyNumberFormat="1" applyFont="1" applyFill="1" applyBorder="1" applyAlignment="1">
      <alignment horizontal="center"/>
    </xf>
    <xf numFmtId="0" fontId="2" fillId="0" borderId="9" xfId="0" applyFont="1" applyFill="1" applyBorder="1"/>
    <xf numFmtId="2" fontId="0" fillId="0" borderId="10" xfId="0" applyNumberFormat="1" applyFill="1" applyBorder="1" applyAlignment="1"/>
    <xf numFmtId="2" fontId="0" fillId="0" borderId="12" xfId="2" applyNumberFormat="1" applyFont="1" applyFill="1" applyBorder="1" applyAlignment="1"/>
    <xf numFmtId="165" fontId="0" fillId="0" borderId="11" xfId="2" applyNumberFormat="1" applyFont="1" applyFill="1" applyBorder="1" applyAlignment="1"/>
    <xf numFmtId="164" fontId="0" fillId="0" borderId="22" xfId="2" applyFont="1" applyFill="1" applyBorder="1" applyAlignment="1">
      <alignment wrapText="1"/>
    </xf>
    <xf numFmtId="164" fontId="0" fillId="0" borderId="23" xfId="2" applyFont="1" applyFill="1" applyBorder="1" applyAlignment="1">
      <alignment wrapText="1"/>
    </xf>
    <xf numFmtId="165" fontId="0" fillId="0" borderId="10" xfId="2" applyNumberFormat="1" applyFont="1" applyFill="1" applyBorder="1" applyAlignment="1"/>
    <xf numFmtId="165" fontId="0" fillId="0" borderId="12" xfId="2" applyNumberFormat="1" applyFont="1" applyFill="1" applyBorder="1" applyAlignment="1"/>
    <xf numFmtId="165" fontId="0" fillId="0" borderId="24" xfId="2" applyNumberFormat="1" applyFont="1" applyFill="1" applyBorder="1" applyAlignment="1"/>
    <xf numFmtId="0" fontId="0" fillId="0" borderId="13" xfId="0" applyFill="1" applyBorder="1"/>
    <xf numFmtId="0" fontId="0" fillId="0" borderId="13" xfId="0" applyFill="1" applyBorder="1" applyAlignment="1">
      <alignment wrapText="1"/>
    </xf>
    <xf numFmtId="0" fontId="0" fillId="0" borderId="0" xfId="0" applyFill="1" applyBorder="1"/>
    <xf numFmtId="174" fontId="0" fillId="0" borderId="0" xfId="0" applyNumberFormat="1" applyFill="1"/>
    <xf numFmtId="175" fontId="0" fillId="0" borderId="0" xfId="0" applyNumberFormat="1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164" fontId="0" fillId="0" borderId="7" xfId="2" applyFont="1" applyFill="1" applyBorder="1"/>
    <xf numFmtId="164" fontId="0" fillId="0" borderId="15" xfId="2" applyFont="1" applyFill="1" applyBorder="1"/>
    <xf numFmtId="164" fontId="0" fillId="0" borderId="26" xfId="2" applyFont="1" applyFill="1" applyBorder="1"/>
    <xf numFmtId="164" fontId="0" fillId="0" borderId="27" xfId="2" applyFont="1" applyFill="1" applyBorder="1"/>
    <xf numFmtId="164" fontId="0" fillId="0" borderId="28" xfId="2" applyFont="1" applyFill="1" applyBorder="1"/>
    <xf numFmtId="165" fontId="0" fillId="0" borderId="29" xfId="2" applyNumberFormat="1" applyFont="1" applyFill="1" applyBorder="1" applyAlignment="1">
      <alignment wrapText="1"/>
    </xf>
    <xf numFmtId="165" fontId="0" fillId="0" borderId="6" xfId="2" applyNumberFormat="1" applyFont="1" applyFill="1" applyBorder="1"/>
    <xf numFmtId="165" fontId="0" fillId="0" borderId="15" xfId="2" applyNumberFormat="1" applyFont="1" applyFill="1" applyBorder="1"/>
    <xf numFmtId="165" fontId="0" fillId="0" borderId="30" xfId="2" applyNumberFormat="1" applyFont="1" applyFill="1" applyBorder="1"/>
    <xf numFmtId="165" fontId="0" fillId="0" borderId="13" xfId="2" applyNumberFormat="1" applyFont="1" applyFill="1" applyBorder="1"/>
    <xf numFmtId="164" fontId="0" fillId="0" borderId="6" xfId="2" applyFont="1" applyFill="1" applyBorder="1"/>
    <xf numFmtId="164" fontId="0" fillId="0" borderId="8" xfId="2" applyFont="1" applyFill="1" applyBorder="1"/>
    <xf numFmtId="164" fontId="0" fillId="0" borderId="31" xfId="2" applyFont="1" applyFill="1" applyBorder="1"/>
    <xf numFmtId="164" fontId="0" fillId="0" borderId="19" xfId="2" applyFont="1" applyFill="1" applyBorder="1"/>
    <xf numFmtId="164" fontId="0" fillId="0" borderId="30" xfId="2" applyFont="1" applyFill="1" applyBorder="1"/>
    <xf numFmtId="165" fontId="0" fillId="0" borderId="20" xfId="2" applyNumberFormat="1" applyFont="1" applyFill="1" applyBorder="1" applyAlignment="1">
      <alignment wrapText="1"/>
    </xf>
    <xf numFmtId="165" fontId="0" fillId="0" borderId="0" xfId="0" applyNumberFormat="1" applyFill="1" applyBorder="1"/>
    <xf numFmtId="164" fontId="0" fillId="0" borderId="6" xfId="2" applyFont="1" applyFill="1" applyBorder="1" applyAlignment="1">
      <alignment horizontal="center"/>
    </xf>
    <xf numFmtId="164" fontId="0" fillId="0" borderId="8" xfId="2" applyFont="1" applyFill="1" applyBorder="1" applyAlignment="1">
      <alignment horizontal="center"/>
    </xf>
    <xf numFmtId="164" fontId="0" fillId="0" borderId="31" xfId="2" applyFont="1" applyFill="1" applyBorder="1" applyAlignment="1">
      <alignment horizontal="center"/>
    </xf>
    <xf numFmtId="164" fontId="0" fillId="0" borderId="10" xfId="2" applyFont="1" applyFill="1" applyBorder="1"/>
    <xf numFmtId="164" fontId="0" fillId="0" borderId="12" xfId="2" applyFont="1" applyFill="1" applyBorder="1"/>
    <xf numFmtId="164" fontId="0" fillId="0" borderId="32" xfId="2" applyFont="1" applyFill="1" applyBorder="1"/>
    <xf numFmtId="164" fontId="0" fillId="0" borderId="22" xfId="2" applyFont="1" applyFill="1" applyBorder="1"/>
    <xf numFmtId="164" fontId="0" fillId="0" borderId="33" xfId="2" applyFont="1" applyFill="1" applyBorder="1"/>
    <xf numFmtId="165" fontId="0" fillId="0" borderId="23" xfId="2" applyNumberFormat="1" applyFont="1" applyFill="1" applyBorder="1" applyAlignment="1">
      <alignment wrapText="1"/>
    </xf>
    <xf numFmtId="165" fontId="0" fillId="0" borderId="10" xfId="2" applyNumberFormat="1" applyFont="1" applyFill="1" applyBorder="1"/>
    <xf numFmtId="165" fontId="0" fillId="0" borderId="12" xfId="0" applyNumberFormat="1" applyFill="1" applyBorder="1"/>
    <xf numFmtId="165" fontId="0" fillId="0" borderId="33" xfId="2" applyNumberFormat="1" applyFont="1" applyFill="1" applyBorder="1"/>
    <xf numFmtId="165" fontId="0" fillId="0" borderId="11" xfId="0" applyNumberFormat="1" applyFill="1" applyBorder="1"/>
    <xf numFmtId="165" fontId="0" fillId="0" borderId="13" xfId="2" applyNumberFormat="1" applyFont="1" applyFill="1" applyBorder="1" applyAlignment="1">
      <alignment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174" fontId="0" fillId="0" borderId="21" xfId="0" applyNumberFormat="1" applyFill="1" applyBorder="1"/>
    <xf numFmtId="165" fontId="0" fillId="0" borderId="5" xfId="2" applyNumberFormat="1" applyFont="1" applyFill="1" applyBorder="1"/>
    <xf numFmtId="165" fontId="0" fillId="0" borderId="21" xfId="0" applyNumberFormat="1" applyFill="1" applyBorder="1"/>
    <xf numFmtId="165" fontId="0" fillId="0" borderId="19" xfId="2" applyNumberFormat="1" applyFont="1" applyFill="1" applyBorder="1"/>
    <xf numFmtId="164" fontId="0" fillId="0" borderId="5" xfId="0" applyNumberFormat="1" applyFill="1" applyBorder="1"/>
    <xf numFmtId="165" fontId="0" fillId="0" borderId="5" xfId="0" applyNumberFormat="1" applyFill="1" applyBorder="1"/>
    <xf numFmtId="165" fontId="0" fillId="0" borderId="6" xfId="0" applyNumberFormat="1" applyFill="1" applyBorder="1"/>
    <xf numFmtId="174" fontId="0" fillId="0" borderId="21" xfId="0" applyNumberFormat="1" applyFill="1" applyBorder="1" applyAlignment="1">
      <alignment horizontal="center"/>
    </xf>
    <xf numFmtId="165" fontId="0" fillId="0" borderId="5" xfId="2" applyNumberFormat="1" applyFont="1" applyFill="1" applyBorder="1" applyAlignment="1">
      <alignment horizontal="center"/>
    </xf>
    <xf numFmtId="165" fontId="0" fillId="0" borderId="21" xfId="0" applyNumberFormat="1" applyFill="1" applyBorder="1" applyAlignment="1">
      <alignment horizontal="center"/>
    </xf>
    <xf numFmtId="174" fontId="0" fillId="0" borderId="24" xfId="0" applyNumberFormat="1" applyFill="1" applyBorder="1"/>
    <xf numFmtId="165" fontId="0" fillId="0" borderId="9" xfId="2" applyNumberFormat="1" applyFont="1" applyFill="1" applyBorder="1"/>
    <xf numFmtId="165" fontId="0" fillId="0" borderId="24" xfId="0" applyNumberFormat="1" applyFill="1" applyBorder="1"/>
    <xf numFmtId="165" fontId="0" fillId="0" borderId="22" xfId="2" applyNumberFormat="1" applyFont="1" applyFill="1" applyBorder="1"/>
    <xf numFmtId="164" fontId="0" fillId="0" borderId="9" xfId="0" applyNumberFormat="1" applyFill="1" applyBorder="1"/>
    <xf numFmtId="165" fontId="0" fillId="0" borderId="9" xfId="0" applyNumberFormat="1" applyFill="1" applyBorder="1"/>
    <xf numFmtId="165" fontId="0" fillId="0" borderId="10" xfId="0" applyNumberFormat="1" applyFill="1" applyBorder="1"/>
    <xf numFmtId="0" fontId="2" fillId="0" borderId="8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" fontId="2" fillId="0" borderId="9" xfId="0" applyNumberFormat="1" applyFont="1" applyFill="1" applyBorder="1" applyAlignment="1">
      <alignment horizontal="center" wrapText="1"/>
    </xf>
    <xf numFmtId="1" fontId="2" fillId="0" borderId="17" xfId="0" applyNumberFormat="1" applyFont="1" applyFill="1" applyBorder="1" applyAlignment="1">
      <alignment horizontal="center" wrapText="1"/>
    </xf>
    <xf numFmtId="1" fontId="2" fillId="0" borderId="12" xfId="0" applyNumberFormat="1" applyFont="1" applyFill="1" applyBorder="1" applyAlignment="1">
      <alignment horizontal="center" wrapText="1"/>
    </xf>
    <xf numFmtId="165" fontId="0" fillId="0" borderId="31" xfId="2" applyNumberFormat="1" applyFont="1" applyFill="1" applyBorder="1"/>
    <xf numFmtId="2" fontId="0" fillId="0" borderId="7" xfId="0" applyNumberFormat="1" applyFill="1" applyBorder="1"/>
    <xf numFmtId="165" fontId="0" fillId="0" borderId="14" xfId="2" applyNumberFormat="1" applyFont="1" applyFill="1" applyBorder="1"/>
    <xf numFmtId="165" fontId="0" fillId="0" borderId="27" xfId="2" applyNumberFormat="1" applyFont="1" applyFill="1" applyBorder="1"/>
    <xf numFmtId="165" fontId="0" fillId="0" borderId="8" xfId="2" applyNumberFormat="1" applyFont="1" applyFill="1" applyBorder="1"/>
    <xf numFmtId="1" fontId="0" fillId="0" borderId="0" xfId="0" applyNumberFormat="1"/>
    <xf numFmtId="2" fontId="0" fillId="0" borderId="6" xfId="0" applyNumberFormat="1" applyFill="1" applyBorder="1"/>
    <xf numFmtId="165" fontId="0" fillId="0" borderId="31" xfId="2" applyNumberFormat="1" applyFont="1" applyFill="1" applyBorder="1" applyAlignment="1">
      <alignment horizontal="center"/>
    </xf>
    <xf numFmtId="165" fontId="0" fillId="0" borderId="19" xfId="2" applyNumberFormat="1" applyFont="1" applyFill="1" applyBorder="1" applyAlignment="1">
      <alignment horizontal="center"/>
    </xf>
    <xf numFmtId="165" fontId="0" fillId="0" borderId="6" xfId="2" applyNumberFormat="1" applyFont="1" applyFill="1" applyBorder="1" applyAlignment="1">
      <alignment horizontal="center"/>
    </xf>
    <xf numFmtId="165" fontId="0" fillId="0" borderId="32" xfId="2" applyNumberFormat="1" applyFont="1" applyFill="1" applyBorder="1"/>
    <xf numFmtId="165" fontId="0" fillId="0" borderId="11" xfId="2" applyNumberFormat="1" applyFont="1" applyFill="1" applyBorder="1"/>
    <xf numFmtId="2" fontId="0" fillId="0" borderId="10" xfId="0" applyNumberFormat="1" applyFill="1" applyBorder="1"/>
    <xf numFmtId="164" fontId="0" fillId="0" borderId="10" xfId="2" applyFont="1" applyFill="1" applyBorder="1" applyAlignment="1">
      <alignment horizontal="center"/>
    </xf>
    <xf numFmtId="165" fontId="0" fillId="0" borderId="12" xfId="2" applyNumberFormat="1" applyFont="1" applyFill="1" applyBorder="1"/>
    <xf numFmtId="165" fontId="2" fillId="0" borderId="9" xfId="0" applyNumberFormat="1" applyFont="1" applyFill="1" applyBorder="1" applyAlignment="1">
      <alignment horizontal="center" vertical="top" wrapText="1"/>
    </xf>
    <xf numFmtId="165" fontId="2" fillId="0" borderId="22" xfId="0" applyNumberFormat="1" applyFont="1" applyFill="1" applyBorder="1" applyAlignment="1">
      <alignment horizontal="center" vertical="top" wrapText="1"/>
    </xf>
    <xf numFmtId="165" fontId="2" fillId="0" borderId="12" xfId="0" applyNumberFormat="1" applyFont="1" applyFill="1" applyBorder="1" applyAlignment="1">
      <alignment horizontal="center" vertical="top" wrapText="1"/>
    </xf>
    <xf numFmtId="165" fontId="0" fillId="0" borderId="21" xfId="2" applyNumberFormat="1" applyFont="1" applyFill="1" applyBorder="1"/>
    <xf numFmtId="2" fontId="0" fillId="0" borderId="15" xfId="0" applyNumberFormat="1" applyFill="1" applyBorder="1"/>
    <xf numFmtId="165" fontId="0" fillId="0" borderId="7" xfId="2" applyNumberFormat="1" applyFont="1" applyFill="1" applyBorder="1"/>
    <xf numFmtId="0" fontId="0" fillId="0" borderId="15" xfId="0" applyFill="1" applyBorder="1" applyAlignment="1">
      <alignment horizontal="center"/>
    </xf>
    <xf numFmtId="165" fontId="0" fillId="0" borderId="29" xfId="2" applyNumberFormat="1" applyFont="1" applyFill="1" applyBorder="1"/>
    <xf numFmtId="2" fontId="0" fillId="0" borderId="8" xfId="0" applyNumberFormat="1" applyFill="1" applyBorder="1"/>
    <xf numFmtId="164" fontId="0" fillId="0" borderId="0" xfId="2" applyFont="1" applyFill="1" applyBorder="1" applyAlignment="1">
      <alignment horizontal="center"/>
    </xf>
    <xf numFmtId="165" fontId="0" fillId="0" borderId="20" xfId="0" applyNumberFormat="1" applyFill="1" applyBorder="1"/>
    <xf numFmtId="165" fontId="0" fillId="0" borderId="21" xfId="2" applyNumberFormat="1" applyFont="1" applyFill="1" applyBorder="1" applyAlignment="1">
      <alignment horizontal="center"/>
    </xf>
    <xf numFmtId="2" fontId="0" fillId="0" borderId="8" xfId="0" applyNumberFormat="1" applyFill="1" applyBorder="1" applyAlignment="1">
      <alignment horizontal="center"/>
    </xf>
    <xf numFmtId="165" fontId="0" fillId="0" borderId="24" xfId="2" applyNumberFormat="1" applyFont="1" applyFill="1" applyBorder="1"/>
    <xf numFmtId="2" fontId="0" fillId="0" borderId="12" xfId="0" applyNumberFormat="1" applyFill="1" applyBorder="1"/>
    <xf numFmtId="164" fontId="0" fillId="0" borderId="11" xfId="2" applyFont="1" applyFill="1" applyBorder="1" applyAlignment="1">
      <alignment horizontal="center"/>
    </xf>
    <xf numFmtId="165" fontId="0" fillId="0" borderId="23" xfId="0" applyNumberFormat="1" applyFill="1" applyBorder="1"/>
    <xf numFmtId="0" fontId="2" fillId="0" borderId="7" xfId="0" applyFont="1" applyFill="1" applyBorder="1" applyAlignment="1">
      <alignment horizontal="center" wrapText="1"/>
    </xf>
    <xf numFmtId="165" fontId="2" fillId="0" borderId="11" xfId="0" applyNumberFormat="1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wrapText="1"/>
    </xf>
    <xf numFmtId="165" fontId="2" fillId="0" borderId="0" xfId="0" applyNumberFormat="1" applyFont="1" applyFill="1" applyBorder="1" applyAlignment="1">
      <alignment horizontal="center" wrapText="1"/>
    </xf>
    <xf numFmtId="0" fontId="0" fillId="0" borderId="13" xfId="0" applyFill="1" applyBorder="1" applyAlignment="1">
      <alignment horizontal="center"/>
    </xf>
    <xf numFmtId="165" fontId="2" fillId="0" borderId="2" xfId="2" applyNumberFormat="1" applyFont="1" applyFill="1" applyBorder="1" applyAlignment="1">
      <alignment horizontal="center" vertical="center"/>
    </xf>
    <xf numFmtId="165" fontId="2" fillId="0" borderId="6" xfId="2" applyNumberFormat="1" applyFont="1" applyFill="1" applyBorder="1" applyAlignment="1">
      <alignment horizontal="center" vertical="center"/>
    </xf>
    <xf numFmtId="165" fontId="2" fillId="0" borderId="3" xfId="2" applyNumberFormat="1" applyFont="1" applyFill="1" applyBorder="1" applyAlignment="1">
      <alignment horizontal="center" vertical="center" wrapText="1"/>
    </xf>
    <xf numFmtId="165" fontId="2" fillId="0" borderId="4" xfId="2" applyNumberFormat="1" applyFont="1" applyFill="1" applyBorder="1" applyAlignment="1">
      <alignment horizontal="center" vertical="center" wrapText="1"/>
    </xf>
    <xf numFmtId="165" fontId="0" fillId="0" borderId="0" xfId="2" applyNumberFormat="1" applyFont="1"/>
    <xf numFmtId="14" fontId="0" fillId="0" borderId="0" xfId="0" applyNumberFormat="1" applyFill="1"/>
    <xf numFmtId="0" fontId="13" fillId="0" borderId="1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left"/>
    </xf>
    <xf numFmtId="3" fontId="4" fillId="0" borderId="7" xfId="0" applyNumberFormat="1" applyFont="1" applyFill="1" applyBorder="1"/>
    <xf numFmtId="3" fontId="4" fillId="0" borderId="5" xfId="0" applyNumberFormat="1" applyFont="1" applyFill="1" applyBorder="1"/>
    <xf numFmtId="0" fontId="4" fillId="0" borderId="5" xfId="0" applyFont="1" applyFill="1" applyBorder="1" applyAlignment="1">
      <alignment horizontal="left"/>
    </xf>
    <xf numFmtId="0" fontId="4" fillId="0" borderId="6" xfId="0" applyFont="1" applyFill="1" applyBorder="1"/>
    <xf numFmtId="0" fontId="4" fillId="0" borderId="5" xfId="0" applyFont="1" applyFill="1" applyBorder="1"/>
    <xf numFmtId="3" fontId="4" fillId="0" borderId="6" xfId="0" applyNumberFormat="1" applyFont="1" applyFill="1" applyBorder="1"/>
    <xf numFmtId="0" fontId="14" fillId="0" borderId="4" xfId="0" applyFont="1" applyFill="1" applyBorder="1" applyAlignment="1">
      <alignment horizontal="center"/>
    </xf>
    <xf numFmtId="0" fontId="0" fillId="0" borderId="0" xfId="0" applyFont="1" applyFill="1" applyBorder="1"/>
    <xf numFmtId="3" fontId="2" fillId="0" borderId="1" xfId="0" applyNumberFormat="1" applyFont="1" applyFill="1" applyBorder="1" applyAlignment="1">
      <alignment horizontal="center" wrapText="1"/>
    </xf>
    <xf numFmtId="165" fontId="2" fillId="0" borderId="2" xfId="2" applyNumberFormat="1" applyFont="1" applyFill="1" applyBorder="1" applyAlignment="1">
      <alignment horizontal="center" wrapText="1"/>
    </xf>
    <xf numFmtId="0" fontId="2" fillId="0" borderId="3" xfId="0" applyNumberFormat="1" applyFont="1" applyFill="1" applyBorder="1" applyAlignment="1">
      <alignment horizontal="center" wrapText="1"/>
    </xf>
    <xf numFmtId="0" fontId="2" fillId="0" borderId="2" xfId="0" applyNumberFormat="1" applyFont="1" applyFill="1" applyBorder="1" applyAlignment="1">
      <alignment horizontal="center" wrapText="1"/>
    </xf>
    <xf numFmtId="10" fontId="2" fillId="0" borderId="3" xfId="0" applyNumberFormat="1" applyFont="1" applyFill="1" applyBorder="1" applyAlignment="1">
      <alignment horizontal="center" wrapText="1"/>
    </xf>
    <xf numFmtId="166" fontId="2" fillId="0" borderId="2" xfId="0" applyNumberFormat="1" applyFont="1" applyFill="1" applyBorder="1" applyAlignment="1">
      <alignment horizontal="center" wrapText="1"/>
    </xf>
    <xf numFmtId="0" fontId="2" fillId="0" borderId="6" xfId="0" applyFont="1" applyFill="1" applyBorder="1"/>
    <xf numFmtId="165" fontId="0" fillId="0" borderId="0" xfId="0" applyNumberFormat="1" applyFill="1"/>
    <xf numFmtId="169" fontId="0" fillId="0" borderId="0" xfId="0" applyNumberFormat="1" applyFill="1"/>
    <xf numFmtId="0" fontId="2" fillId="0" borderId="10" xfId="0" applyFont="1" applyFill="1" applyBorder="1"/>
    <xf numFmtId="0" fontId="0" fillId="0" borderId="0" xfId="0" applyFill="1" applyAlignment="1">
      <alignment wrapText="1"/>
    </xf>
    <xf numFmtId="0" fontId="0" fillId="0" borderId="0" xfId="0" applyFill="1" applyBorder="1" applyAlignment="1"/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/>
    <xf numFmtId="0" fontId="0" fillId="0" borderId="0" xfId="0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/>
    </xf>
    <xf numFmtId="174" fontId="0" fillId="0" borderId="0" xfId="0" applyNumberFormat="1" applyFill="1" applyBorder="1" applyAlignment="1">
      <alignment wrapText="1"/>
    </xf>
    <xf numFmtId="164" fontId="0" fillId="0" borderId="0" xfId="0" applyNumberFormat="1" applyFill="1" applyBorder="1" applyAlignment="1">
      <alignment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 vertical="center" wrapText="1"/>
    </xf>
    <xf numFmtId="165" fontId="0" fillId="0" borderId="19" xfId="0" applyNumberFormat="1" applyFill="1" applyBorder="1"/>
    <xf numFmtId="43" fontId="0" fillId="0" borderId="0" xfId="0" applyNumberFormat="1" applyFill="1"/>
    <xf numFmtId="165" fontId="0" fillId="0" borderId="22" xfId="0" applyNumberFormat="1" applyFill="1" applyBorder="1"/>
    <xf numFmtId="0" fontId="12" fillId="0" borderId="7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2" fillId="0" borderId="14" xfId="0" applyFont="1" applyFill="1" applyBorder="1"/>
    <xf numFmtId="0" fontId="2" fillId="0" borderId="13" xfId="0" applyFont="1" applyFill="1" applyBorder="1"/>
    <xf numFmtId="0" fontId="2" fillId="0" borderId="15" xfId="0" applyFont="1" applyFill="1" applyBorder="1"/>
    <xf numFmtId="0" fontId="2" fillId="0" borderId="2" xfId="0" applyFont="1" applyFill="1" applyBorder="1"/>
    <xf numFmtId="0" fontId="2" fillId="0" borderId="7" xfId="0" applyFont="1" applyFill="1" applyBorder="1"/>
    <xf numFmtId="0" fontId="2" fillId="0" borderId="1" xfId="0" applyFont="1" applyFill="1" applyBorder="1"/>
    <xf numFmtId="0" fontId="2" fillId="0" borderId="4" xfId="0" applyFont="1" applyFill="1" applyBorder="1"/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 wrapText="1"/>
    </xf>
    <xf numFmtId="0" fontId="12" fillId="0" borderId="12" xfId="0" applyFont="1" applyFill="1" applyBorder="1" applyAlignment="1">
      <alignment horizontal="center" wrapText="1"/>
    </xf>
    <xf numFmtId="0" fontId="12" fillId="0" borderId="4" xfId="0" applyFont="1" applyFill="1" applyBorder="1" applyAlignment="1">
      <alignment horizontal="center" wrapText="1"/>
    </xf>
    <xf numFmtId="1" fontId="2" fillId="0" borderId="9" xfId="0" applyNumberFormat="1" applyFont="1" applyFill="1" applyBorder="1" applyAlignment="1">
      <alignment horizontal="center" vertical="top" wrapText="1"/>
    </xf>
    <xf numFmtId="1" fontId="2" fillId="0" borderId="22" xfId="0" applyNumberFormat="1" applyFont="1" applyFill="1" applyBorder="1" applyAlignment="1">
      <alignment horizontal="center" vertical="top" wrapText="1"/>
    </xf>
    <xf numFmtId="1" fontId="2" fillId="0" borderId="12" xfId="0" applyNumberFormat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vertical="center" wrapText="1"/>
    </xf>
    <xf numFmtId="165" fontId="2" fillId="0" borderId="12" xfId="2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wrapText="1"/>
    </xf>
    <xf numFmtId="164" fontId="0" fillId="0" borderId="26" xfId="2" applyNumberFormat="1" applyFont="1" applyFill="1" applyBorder="1"/>
    <xf numFmtId="164" fontId="0" fillId="0" borderId="27" xfId="2" applyNumberFormat="1" applyFont="1" applyFill="1" applyBorder="1"/>
    <xf numFmtId="164" fontId="0" fillId="0" borderId="15" xfId="2" applyNumberFormat="1" applyFont="1" applyFill="1" applyBorder="1"/>
    <xf numFmtId="165" fontId="0" fillId="0" borderId="26" xfId="2" applyNumberFormat="1" applyFont="1" applyFill="1" applyBorder="1"/>
    <xf numFmtId="165" fontId="0" fillId="0" borderId="34" xfId="2" applyNumberFormat="1" applyFont="1" applyFill="1" applyBorder="1"/>
    <xf numFmtId="1" fontId="0" fillId="0" borderId="0" xfId="0" applyNumberFormat="1" applyFill="1"/>
    <xf numFmtId="164" fontId="0" fillId="0" borderId="31" xfId="2" applyNumberFormat="1" applyFont="1" applyFill="1" applyBorder="1"/>
    <xf numFmtId="164" fontId="0" fillId="0" borderId="19" xfId="2" applyNumberFormat="1" applyFont="1" applyFill="1" applyBorder="1"/>
    <xf numFmtId="164" fontId="0" fillId="0" borderId="8" xfId="2" applyNumberFormat="1" applyFont="1" applyFill="1" applyBorder="1"/>
    <xf numFmtId="0" fontId="2" fillId="0" borderId="6" xfId="0" applyFont="1" applyFill="1" applyBorder="1" applyAlignment="1">
      <alignment horizontal="left"/>
    </xf>
    <xf numFmtId="164" fontId="0" fillId="0" borderId="31" xfId="2" applyNumberFormat="1" applyFont="1" applyFill="1" applyBorder="1" applyAlignment="1">
      <alignment horizontal="center"/>
    </xf>
    <xf numFmtId="164" fontId="0" fillId="0" borderId="19" xfId="2" applyNumberFormat="1" applyFont="1" applyFill="1" applyBorder="1" applyAlignment="1">
      <alignment horizontal="center"/>
    </xf>
    <xf numFmtId="164" fontId="0" fillId="0" borderId="8" xfId="2" applyNumberFormat="1" applyFont="1" applyFill="1" applyBorder="1" applyAlignment="1">
      <alignment horizontal="center"/>
    </xf>
    <xf numFmtId="165" fontId="0" fillId="0" borderId="8" xfId="2" applyNumberFormat="1" applyFont="1" applyFill="1" applyBorder="1" applyAlignment="1">
      <alignment horizontal="center"/>
    </xf>
    <xf numFmtId="164" fontId="0" fillId="0" borderId="32" xfId="2" applyNumberFormat="1" applyFont="1" applyFill="1" applyBorder="1"/>
    <xf numFmtId="164" fontId="0" fillId="0" borderId="22" xfId="2" applyNumberFormat="1" applyFont="1" applyFill="1" applyBorder="1"/>
    <xf numFmtId="164" fontId="0" fillId="0" borderId="12" xfId="2" applyNumberFormat="1" applyFont="1" applyFill="1" applyBorder="1"/>
    <xf numFmtId="1" fontId="0" fillId="0" borderId="13" xfId="0" applyNumberFormat="1" applyFill="1" applyBorder="1"/>
    <xf numFmtId="165" fontId="2" fillId="0" borderId="14" xfId="0" applyNumberFormat="1" applyFont="1" applyFill="1" applyBorder="1" applyAlignment="1">
      <alignment horizontal="center" vertical="center" wrapText="1"/>
    </xf>
    <xf numFmtId="165" fontId="2" fillId="0" borderId="13" xfId="0" applyNumberFormat="1" applyFont="1" applyFill="1" applyBorder="1" applyAlignment="1">
      <alignment horizontal="center" vertical="center" wrapText="1"/>
    </xf>
    <xf numFmtId="165" fontId="2" fillId="0" borderId="15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/>
    </xf>
    <xf numFmtId="174" fontId="0" fillId="0" borderId="13" xfId="0" applyNumberFormat="1" applyFill="1" applyBorder="1"/>
    <xf numFmtId="165" fontId="0" fillId="0" borderId="13" xfId="0" applyNumberFormat="1" applyFill="1" applyBorder="1"/>
    <xf numFmtId="0" fontId="2" fillId="0" borderId="1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164" fontId="0" fillId="0" borderId="7" xfId="2" applyNumberFormat="1" applyFont="1" applyFill="1" applyBorder="1"/>
    <xf numFmtId="165" fontId="0" fillId="0" borderId="15" xfId="0" applyNumberFormat="1" applyFill="1" applyBorder="1"/>
    <xf numFmtId="165" fontId="0" fillId="0" borderId="20" xfId="2" applyNumberFormat="1" applyFont="1" applyFill="1" applyBorder="1"/>
    <xf numFmtId="165" fontId="0" fillId="0" borderId="7" xfId="2" applyNumberFormat="1" applyFont="1" applyFill="1" applyBorder="1" applyAlignment="1">
      <alignment horizontal="center"/>
    </xf>
    <xf numFmtId="164" fontId="0" fillId="0" borderId="6" xfId="2" applyNumberFormat="1" applyFont="1" applyFill="1" applyBorder="1"/>
    <xf numFmtId="164" fontId="0" fillId="0" borderId="10" xfId="2" applyNumberFormat="1" applyFont="1" applyFill="1" applyBorder="1"/>
    <xf numFmtId="165" fontId="0" fillId="0" borderId="23" xfId="2" applyNumberFormat="1" applyFont="1" applyFill="1" applyBorder="1"/>
    <xf numFmtId="165" fontId="0" fillId="0" borderId="10" xfId="2" applyNumberFormat="1" applyFont="1" applyFill="1" applyBorder="1" applyAlignment="1">
      <alignment horizontal="center"/>
    </xf>
    <xf numFmtId="3" fontId="0" fillId="0" borderId="0" xfId="0" applyNumberFormat="1" applyFill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65" fontId="2" fillId="0" borderId="16" xfId="2" applyNumberFormat="1" applyFont="1" applyFill="1" applyBorder="1" applyAlignment="1">
      <alignment horizontal="center" vertical="center" wrapText="1"/>
    </xf>
    <xf numFmtId="165" fontId="2" fillId="0" borderId="2" xfId="2" applyNumberFormat="1" applyFont="1" applyFill="1" applyBorder="1" applyAlignment="1">
      <alignment horizontal="center" vertical="center" wrapText="1"/>
    </xf>
    <xf numFmtId="165" fontId="2" fillId="0" borderId="1" xfId="2" applyNumberFormat="1" applyFont="1" applyFill="1" applyBorder="1" applyAlignment="1">
      <alignment horizontal="center" vertical="center" wrapText="1"/>
    </xf>
    <xf numFmtId="0" fontId="0" fillId="0" borderId="5" xfId="0" applyFill="1" applyBorder="1"/>
    <xf numFmtId="0" fontId="0" fillId="0" borderId="6" xfId="0" applyFill="1" applyBorder="1"/>
    <xf numFmtId="0" fontId="0" fillId="0" borderId="8" xfId="0" applyFill="1" applyBorder="1"/>
    <xf numFmtId="0" fontId="2" fillId="0" borderId="1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65" fontId="2" fillId="0" borderId="2" xfId="2" applyNumberFormat="1" applyFont="1" applyFill="1" applyBorder="1"/>
    <xf numFmtId="0" fontId="0" fillId="0" borderId="7" xfId="0" applyFill="1" applyBorder="1"/>
    <xf numFmtId="0" fontId="0" fillId="0" borderId="10" xfId="0" applyFill="1" applyBorder="1"/>
    <xf numFmtId="0" fontId="0" fillId="0" borderId="14" xfId="0" applyFill="1" applyBorder="1"/>
    <xf numFmtId="0" fontId="2" fillId="0" borderId="2" xfId="0" applyFont="1" applyFill="1" applyBorder="1" applyAlignment="1">
      <alignment wrapText="1"/>
    </xf>
    <xf numFmtId="0" fontId="2" fillId="0" borderId="13" xfId="0" applyFont="1" applyFill="1" applyBorder="1" applyAlignment="1">
      <alignment wrapText="1"/>
    </xf>
    <xf numFmtId="0" fontId="0" fillId="0" borderId="1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165" fontId="0" fillId="0" borderId="2" xfId="2" applyNumberFormat="1" applyFont="1" applyFill="1" applyBorder="1" applyAlignment="1">
      <alignment vertical="center" wrapText="1"/>
    </xf>
    <xf numFmtId="164" fontId="0" fillId="0" borderId="5" xfId="2" applyFont="1" applyFill="1" applyBorder="1"/>
    <xf numFmtId="164" fontId="0" fillId="0" borderId="0" xfId="2" applyFont="1" applyFill="1" applyBorder="1"/>
    <xf numFmtId="0" fontId="0" fillId="0" borderId="9" xfId="0" applyFill="1" applyBorder="1"/>
    <xf numFmtId="164" fontId="0" fillId="0" borderId="9" xfId="2" applyFont="1" applyFill="1" applyBorder="1"/>
    <xf numFmtId="164" fontId="0" fillId="0" borderId="11" xfId="2" applyFont="1" applyFill="1" applyBorder="1"/>
    <xf numFmtId="43" fontId="0" fillId="0" borderId="0" xfId="0" applyNumberFormat="1" applyFill="1" applyBorder="1"/>
    <xf numFmtId="0" fontId="2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8" xfId="0" applyFont="1" applyFill="1" applyBorder="1"/>
    <xf numFmtId="176" fontId="0" fillId="0" borderId="0" xfId="0" applyNumberFormat="1" applyFill="1"/>
    <xf numFmtId="3" fontId="0" fillId="0" borderId="8" xfId="0" applyNumberFormat="1" applyFill="1" applyBorder="1"/>
    <xf numFmtId="3" fontId="0" fillId="0" borderId="6" xfId="0" applyNumberFormat="1" applyFill="1" applyBorder="1"/>
    <xf numFmtId="174" fontId="0" fillId="0" borderId="8" xfId="0" applyNumberFormat="1" applyFill="1" applyBorder="1"/>
    <xf numFmtId="0" fontId="2" fillId="0" borderId="12" xfId="0" applyFont="1" applyFill="1" applyBorder="1"/>
    <xf numFmtId="176" fontId="0" fillId="0" borderId="11" xfId="0" applyNumberFormat="1" applyFill="1" applyBorder="1"/>
    <xf numFmtId="3" fontId="0" fillId="0" borderId="11" xfId="0" applyNumberFormat="1" applyFill="1" applyBorder="1"/>
    <xf numFmtId="3" fontId="0" fillId="0" borderId="12" xfId="0" applyNumberFormat="1" applyFill="1" applyBorder="1"/>
    <xf numFmtId="3" fontId="0" fillId="0" borderId="10" xfId="0" applyNumberFormat="1" applyFill="1" applyBorder="1"/>
    <xf numFmtId="174" fontId="0" fillId="0" borderId="12" xfId="0" applyNumberFormat="1" applyFill="1" applyBorder="1"/>
    <xf numFmtId="0" fontId="2" fillId="0" borderId="11" xfId="0" applyFont="1" applyFill="1" applyBorder="1"/>
    <xf numFmtId="0" fontId="2" fillId="0" borderId="0" xfId="0" applyFont="1" applyFill="1" applyAlignment="1">
      <alignment horizontal="left"/>
    </xf>
    <xf numFmtId="0" fontId="2" fillId="0" borderId="11" xfId="0" applyFont="1" applyFill="1" applyBorder="1" applyAlignment="1">
      <alignment horizontal="left"/>
    </xf>
    <xf numFmtId="0" fontId="0" fillId="0" borderId="11" xfId="0" applyFill="1" applyBorder="1"/>
    <xf numFmtId="20" fontId="0" fillId="0" borderId="0" xfId="0" applyNumberFormat="1" applyFont="1" applyFill="1"/>
  </cellXfs>
  <cellStyles count="3">
    <cellStyle name="Komma 2" xfId="2" xr:uid="{31B9A597-ABF1-4E24-9056-1E996ACF41A7}"/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ND/Sagsbehandling/Benchmarking/Benchmarking%202018%20-%20sagsbehandling/Dataark%20til%20sagsbehandling/Statusark%20BM%20spildevand2018%20-%20Efter%20MOGS-klagesa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tentialer og krav"/>
      <sheetName val="Netvolumenmål"/>
      <sheetName val="Costdrivere"/>
      <sheetName val="Opdelte costdrivere"/>
      <sheetName val="Opdelt renseanlæg"/>
      <sheetName val="Tæthed"/>
      <sheetName val="Tillæg"/>
      <sheetName val="korr grundlag"/>
      <sheetName val="Costdriveranalyse"/>
      <sheetName val="Alder"/>
      <sheetName val="Ark1"/>
      <sheetName val="Ark2"/>
    </sheetNames>
    <sheetDataSet>
      <sheetData sheetId="0"/>
      <sheetData sheetId="1"/>
      <sheetData sheetId="2">
        <row r="3">
          <cell r="B3" t="str">
            <v>S001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4C204-3C91-4E62-84BA-94622BDF23F1}">
  <sheetPr codeName="Ark7"/>
  <dimension ref="A1:AI104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 x14ac:dyDescent="0.25"/>
  <cols>
    <col min="1" max="1" width="40.7109375" bestFit="1" customWidth="1"/>
    <col min="2" max="2" width="5.140625" bestFit="1" customWidth="1"/>
    <col min="3" max="3" width="7.7109375" bestFit="1" customWidth="1"/>
    <col min="4" max="4" width="9" bestFit="1" customWidth="1"/>
    <col min="5" max="7" width="11.28515625" bestFit="1" customWidth="1"/>
    <col min="8" max="8" width="11.42578125" bestFit="1" customWidth="1"/>
    <col min="9" max="10" width="11.28515625" bestFit="1" customWidth="1"/>
    <col min="11" max="11" width="16.140625" bestFit="1" customWidth="1"/>
    <col min="12" max="12" width="15.42578125" bestFit="1" customWidth="1"/>
    <col min="13" max="13" width="18" bestFit="1" customWidth="1"/>
    <col min="14" max="14" width="16.85546875" bestFit="1" customWidth="1"/>
    <col min="15" max="15" width="19.28515625" bestFit="1" customWidth="1"/>
    <col min="16" max="16" width="18" bestFit="1" customWidth="1"/>
    <col min="17" max="17" width="20.28515625" bestFit="1" customWidth="1"/>
    <col min="18" max="18" width="14.7109375" bestFit="1" customWidth="1"/>
    <col min="19" max="19" width="18.5703125" bestFit="1" customWidth="1"/>
    <col min="20" max="20" width="14.42578125" customWidth="1"/>
    <col min="21" max="21" width="5.28515625" bestFit="1" customWidth="1"/>
    <col min="22" max="23" width="11.28515625" bestFit="1" customWidth="1"/>
    <col min="24" max="25" width="10.28515625" bestFit="1" customWidth="1"/>
    <col min="26" max="26" width="11.28515625" bestFit="1" customWidth="1"/>
    <col min="27" max="27" width="10.140625" bestFit="1" customWidth="1"/>
    <col min="28" max="28" width="11.28515625" bestFit="1" customWidth="1"/>
    <col min="29" max="29" width="11.7109375" bestFit="1" customWidth="1"/>
    <col min="30" max="30" width="10.28515625" bestFit="1" customWidth="1"/>
    <col min="31" max="31" width="11.28515625" bestFit="1" customWidth="1"/>
    <col min="32" max="33" width="12.28515625" bestFit="1" customWidth="1"/>
    <col min="34" max="34" width="11.28515625" bestFit="1" customWidth="1"/>
    <col min="35" max="35" width="6.7109375" bestFit="1" customWidth="1"/>
    <col min="36" max="36" width="9.42578125" customWidth="1"/>
  </cols>
  <sheetData>
    <row r="1" spans="1:35" ht="15.75" thickBot="1" x14ac:dyDescent="0.3">
      <c r="A1" s="325" t="s">
        <v>370</v>
      </c>
      <c r="B1" s="326" t="s">
        <v>371</v>
      </c>
      <c r="C1" s="325" t="s">
        <v>372</v>
      </c>
      <c r="D1" s="327" t="s">
        <v>373</v>
      </c>
      <c r="E1" s="327" t="s">
        <v>374</v>
      </c>
      <c r="F1" s="328" t="s">
        <v>375</v>
      </c>
      <c r="G1" s="327" t="s">
        <v>376</v>
      </c>
      <c r="H1" s="327" t="s">
        <v>377</v>
      </c>
      <c r="I1" s="327" t="s">
        <v>261</v>
      </c>
      <c r="J1" s="327" t="s">
        <v>378</v>
      </c>
      <c r="K1" s="194" t="s">
        <v>379</v>
      </c>
      <c r="L1" s="329" t="s">
        <v>380</v>
      </c>
      <c r="M1" s="330" t="s">
        <v>381</v>
      </c>
      <c r="N1" s="330" t="s">
        <v>382</v>
      </c>
      <c r="O1" s="330" t="s">
        <v>383</v>
      </c>
      <c r="P1" s="330" t="s">
        <v>384</v>
      </c>
      <c r="Q1" s="330" t="s">
        <v>385</v>
      </c>
      <c r="R1" s="330" t="s">
        <v>386</v>
      </c>
      <c r="S1" s="330" t="s">
        <v>387</v>
      </c>
      <c r="T1" s="331" t="s">
        <v>388</v>
      </c>
      <c r="U1" s="332" t="s">
        <v>389</v>
      </c>
      <c r="V1" s="327" t="s">
        <v>285</v>
      </c>
      <c r="W1" s="327" t="s">
        <v>390</v>
      </c>
      <c r="X1" s="327" t="s">
        <v>391</v>
      </c>
      <c r="Y1" s="327" t="s">
        <v>392</v>
      </c>
      <c r="Z1" s="327" t="s">
        <v>393</v>
      </c>
      <c r="AA1" s="327" t="s">
        <v>394</v>
      </c>
      <c r="AB1" s="327" t="s">
        <v>395</v>
      </c>
      <c r="AC1" s="327" t="s">
        <v>396</v>
      </c>
      <c r="AD1" s="327" t="s">
        <v>286</v>
      </c>
      <c r="AE1" s="327" t="s">
        <v>397</v>
      </c>
      <c r="AF1" s="327" t="s">
        <v>398</v>
      </c>
      <c r="AG1" s="327" t="s">
        <v>399</v>
      </c>
      <c r="AH1" s="327" t="s">
        <v>400</v>
      </c>
      <c r="AI1" s="326" t="s">
        <v>401</v>
      </c>
    </row>
    <row r="2" spans="1:35" x14ac:dyDescent="0.25">
      <c r="A2" s="49" t="s">
        <v>19</v>
      </c>
      <c r="B2" s="333" t="s">
        <v>20</v>
      </c>
      <c r="C2" s="334">
        <v>45.375049142485828</v>
      </c>
      <c r="D2" s="334">
        <v>0.1323142826923992</v>
      </c>
      <c r="E2" s="296">
        <v>9225491.7743198089</v>
      </c>
      <c r="F2" s="296">
        <v>11997091.598084839</v>
      </c>
      <c r="G2" s="296">
        <v>54426457.421278872</v>
      </c>
      <c r="H2" s="296">
        <v>36708101.380688503</v>
      </c>
      <c r="I2" s="296">
        <v>7812048.3326500002</v>
      </c>
      <c r="J2" s="296">
        <v>36885659.117743291</v>
      </c>
      <c r="K2" s="335">
        <v>44697707.450393289</v>
      </c>
      <c r="L2" s="334">
        <v>45.375049142485828</v>
      </c>
      <c r="M2" s="334">
        <v>0.1323142826923992</v>
      </c>
      <c r="N2" s="296">
        <v>9225491.7743198089</v>
      </c>
      <c r="O2" s="296">
        <v>11997091.598084839</v>
      </c>
      <c r="P2" s="296">
        <v>53059939.279875107</v>
      </c>
      <c r="Q2" s="296">
        <v>35786448.771830887</v>
      </c>
      <c r="R2" s="296">
        <v>7812048.3326500002</v>
      </c>
      <c r="S2" s="296">
        <v>36885659.117743291</v>
      </c>
      <c r="T2" s="335">
        <v>44697707.450393289</v>
      </c>
      <c r="U2" s="336" t="s">
        <v>315</v>
      </c>
      <c r="V2" s="14">
        <v>2066115.1262505001</v>
      </c>
      <c r="W2" s="14">
        <v>1295699.8928</v>
      </c>
      <c r="X2" s="14">
        <v>942474.24910000002</v>
      </c>
      <c r="Y2" s="14">
        <v>27544.500000000004</v>
      </c>
      <c r="Z2" s="14">
        <v>0</v>
      </c>
      <c r="AA2" s="14">
        <v>0</v>
      </c>
      <c r="AB2" s="14">
        <v>0</v>
      </c>
      <c r="AC2" s="14">
        <v>0</v>
      </c>
      <c r="AD2" s="14">
        <v>1187592.8930942428</v>
      </c>
      <c r="AE2" s="14">
        <v>3706065.1130750664</v>
      </c>
      <c r="AF2" s="14">
        <v>0</v>
      </c>
      <c r="AG2" s="14">
        <v>51781370.41320844</v>
      </c>
      <c r="AH2" s="14">
        <v>1278568.8666666667</v>
      </c>
      <c r="AI2" s="337">
        <v>0.94119075005707997</v>
      </c>
    </row>
    <row r="3" spans="1:35" x14ac:dyDescent="0.25">
      <c r="A3" s="49" t="s">
        <v>21</v>
      </c>
      <c r="B3" s="333" t="s">
        <v>22</v>
      </c>
      <c r="C3" s="334">
        <v>34.043264217351037</v>
      </c>
      <c r="D3" s="334">
        <v>4.7483255917314796E-2</v>
      </c>
      <c r="E3" s="296">
        <v>14212716.660506215</v>
      </c>
      <c r="F3" s="296">
        <v>14992238.813222934</v>
      </c>
      <c r="G3" s="296">
        <v>42611663.406301834</v>
      </c>
      <c r="H3" s="296">
        <v>30324297.233545188</v>
      </c>
      <c r="I3" s="296">
        <v>15324495.648250001</v>
      </c>
      <c r="J3" s="296">
        <v>34802612.794302627</v>
      </c>
      <c r="K3" s="335">
        <v>50127108.442552626</v>
      </c>
      <c r="L3" s="334">
        <v>34.043264217351037</v>
      </c>
      <c r="M3" s="334">
        <v>4.7483255917314796E-2</v>
      </c>
      <c r="N3" s="296">
        <v>14212716.660506215</v>
      </c>
      <c r="O3" s="296">
        <v>14992238.813222934</v>
      </c>
      <c r="P3" s="296">
        <v>41442514.870620817</v>
      </c>
      <c r="Q3" s="296">
        <v>29492280.718064312</v>
      </c>
      <c r="R3" s="296">
        <v>15324495.648250001</v>
      </c>
      <c r="S3" s="296">
        <v>34802612.794302627</v>
      </c>
      <c r="T3" s="335">
        <v>50127108.442552626</v>
      </c>
      <c r="U3" s="336" t="s">
        <v>316</v>
      </c>
      <c r="V3" s="14">
        <v>2141272.1396105001</v>
      </c>
      <c r="W3" s="14">
        <v>2362190.5149000003</v>
      </c>
      <c r="X3" s="14">
        <v>209246.70199999999</v>
      </c>
      <c r="Y3" s="14">
        <v>26087.702000000001</v>
      </c>
      <c r="Z3" s="14">
        <v>4148720.2396648643</v>
      </c>
      <c r="AA3" s="14">
        <v>0</v>
      </c>
      <c r="AB3" s="14">
        <v>935957.77850000001</v>
      </c>
      <c r="AC3" s="14">
        <v>1046870.92771</v>
      </c>
      <c r="AD3" s="14">
        <v>1154065.2805144317</v>
      </c>
      <c r="AE3" s="14">
        <v>2188305.37560642</v>
      </c>
      <c r="AF3" s="14">
        <v>4238632.0868407246</v>
      </c>
      <c r="AG3" s="14">
        <v>36395366.625222608</v>
      </c>
      <c r="AH3" s="14">
        <v>808516.15855747997</v>
      </c>
      <c r="AI3" s="337">
        <v>0.77175938556712498</v>
      </c>
    </row>
    <row r="4" spans="1:35" x14ac:dyDescent="0.25">
      <c r="A4" s="49" t="s">
        <v>23</v>
      </c>
      <c r="B4" s="333" t="s">
        <v>24</v>
      </c>
      <c r="C4" s="334">
        <v>31.484796081547572</v>
      </c>
      <c r="D4" s="334">
        <v>2.5480493019527227E-2</v>
      </c>
      <c r="E4" s="296">
        <v>26129706.710427988</v>
      </c>
      <c r="F4" s="296">
        <v>25954099.511640251</v>
      </c>
      <c r="G4" s="296">
        <v>94428884.573311746</v>
      </c>
      <c r="H4" s="296">
        <v>67917852.424748212</v>
      </c>
      <c r="I4" s="296">
        <v>26896787.331550501</v>
      </c>
      <c r="J4" s="296">
        <v>58676678.137226492</v>
      </c>
      <c r="K4" s="335">
        <v>85573465.468777001</v>
      </c>
      <c r="L4" s="334">
        <v>31.484796081547572</v>
      </c>
      <c r="M4" s="334">
        <v>2.5480493019527227E-2</v>
      </c>
      <c r="N4" s="296">
        <v>26129706.710427988</v>
      </c>
      <c r="O4" s="296">
        <v>25954099.511640251</v>
      </c>
      <c r="P4" s="296">
        <v>94428884.573311746</v>
      </c>
      <c r="Q4" s="296">
        <v>67917852.424748212</v>
      </c>
      <c r="R4" s="296">
        <v>26896787.331550501</v>
      </c>
      <c r="S4" s="296">
        <v>58676678.137226492</v>
      </c>
      <c r="T4" s="335">
        <v>85573465.468777001</v>
      </c>
      <c r="U4" s="336" t="s">
        <v>316</v>
      </c>
      <c r="V4" s="14">
        <v>3594428.801314</v>
      </c>
      <c r="W4" s="14">
        <v>7308604.4771500006</v>
      </c>
      <c r="X4" s="14">
        <v>73592.020950000006</v>
      </c>
      <c r="Y4" s="14">
        <v>485009.67700000003</v>
      </c>
      <c r="Z4" s="14">
        <v>6127003.3206321187</v>
      </c>
      <c r="AA4" s="14">
        <v>0</v>
      </c>
      <c r="AB4" s="14">
        <v>1489645.3618999999</v>
      </c>
      <c r="AC4" s="14">
        <v>1778802.4076999999</v>
      </c>
      <c r="AD4" s="14">
        <v>1543335.1198656838</v>
      </c>
      <c r="AE4" s="14">
        <v>3729285.5239161868</v>
      </c>
      <c r="AF4" s="14">
        <v>7464519.9355163779</v>
      </c>
      <c r="AG4" s="14">
        <v>83900586.883333355</v>
      </c>
      <c r="AH4" s="14">
        <v>3063777.7544620247</v>
      </c>
      <c r="AI4" s="337">
        <v>0.88953845900359396</v>
      </c>
    </row>
    <row r="5" spans="1:35" x14ac:dyDescent="0.25">
      <c r="A5" s="49" t="s">
        <v>25</v>
      </c>
      <c r="B5" s="333" t="s">
        <v>26</v>
      </c>
      <c r="C5" s="334">
        <v>36.82584102048294</v>
      </c>
      <c r="D5" s="334">
        <v>2.1692153420108953E-2</v>
      </c>
      <c r="E5" s="296">
        <v>39227356.546498507</v>
      </c>
      <c r="F5" s="296">
        <v>39816590.377682991</v>
      </c>
      <c r="G5" s="296">
        <v>141677147.64114577</v>
      </c>
      <c r="H5" s="296">
        <v>97696180.649846762</v>
      </c>
      <c r="I5" s="296">
        <v>27734425.973027997</v>
      </c>
      <c r="J5" s="296">
        <v>102080729.03804974</v>
      </c>
      <c r="K5" s="335">
        <v>129815155.01107773</v>
      </c>
      <c r="L5" s="334">
        <v>36.82584102048294</v>
      </c>
      <c r="M5" s="334">
        <v>2.1692153420108953E-2</v>
      </c>
      <c r="N5" s="296">
        <v>39227356.546498507</v>
      </c>
      <c r="O5" s="296">
        <v>39816590.377682991</v>
      </c>
      <c r="P5" s="296">
        <v>141677147.64114577</v>
      </c>
      <c r="Q5" s="296">
        <v>97696180.649846762</v>
      </c>
      <c r="R5" s="296">
        <v>27736175.973027997</v>
      </c>
      <c r="S5" s="296">
        <v>102080729.03804974</v>
      </c>
      <c r="T5" s="335">
        <v>129816905.01107773</v>
      </c>
      <c r="U5" s="336" t="s">
        <v>316</v>
      </c>
      <c r="V5" s="14">
        <v>6514043.6597115006</v>
      </c>
      <c r="W5" s="14">
        <v>9611469.8365800008</v>
      </c>
      <c r="X5" s="14">
        <v>950799.03930000006</v>
      </c>
      <c r="Y5" s="14">
        <v>35305.928</v>
      </c>
      <c r="Z5" s="14">
        <v>12818998.871356715</v>
      </c>
      <c r="AA5" s="14">
        <v>1431.6034999999999</v>
      </c>
      <c r="AB5" s="14">
        <v>1449572.7732500001</v>
      </c>
      <c r="AC5" s="14">
        <v>1451410.8958199997</v>
      </c>
      <c r="AD5" s="14">
        <v>1746861.3237110684</v>
      </c>
      <c r="AE5" s="14">
        <v>4647462.6152692242</v>
      </c>
      <c r="AF5" s="14">
        <v>12863372.679312397</v>
      </c>
      <c r="AG5" s="14">
        <v>123795081.62850001</v>
      </c>
      <c r="AH5" s="14">
        <v>5018693.333333334</v>
      </c>
      <c r="AI5" s="337">
        <v>0.872403890260259</v>
      </c>
    </row>
    <row r="6" spans="1:35" x14ac:dyDescent="0.25">
      <c r="A6" s="49" t="s">
        <v>27</v>
      </c>
      <c r="B6" s="333" t="s">
        <v>28</v>
      </c>
      <c r="C6" s="334">
        <v>17.431090156607226</v>
      </c>
      <c r="D6" s="334">
        <v>0</v>
      </c>
      <c r="E6" s="296">
        <v>15458753.55076907</v>
      </c>
      <c r="F6" s="296">
        <v>13293577.623770673</v>
      </c>
      <c r="G6" s="296">
        <v>16124032.592907462</v>
      </c>
      <c r="H6" s="296">
        <v>12697729.79143171</v>
      </c>
      <c r="I6" s="296">
        <v>13827582.218900001</v>
      </c>
      <c r="J6" s="296">
        <v>11345024.338112749</v>
      </c>
      <c r="K6" s="335">
        <v>25172606.557012752</v>
      </c>
      <c r="L6" s="334">
        <v>17.431090156607226</v>
      </c>
      <c r="M6" s="334">
        <v>0</v>
      </c>
      <c r="N6" s="296">
        <v>15458753.55076907</v>
      </c>
      <c r="O6" s="296">
        <v>13293577.623770673</v>
      </c>
      <c r="P6" s="296">
        <v>16124032.592907462</v>
      </c>
      <c r="Q6" s="296">
        <v>12697729.79143171</v>
      </c>
      <c r="R6" s="296">
        <v>13827582.218900001</v>
      </c>
      <c r="S6" s="296">
        <v>11345024.338112749</v>
      </c>
      <c r="T6" s="335">
        <v>25172606.557012752</v>
      </c>
      <c r="U6" s="336" t="s">
        <v>317</v>
      </c>
      <c r="V6" s="14">
        <v>0</v>
      </c>
      <c r="W6" s="14">
        <v>171559.08900000001</v>
      </c>
      <c r="X6" s="14">
        <v>5839.01</v>
      </c>
      <c r="Y6" s="14">
        <v>34277.600000000006</v>
      </c>
      <c r="Z6" s="14">
        <v>10596535.239783628</v>
      </c>
      <c r="AA6" s="14">
        <v>0</v>
      </c>
      <c r="AB6" s="14">
        <v>1294694.7237</v>
      </c>
      <c r="AC6" s="14">
        <v>1593550.5888499999</v>
      </c>
      <c r="AD6" s="14">
        <v>43285.270946158009</v>
      </c>
      <c r="AE6" s="14">
        <v>1719012.0284892838</v>
      </c>
      <c r="AF6" s="14">
        <v>14612496.259574128</v>
      </c>
      <c r="AG6" s="14">
        <v>1511536.3333333335</v>
      </c>
      <c r="AH6" s="14">
        <v>0</v>
      </c>
      <c r="AI6" s="337">
        <v>0.92591792097530001</v>
      </c>
    </row>
    <row r="7" spans="1:35" x14ac:dyDescent="0.25">
      <c r="A7" s="49" t="s">
        <v>29</v>
      </c>
      <c r="B7" s="333" t="s">
        <v>30</v>
      </c>
      <c r="C7" s="334">
        <v>30.910367303667446</v>
      </c>
      <c r="D7" s="334">
        <v>1.8235380372448588E-2</v>
      </c>
      <c r="E7" s="296">
        <v>17761385.724193424</v>
      </c>
      <c r="F7" s="296">
        <v>17308572.003292184</v>
      </c>
      <c r="G7" s="296">
        <v>86302419.949967042</v>
      </c>
      <c r="H7" s="296">
        <v>62165052.350178786</v>
      </c>
      <c r="I7" s="296">
        <v>16179426.403050002</v>
      </c>
      <c r="J7" s="296">
        <v>69294535.174436688</v>
      </c>
      <c r="K7" s="335">
        <v>85473961.577486694</v>
      </c>
      <c r="L7" s="334">
        <v>30.910367303667446</v>
      </c>
      <c r="M7" s="334">
        <v>1.8235380372448588E-2</v>
      </c>
      <c r="N7" s="296">
        <v>17761385.724193424</v>
      </c>
      <c r="O7" s="296">
        <v>17308572.003292184</v>
      </c>
      <c r="P7" s="296">
        <v>86302419.949967042</v>
      </c>
      <c r="Q7" s="296">
        <v>62165052.350178786</v>
      </c>
      <c r="R7" s="296">
        <v>16179426.403050002</v>
      </c>
      <c r="S7" s="296">
        <v>71064174.05695267</v>
      </c>
      <c r="T7" s="335">
        <v>87243600.460002676</v>
      </c>
      <c r="U7" s="336" t="s">
        <v>315</v>
      </c>
      <c r="V7" s="14">
        <v>4612608.5188421495</v>
      </c>
      <c r="W7" s="14">
        <v>8221246.5030500004</v>
      </c>
      <c r="X7" s="14">
        <v>737172.70589999994</v>
      </c>
      <c r="Y7" s="14">
        <v>31523.15</v>
      </c>
      <c r="Z7" s="14">
        <v>0</v>
      </c>
      <c r="AA7" s="14">
        <v>365058.89249999996</v>
      </c>
      <c r="AB7" s="14">
        <v>0</v>
      </c>
      <c r="AC7" s="14">
        <v>0</v>
      </c>
      <c r="AD7" s="14">
        <v>1537626.9369755883</v>
      </c>
      <c r="AE7" s="14">
        <v>2256149.0169256823</v>
      </c>
      <c r="AF7" s="14">
        <v>58220.785124511145</v>
      </c>
      <c r="AG7" s="14">
        <v>84408692.498175859</v>
      </c>
      <c r="AH7" s="14">
        <v>1835506.6666666665</v>
      </c>
      <c r="AI7" s="337">
        <v>0.77906915004319799</v>
      </c>
    </row>
    <row r="8" spans="1:35" x14ac:dyDescent="0.25">
      <c r="A8" s="49" t="s">
        <v>31</v>
      </c>
      <c r="B8" s="333" t="s">
        <v>32</v>
      </c>
      <c r="C8" s="334">
        <v>36.845398242205725</v>
      </c>
      <c r="D8" s="334">
        <v>3.5402055648977727E-2</v>
      </c>
      <c r="E8" s="296">
        <v>11081483.737670245</v>
      </c>
      <c r="F8" s="296">
        <v>11575442.567244468</v>
      </c>
      <c r="G8" s="296">
        <v>48849660.017166086</v>
      </c>
      <c r="H8" s="296">
        <v>33866005.180374451</v>
      </c>
      <c r="I8" s="296">
        <v>9034635.8502000012</v>
      </c>
      <c r="J8" s="296">
        <v>30630331.05339624</v>
      </c>
      <c r="K8" s="335">
        <v>39664966.903596237</v>
      </c>
      <c r="L8" s="334">
        <v>36.845398242205725</v>
      </c>
      <c r="M8" s="334">
        <v>3.5402055648977727E-2</v>
      </c>
      <c r="N8" s="296">
        <v>11081483.737670245</v>
      </c>
      <c r="O8" s="296">
        <v>11575442.567244468</v>
      </c>
      <c r="P8" s="296">
        <v>48849660.017166086</v>
      </c>
      <c r="Q8" s="296">
        <v>33866005.180374451</v>
      </c>
      <c r="R8" s="296">
        <v>8974169.6715000011</v>
      </c>
      <c r="S8" s="296">
        <v>30630331.05339624</v>
      </c>
      <c r="T8" s="335">
        <v>39604500.724896237</v>
      </c>
      <c r="U8" s="336" t="s">
        <v>316</v>
      </c>
      <c r="V8" s="14">
        <v>2340203.4050850002</v>
      </c>
      <c r="W8" s="14">
        <v>1187517.0041500002</v>
      </c>
      <c r="X8" s="14">
        <v>434234.48019999999</v>
      </c>
      <c r="Y8" s="14">
        <v>168633.55000000002</v>
      </c>
      <c r="Z8" s="14">
        <v>1930280.4446770195</v>
      </c>
      <c r="AA8" s="14">
        <v>0</v>
      </c>
      <c r="AB8" s="14">
        <v>880797.25550000009</v>
      </c>
      <c r="AC8" s="14">
        <v>465093.75810000004</v>
      </c>
      <c r="AD8" s="14">
        <v>1243031.482122018</v>
      </c>
      <c r="AE8" s="14">
        <v>2431692.3578362074</v>
      </c>
      <c r="AF8" s="14">
        <v>1850224.6838327614</v>
      </c>
      <c r="AG8" s="14">
        <v>45280008.666666657</v>
      </c>
      <c r="AH8" s="14">
        <v>1719426.6666666665</v>
      </c>
      <c r="AI8" s="337">
        <v>0.93905634387641701</v>
      </c>
    </row>
    <row r="9" spans="1:35" x14ac:dyDescent="0.25">
      <c r="A9" s="49" t="s">
        <v>33</v>
      </c>
      <c r="B9" s="333" t="s">
        <v>34</v>
      </c>
      <c r="C9" s="334">
        <v>23.184596959317162</v>
      </c>
      <c r="D9" s="334">
        <v>2.6666666666666666E-3</v>
      </c>
      <c r="E9" s="296">
        <v>127300658.42742704</v>
      </c>
      <c r="F9" s="296">
        <v>114297002.51481591</v>
      </c>
      <c r="G9" s="296">
        <v>233751530.78202063</v>
      </c>
      <c r="H9" s="296">
        <v>177044533.36133441</v>
      </c>
      <c r="I9" s="296">
        <v>182110710.752693</v>
      </c>
      <c r="J9" s="296">
        <v>132421132.16460791</v>
      </c>
      <c r="K9" s="335">
        <v>314531842.91730094</v>
      </c>
      <c r="L9" s="334">
        <v>23.184596959317162</v>
      </c>
      <c r="M9" s="334">
        <v>2.6666666666666666E-3</v>
      </c>
      <c r="N9" s="296">
        <v>127300658.42742704</v>
      </c>
      <c r="O9" s="296">
        <v>114297002.51481591</v>
      </c>
      <c r="P9" s="296">
        <v>231725274.97720951</v>
      </c>
      <c r="Q9" s="296">
        <v>175509837.4719286</v>
      </c>
      <c r="R9" s="296">
        <v>182110710.752693</v>
      </c>
      <c r="S9" s="296">
        <v>132421132.16460791</v>
      </c>
      <c r="T9" s="335">
        <v>314531842.91730094</v>
      </c>
      <c r="U9" s="336" t="s">
        <v>317</v>
      </c>
      <c r="V9" s="14">
        <v>6983.9567999999999</v>
      </c>
      <c r="W9" s="14">
        <v>0</v>
      </c>
      <c r="X9" s="14">
        <v>0</v>
      </c>
      <c r="Y9" s="14">
        <v>257082.00000000003</v>
      </c>
      <c r="Z9" s="14">
        <v>63352842.778379276</v>
      </c>
      <c r="AA9" s="14">
        <v>0</v>
      </c>
      <c r="AB9" s="14">
        <v>22827813.766400002</v>
      </c>
      <c r="AC9" s="14">
        <v>25905528.122749999</v>
      </c>
      <c r="AD9" s="14">
        <v>74760.498561130677</v>
      </c>
      <c r="AE9" s="14">
        <v>14875647.304536635</v>
      </c>
      <c r="AF9" s="14">
        <v>225438041.95783922</v>
      </c>
      <c r="AG9" s="14">
        <v>1841461.3333333335</v>
      </c>
      <c r="AH9" s="14">
        <v>4445771.6860369332</v>
      </c>
      <c r="AI9" s="337">
        <v>0.89668309376143196</v>
      </c>
    </row>
    <row r="10" spans="1:35" x14ac:dyDescent="0.25">
      <c r="A10" s="49" t="s">
        <v>35</v>
      </c>
      <c r="B10" s="333" t="s">
        <v>36</v>
      </c>
      <c r="C10" s="334">
        <v>35.920448884170099</v>
      </c>
      <c r="D10" s="334">
        <v>1.7403411068569441E-4</v>
      </c>
      <c r="E10" s="296">
        <v>60315240.467536293</v>
      </c>
      <c r="F10" s="296">
        <v>58128316.251358703</v>
      </c>
      <c r="G10" s="296">
        <v>78892810.952692017</v>
      </c>
      <c r="H10" s="296">
        <v>54313653.505137242</v>
      </c>
      <c r="I10" s="296">
        <v>68931931.115894988</v>
      </c>
      <c r="J10" s="296">
        <v>47139709.513604656</v>
      </c>
      <c r="K10" s="335">
        <v>116071640.62949966</v>
      </c>
      <c r="L10" s="334">
        <v>35.920448884170099</v>
      </c>
      <c r="M10" s="334">
        <v>1.7403411068569441E-4</v>
      </c>
      <c r="N10" s="296">
        <v>60315240.467536293</v>
      </c>
      <c r="O10" s="296">
        <v>58128316.251358703</v>
      </c>
      <c r="P10" s="296">
        <v>77754181.766241744</v>
      </c>
      <c r="Q10" s="296">
        <v>53529765.716669671</v>
      </c>
      <c r="R10" s="296">
        <v>68931931.115894988</v>
      </c>
      <c r="S10" s="296">
        <v>47139709.513604656</v>
      </c>
      <c r="T10" s="335">
        <v>116071640.62949966</v>
      </c>
      <c r="U10" s="336" t="s">
        <v>317</v>
      </c>
      <c r="V10" s="14">
        <v>216728.46752400001</v>
      </c>
      <c r="W10" s="14">
        <v>4303122.8747000005</v>
      </c>
      <c r="X10" s="14">
        <v>0</v>
      </c>
      <c r="Y10" s="14">
        <v>1166338.1870000002</v>
      </c>
      <c r="Z10" s="14">
        <v>24122480.523094155</v>
      </c>
      <c r="AA10" s="14">
        <v>0</v>
      </c>
      <c r="AB10" s="14">
        <v>7548585.5915000001</v>
      </c>
      <c r="AC10" s="14">
        <v>16361069.309999999</v>
      </c>
      <c r="AD10" s="14">
        <v>81634.571232638642</v>
      </c>
      <c r="AE10" s="14">
        <v>6515280.9424855029</v>
      </c>
      <c r="AF10" s="14">
        <v>48928888.686241746</v>
      </c>
      <c r="AG10" s="14">
        <v>26905666.41333333</v>
      </c>
      <c r="AH10" s="14">
        <v>1919626.6666666665</v>
      </c>
      <c r="AI10" s="337">
        <v>0.91808194301741497</v>
      </c>
    </row>
    <row r="11" spans="1:35" x14ac:dyDescent="0.25">
      <c r="A11" s="49" t="s">
        <v>37</v>
      </c>
      <c r="B11" s="333" t="s">
        <v>38</v>
      </c>
      <c r="C11" s="334">
        <v>37.165769653854923</v>
      </c>
      <c r="D11" s="334">
        <v>3.1647187381311996E-2</v>
      </c>
      <c r="E11" s="296">
        <v>24810169.757879466</v>
      </c>
      <c r="F11" s="296">
        <v>25760473.188516121</v>
      </c>
      <c r="G11" s="296">
        <v>72359680.00727427</v>
      </c>
      <c r="H11" s="296">
        <v>49965119.71473179</v>
      </c>
      <c r="I11" s="296">
        <v>29725869.649946</v>
      </c>
      <c r="J11" s="296">
        <v>43155790.929546639</v>
      </c>
      <c r="K11" s="335">
        <v>72881660.579492629</v>
      </c>
      <c r="L11" s="334">
        <v>37.165769653854923</v>
      </c>
      <c r="M11" s="334">
        <v>3.1647187381311996E-2</v>
      </c>
      <c r="N11" s="296">
        <v>24810169.757879466</v>
      </c>
      <c r="O11" s="296">
        <v>25760473.188516121</v>
      </c>
      <c r="P11" s="296">
        <v>72359680.00727427</v>
      </c>
      <c r="Q11" s="296">
        <v>49965119.71473179</v>
      </c>
      <c r="R11" s="296">
        <v>29725869.649946</v>
      </c>
      <c r="S11" s="296">
        <v>43155790.929546639</v>
      </c>
      <c r="T11" s="335">
        <v>72881660.579492629</v>
      </c>
      <c r="U11" s="336" t="s">
        <v>316</v>
      </c>
      <c r="V11" s="14">
        <v>3008370.7611210002</v>
      </c>
      <c r="W11" s="14">
        <v>3337969.12525</v>
      </c>
      <c r="X11" s="14">
        <v>4315.79</v>
      </c>
      <c r="Y11" s="14">
        <v>275445</v>
      </c>
      <c r="Z11" s="14">
        <v>10725669.330943443</v>
      </c>
      <c r="AA11" s="14">
        <v>0</v>
      </c>
      <c r="AB11" s="14">
        <v>1126083.5172950001</v>
      </c>
      <c r="AC11" s="14">
        <v>1496312.8151</v>
      </c>
      <c r="AD11" s="14">
        <v>1560128.7198389471</v>
      </c>
      <c r="AE11" s="14">
        <v>3275874.6983310757</v>
      </c>
      <c r="AF11" s="14">
        <v>7554301.2294957349</v>
      </c>
      <c r="AG11" s="14">
        <v>63760490.439766675</v>
      </c>
      <c r="AH11" s="14">
        <v>1044888.3380118632</v>
      </c>
      <c r="AI11" s="337">
        <v>0.906774046547702</v>
      </c>
    </row>
    <row r="12" spans="1:35" x14ac:dyDescent="0.25">
      <c r="A12" s="49" t="s">
        <v>39</v>
      </c>
      <c r="B12" s="333" t="s">
        <v>40</v>
      </c>
      <c r="C12" s="334">
        <v>46.958082394737133</v>
      </c>
      <c r="D12" s="334">
        <v>0.13819871794871796</v>
      </c>
      <c r="E12" s="296">
        <v>6848637.851662511</v>
      </c>
      <c r="F12" s="296">
        <v>9053364.3575465232</v>
      </c>
      <c r="G12" s="296">
        <v>31693275.958666667</v>
      </c>
      <c r="H12" s="296">
        <v>21158484.118643783</v>
      </c>
      <c r="I12" s="296">
        <v>8651144.5527000017</v>
      </c>
      <c r="J12" s="296">
        <v>32177807.466756411</v>
      </c>
      <c r="K12" s="335">
        <v>40828952.019456409</v>
      </c>
      <c r="L12" s="334">
        <v>46.958082394737133</v>
      </c>
      <c r="M12" s="334">
        <v>0.13819871794871796</v>
      </c>
      <c r="N12" s="296">
        <v>6848637.851662511</v>
      </c>
      <c r="O12" s="296">
        <v>9053364.3575465232</v>
      </c>
      <c r="P12" s="296">
        <v>30881913.466666657</v>
      </c>
      <c r="Q12" s="296">
        <v>20616817.159890942</v>
      </c>
      <c r="R12" s="296">
        <v>8651144.5527000017</v>
      </c>
      <c r="S12" s="296">
        <v>32177807.466756411</v>
      </c>
      <c r="T12" s="335">
        <v>40828952.019456409</v>
      </c>
      <c r="U12" s="336" t="s">
        <v>315</v>
      </c>
      <c r="V12" s="14">
        <v>2155119.6263000001</v>
      </c>
      <c r="W12" s="14">
        <v>574381.03560000006</v>
      </c>
      <c r="X12" s="14">
        <v>386293.17250000004</v>
      </c>
      <c r="Y12" s="14">
        <v>267408.12700000004</v>
      </c>
      <c r="Z12" s="14">
        <v>0</v>
      </c>
      <c r="AA12" s="14">
        <v>0</v>
      </c>
      <c r="AB12" s="14">
        <v>0</v>
      </c>
      <c r="AC12" s="14">
        <v>0</v>
      </c>
      <c r="AD12" s="14">
        <v>1006612.7321626612</v>
      </c>
      <c r="AE12" s="14">
        <v>2458823.1580998506</v>
      </c>
      <c r="AF12" s="14">
        <v>0</v>
      </c>
      <c r="AG12" s="14">
        <v>30809100.133333325</v>
      </c>
      <c r="AH12" s="14">
        <v>72813.333333333343</v>
      </c>
      <c r="AI12" s="337">
        <v>0.70674236418669101</v>
      </c>
    </row>
    <row r="13" spans="1:35" x14ac:dyDescent="0.25">
      <c r="A13" s="49" t="s">
        <v>41</v>
      </c>
      <c r="B13" s="333" t="s">
        <v>42</v>
      </c>
      <c r="C13" s="334">
        <v>35.505736098941775</v>
      </c>
      <c r="D13" s="334">
        <v>3.7016968236409611E-2</v>
      </c>
      <c r="E13" s="296">
        <v>17535332.709759451</v>
      </c>
      <c r="F13" s="296">
        <v>18246380.463344652</v>
      </c>
      <c r="G13" s="296">
        <v>58912175.120661557</v>
      </c>
      <c r="H13" s="296">
        <v>41291479.078797989</v>
      </c>
      <c r="I13" s="296">
        <v>18610332.39875</v>
      </c>
      <c r="J13" s="296">
        <v>39173697.156902552</v>
      </c>
      <c r="K13" s="335">
        <v>57784029.555652544</v>
      </c>
      <c r="L13" s="334">
        <v>35.505736098941775</v>
      </c>
      <c r="M13" s="334">
        <v>3.7016968236409611E-2</v>
      </c>
      <c r="N13" s="296">
        <v>17535332.709759451</v>
      </c>
      <c r="O13" s="296">
        <v>18246380.463344652</v>
      </c>
      <c r="P13" s="296">
        <v>58912175.120661557</v>
      </c>
      <c r="Q13" s="296">
        <v>41291479.078797989</v>
      </c>
      <c r="R13" s="296">
        <v>18611212.39875</v>
      </c>
      <c r="S13" s="296">
        <v>39173697.156902552</v>
      </c>
      <c r="T13" s="335">
        <v>57784909.555652544</v>
      </c>
      <c r="U13" s="336" t="s">
        <v>316</v>
      </c>
      <c r="V13" s="14">
        <v>2861613.7821</v>
      </c>
      <c r="W13" s="14">
        <v>2229472.1966000004</v>
      </c>
      <c r="X13" s="14">
        <v>111346.41680000001</v>
      </c>
      <c r="Y13" s="14">
        <v>164042.80000000002</v>
      </c>
      <c r="Z13" s="14">
        <v>5499809.4745601583</v>
      </c>
      <c r="AA13" s="14">
        <v>0</v>
      </c>
      <c r="AB13" s="14">
        <v>1269640.8005000001</v>
      </c>
      <c r="AC13" s="14">
        <v>1659136.35185</v>
      </c>
      <c r="AD13" s="14">
        <v>1348155.5067779114</v>
      </c>
      <c r="AE13" s="14">
        <v>2392115.3805713831</v>
      </c>
      <c r="AF13" s="14">
        <v>5157527.7715448709</v>
      </c>
      <c r="AG13" s="14">
        <v>52403876.681486219</v>
      </c>
      <c r="AH13" s="14">
        <v>1350770.6676304608</v>
      </c>
      <c r="AI13" s="337">
        <v>0.86548136564338396</v>
      </c>
    </row>
    <row r="14" spans="1:35" x14ac:dyDescent="0.25">
      <c r="A14" s="49" t="s">
        <v>43</v>
      </c>
      <c r="B14" s="333" t="s">
        <v>44</v>
      </c>
      <c r="C14" s="334">
        <v>35.446963040524835</v>
      </c>
      <c r="D14" s="334">
        <v>4.4028538614884635E-2</v>
      </c>
      <c r="E14" s="296">
        <v>19320692.584669057</v>
      </c>
      <c r="F14" s="296">
        <v>20388728.948504519</v>
      </c>
      <c r="G14" s="296">
        <v>75092336.919979766</v>
      </c>
      <c r="H14" s="296">
        <v>52801949.572324038</v>
      </c>
      <c r="I14" s="296">
        <v>17932968.448100001</v>
      </c>
      <c r="J14" s="296">
        <v>49331679.12345086</v>
      </c>
      <c r="K14" s="335">
        <v>67264647.571550861</v>
      </c>
      <c r="L14" s="334">
        <v>35.446963040524835</v>
      </c>
      <c r="M14" s="334">
        <v>4.4028538614884635E-2</v>
      </c>
      <c r="N14" s="296">
        <v>19320692.584669057</v>
      </c>
      <c r="O14" s="296">
        <v>20388728.948504519</v>
      </c>
      <c r="P14" s="296">
        <v>73269482.011739284</v>
      </c>
      <c r="Q14" s="296">
        <v>51520190.382366426</v>
      </c>
      <c r="R14" s="296">
        <v>17932968.448100001</v>
      </c>
      <c r="S14" s="296">
        <v>49331679.12345086</v>
      </c>
      <c r="T14" s="335">
        <v>67264647.571550861</v>
      </c>
      <c r="U14" s="336" t="s">
        <v>316</v>
      </c>
      <c r="V14" s="14">
        <v>3327781.2590730004</v>
      </c>
      <c r="W14" s="14">
        <v>4543817.3328499999</v>
      </c>
      <c r="X14" s="14">
        <v>480195.11285000003</v>
      </c>
      <c r="Y14" s="14">
        <v>166469.77650000001</v>
      </c>
      <c r="Z14" s="14">
        <v>4498120.1672537699</v>
      </c>
      <c r="AA14" s="14">
        <v>8589.6209999999992</v>
      </c>
      <c r="AB14" s="14">
        <v>1199447.8214150001</v>
      </c>
      <c r="AC14" s="14">
        <v>645606.95860000001</v>
      </c>
      <c r="AD14" s="14">
        <v>1460698.9893440143</v>
      </c>
      <c r="AE14" s="14">
        <v>2989965.5457832739</v>
      </c>
      <c r="AF14" s="14">
        <v>3940003.8116404973</v>
      </c>
      <c r="AG14" s="14">
        <v>68265598.427508488</v>
      </c>
      <c r="AH14" s="14">
        <v>1063879.7725902963</v>
      </c>
      <c r="AI14" s="337">
        <v>0.87420560932803804</v>
      </c>
    </row>
    <row r="15" spans="1:35" x14ac:dyDescent="0.25">
      <c r="A15" s="49" t="s">
        <v>45</v>
      </c>
      <c r="B15" s="333" t="s">
        <v>46</v>
      </c>
      <c r="C15" s="334">
        <v>35.478288760214333</v>
      </c>
      <c r="D15" s="334">
        <v>2.4239316515041825E-2</v>
      </c>
      <c r="E15" s="296">
        <v>51091274.374063224</v>
      </c>
      <c r="F15" s="296">
        <v>51753076.378517769</v>
      </c>
      <c r="G15" s="296">
        <v>251085221.35523051</v>
      </c>
      <c r="H15" s="296">
        <v>175131700.05867845</v>
      </c>
      <c r="I15" s="296">
        <v>55020762.711350001</v>
      </c>
      <c r="J15" s="296">
        <v>133152944.07360393</v>
      </c>
      <c r="K15" s="335">
        <v>188173706.78495392</v>
      </c>
      <c r="L15" s="334">
        <v>35.478288760214333</v>
      </c>
      <c r="M15" s="334">
        <v>2.4239316515041825E-2</v>
      </c>
      <c r="N15" s="296">
        <v>51091274.374063224</v>
      </c>
      <c r="O15" s="296">
        <v>51753076.378517769</v>
      </c>
      <c r="P15" s="296">
        <v>251085221.35523051</v>
      </c>
      <c r="Q15" s="296">
        <v>175131700.05867845</v>
      </c>
      <c r="R15" s="296">
        <v>55020762.711350001</v>
      </c>
      <c r="S15" s="296">
        <v>133152944.07360393</v>
      </c>
      <c r="T15" s="335">
        <v>188173706.78495392</v>
      </c>
      <c r="U15" s="336" t="s">
        <v>316</v>
      </c>
      <c r="V15" s="14">
        <v>11953234.306613501</v>
      </c>
      <c r="W15" s="14">
        <v>5609427.3410000009</v>
      </c>
      <c r="X15" s="14">
        <v>1461536.4139999999</v>
      </c>
      <c r="Y15" s="14">
        <v>610144.34050000005</v>
      </c>
      <c r="Z15" s="14">
        <v>18717198.041223202</v>
      </c>
      <c r="AA15" s="14">
        <v>0</v>
      </c>
      <c r="AB15" s="14">
        <v>1662681.9011945</v>
      </c>
      <c r="AC15" s="14">
        <v>2112229.8017570004</v>
      </c>
      <c r="AD15" s="14">
        <v>1977628.484803196</v>
      </c>
      <c r="AE15" s="14">
        <v>6987193.7429718208</v>
      </c>
      <c r="AF15" s="14">
        <v>15251931.74792021</v>
      </c>
      <c r="AG15" s="14">
        <v>232411836.27397695</v>
      </c>
      <c r="AH15" s="14">
        <v>3421453.3333333335</v>
      </c>
      <c r="AI15" s="337">
        <v>1</v>
      </c>
    </row>
    <row r="16" spans="1:35" x14ac:dyDescent="0.25">
      <c r="A16" s="49" t="s">
        <v>47</v>
      </c>
      <c r="B16" s="333" t="s">
        <v>48</v>
      </c>
      <c r="C16" s="334">
        <v>36.743050723151754</v>
      </c>
      <c r="D16" s="334">
        <v>4.8091674554482003E-2</v>
      </c>
      <c r="E16" s="296">
        <v>86610192.912459105</v>
      </c>
      <c r="F16" s="296">
        <v>92781698.794908538</v>
      </c>
      <c r="G16" s="296">
        <v>266231811.06212446</v>
      </c>
      <c r="H16" s="296">
        <v>185654400.04508454</v>
      </c>
      <c r="I16" s="296">
        <v>87226460.535400003</v>
      </c>
      <c r="J16" s="296">
        <v>168571099.35858238</v>
      </c>
      <c r="K16" s="335">
        <v>255797559.89398238</v>
      </c>
      <c r="L16" s="334">
        <v>36.743050723151754</v>
      </c>
      <c r="M16" s="334">
        <v>4.8091674554482003E-2</v>
      </c>
      <c r="N16" s="296">
        <v>86610192.912459105</v>
      </c>
      <c r="O16" s="296">
        <v>92781698.794908538</v>
      </c>
      <c r="P16" s="296">
        <v>266231811.06212446</v>
      </c>
      <c r="Q16" s="296">
        <v>185654400.04508454</v>
      </c>
      <c r="R16" s="296">
        <v>87226460.535400003</v>
      </c>
      <c r="S16" s="296">
        <v>168571099.35858238</v>
      </c>
      <c r="T16" s="335">
        <v>255797559.89398238</v>
      </c>
      <c r="U16" s="336" t="s">
        <v>316</v>
      </c>
      <c r="V16" s="14">
        <v>11926265.917479999</v>
      </c>
      <c r="W16" s="14">
        <v>7787782.7638600003</v>
      </c>
      <c r="X16" s="14">
        <v>1402129.24945</v>
      </c>
      <c r="Y16" s="14">
        <v>242318.14800000002</v>
      </c>
      <c r="Z16" s="14">
        <v>38574120.779069811</v>
      </c>
      <c r="AA16" s="14">
        <v>22905.655999999999</v>
      </c>
      <c r="AB16" s="14">
        <v>5731096.8675500005</v>
      </c>
      <c r="AC16" s="14">
        <v>2523170.046635</v>
      </c>
      <c r="AD16" s="14">
        <v>2444030.0381245473</v>
      </c>
      <c r="AE16" s="14">
        <v>15956373.446289752</v>
      </c>
      <c r="AF16" s="14">
        <v>46330305.161457755</v>
      </c>
      <c r="AG16" s="14">
        <v>211524865.90066671</v>
      </c>
      <c r="AH16" s="14">
        <v>8376640</v>
      </c>
      <c r="AI16" s="337">
        <v>0.96560832270269104</v>
      </c>
    </row>
    <row r="17" spans="1:35" x14ac:dyDescent="0.25">
      <c r="A17" s="49" t="s">
        <v>49</v>
      </c>
      <c r="B17" s="333" t="s">
        <v>50</v>
      </c>
      <c r="C17" s="334">
        <v>33.47727749660416</v>
      </c>
      <c r="D17" s="334">
        <v>2.6535851580489791E-2</v>
      </c>
      <c r="E17" s="296">
        <v>26363228.845243543</v>
      </c>
      <c r="F17" s="296">
        <v>26539649.958071079</v>
      </c>
      <c r="G17" s="296">
        <v>110091849.23653254</v>
      </c>
      <c r="H17" s="296">
        <v>78039923.949023843</v>
      </c>
      <c r="I17" s="296">
        <v>24461748.966200002</v>
      </c>
      <c r="J17" s="296">
        <v>67516922.894988313</v>
      </c>
      <c r="K17" s="335">
        <v>91978671.861188307</v>
      </c>
      <c r="L17" s="334">
        <v>33.47727749660416</v>
      </c>
      <c r="M17" s="334">
        <v>2.6535851580489791E-2</v>
      </c>
      <c r="N17" s="296">
        <v>26363228.845243543</v>
      </c>
      <c r="O17" s="296">
        <v>26539649.958071079</v>
      </c>
      <c r="P17" s="296">
        <v>110091849.23653254</v>
      </c>
      <c r="Q17" s="296">
        <v>78039923.949023843</v>
      </c>
      <c r="R17" s="296">
        <v>24461748.966200002</v>
      </c>
      <c r="S17" s="296">
        <v>67516922.894988313</v>
      </c>
      <c r="T17" s="335">
        <v>91978671.861188307</v>
      </c>
      <c r="U17" s="336" t="s">
        <v>316</v>
      </c>
      <c r="V17" s="14">
        <v>3913581.0243350007</v>
      </c>
      <c r="W17" s="14">
        <v>4066408.4893499999</v>
      </c>
      <c r="X17" s="14">
        <v>1229909.3379500001</v>
      </c>
      <c r="Y17" s="14">
        <v>28242.294000000002</v>
      </c>
      <c r="Z17" s="14">
        <v>9895439.4973541014</v>
      </c>
      <c r="AA17" s="14">
        <v>42948.104999999996</v>
      </c>
      <c r="AB17" s="14">
        <v>1302950.6976574999</v>
      </c>
      <c r="AC17" s="14">
        <v>1083692.3813</v>
      </c>
      <c r="AD17" s="14">
        <v>1478050.1053162613</v>
      </c>
      <c r="AE17" s="14">
        <v>3322006.9129806859</v>
      </c>
      <c r="AF17" s="14">
        <v>9768607.5998658855</v>
      </c>
      <c r="AG17" s="14">
        <v>99291441.636666656</v>
      </c>
      <c r="AH17" s="14">
        <v>1031800</v>
      </c>
      <c r="AI17" s="337">
        <v>0.92470471443934898</v>
      </c>
    </row>
    <row r="18" spans="1:35" x14ac:dyDescent="0.25">
      <c r="A18" s="49" t="s">
        <v>51</v>
      </c>
      <c r="B18" s="333" t="s">
        <v>52</v>
      </c>
      <c r="C18" s="334">
        <v>35.247441791912095</v>
      </c>
      <c r="D18" s="334">
        <v>2.6621045297850546E-2</v>
      </c>
      <c r="E18" s="296">
        <v>10284500.050084729</v>
      </c>
      <c r="F18" s="296">
        <v>10457045.250407817</v>
      </c>
      <c r="G18" s="296">
        <v>61614894.429563269</v>
      </c>
      <c r="H18" s="296">
        <v>43093304.84109427</v>
      </c>
      <c r="I18" s="296">
        <v>7956586.5697874986</v>
      </c>
      <c r="J18" s="296">
        <v>50068260.120603576</v>
      </c>
      <c r="K18" s="335">
        <v>58024846.690391071</v>
      </c>
      <c r="L18" s="334">
        <v>35.247441791912095</v>
      </c>
      <c r="M18" s="334">
        <v>2.6621045297850546E-2</v>
      </c>
      <c r="N18" s="296">
        <v>10284500.050084729</v>
      </c>
      <c r="O18" s="296">
        <v>10457045.250407817</v>
      </c>
      <c r="P18" s="296">
        <v>59911112.801148072</v>
      </c>
      <c r="Q18" s="296">
        <v>41901684.18223092</v>
      </c>
      <c r="R18" s="296">
        <v>7956586.5697874986</v>
      </c>
      <c r="S18" s="296">
        <v>50068260.120603576</v>
      </c>
      <c r="T18" s="335">
        <v>58024846.690391071</v>
      </c>
      <c r="U18" s="336" t="s">
        <v>315</v>
      </c>
      <c r="V18" s="14">
        <v>2873666.7476110002</v>
      </c>
      <c r="W18" s="14">
        <v>3697874.7195500005</v>
      </c>
      <c r="X18" s="14">
        <v>286312.04729999998</v>
      </c>
      <c r="Y18" s="14">
        <v>41530.985000000001</v>
      </c>
      <c r="Z18" s="14">
        <v>0</v>
      </c>
      <c r="AA18" s="14">
        <v>151749.97099999999</v>
      </c>
      <c r="AB18" s="14">
        <v>0</v>
      </c>
      <c r="AC18" s="14">
        <v>0</v>
      </c>
      <c r="AD18" s="14">
        <v>1360171.6714734989</v>
      </c>
      <c r="AE18" s="14">
        <v>1873193.9081502291</v>
      </c>
      <c r="AF18" s="14">
        <v>0</v>
      </c>
      <c r="AG18" s="14">
        <v>59686112.801148072</v>
      </c>
      <c r="AH18" s="14">
        <v>225000</v>
      </c>
      <c r="AI18" s="337">
        <v>0.78898319206405498</v>
      </c>
    </row>
    <row r="19" spans="1:35" x14ac:dyDescent="0.25">
      <c r="A19" s="49" t="s">
        <v>53</v>
      </c>
      <c r="B19" s="333" t="s">
        <v>54</v>
      </c>
      <c r="C19" s="334">
        <v>23.268456266203398</v>
      </c>
      <c r="D19" s="334">
        <v>0</v>
      </c>
      <c r="E19" s="296">
        <v>27912044.538708985</v>
      </c>
      <c r="F19" s="296">
        <v>24914088.435313378</v>
      </c>
      <c r="G19" s="296">
        <v>21243255.076574337</v>
      </c>
      <c r="H19" s="296">
        <v>16064469.718509182</v>
      </c>
      <c r="I19" s="296">
        <v>27275680.128300004</v>
      </c>
      <c r="J19" s="296">
        <v>12317154.205490891</v>
      </c>
      <c r="K19" s="335">
        <v>39592834.333790898</v>
      </c>
      <c r="L19" s="334">
        <v>23.268456266203398</v>
      </c>
      <c r="M19" s="334">
        <v>0</v>
      </c>
      <c r="N19" s="296">
        <v>27912044.538708985</v>
      </c>
      <c r="O19" s="296">
        <v>24914088.435313378</v>
      </c>
      <c r="P19" s="296">
        <v>20963409.711042002</v>
      </c>
      <c r="Q19" s="296">
        <v>15852846.434588972</v>
      </c>
      <c r="R19" s="296">
        <v>27275680.128300004</v>
      </c>
      <c r="S19" s="296">
        <v>12317154.205490891</v>
      </c>
      <c r="T19" s="335">
        <v>39592834.333790898</v>
      </c>
      <c r="U19" s="336" t="s">
        <v>317</v>
      </c>
      <c r="V19" s="14">
        <v>0</v>
      </c>
      <c r="W19" s="14">
        <v>0</v>
      </c>
      <c r="X19" s="14">
        <v>0</v>
      </c>
      <c r="Y19" s="14">
        <v>55854.125000000007</v>
      </c>
      <c r="Z19" s="14">
        <v>21926460.571650423</v>
      </c>
      <c r="AA19" s="14">
        <v>0</v>
      </c>
      <c r="AB19" s="14">
        <v>2365347.7062500003</v>
      </c>
      <c r="AC19" s="14">
        <v>1541659.8695075002</v>
      </c>
      <c r="AD19" s="14">
        <v>50787.322169710002</v>
      </c>
      <c r="AE19" s="14">
        <v>1971934.9441313515</v>
      </c>
      <c r="AF19" s="14">
        <v>18001653.044375334</v>
      </c>
      <c r="AG19" s="14">
        <v>2037916.6666666665</v>
      </c>
      <c r="AH19" s="14">
        <v>923840</v>
      </c>
      <c r="AI19" s="337">
        <v>1</v>
      </c>
    </row>
    <row r="20" spans="1:35" x14ac:dyDescent="0.25">
      <c r="A20" s="49" t="s">
        <v>55</v>
      </c>
      <c r="B20" s="333" t="s">
        <v>56</v>
      </c>
      <c r="C20" s="334">
        <v>37.055235687012093</v>
      </c>
      <c r="D20" s="334">
        <v>2.2866855803737658E-2</v>
      </c>
      <c r="E20" s="296">
        <v>39598253.317145899</v>
      </c>
      <c r="F20" s="296">
        <v>40343774.963968813</v>
      </c>
      <c r="G20" s="296">
        <v>122442260.42089881</v>
      </c>
      <c r="H20" s="296">
        <v>84321774.675241962</v>
      </c>
      <c r="I20" s="296">
        <v>36865289.118206002</v>
      </c>
      <c r="J20" s="296">
        <v>76204568.281388313</v>
      </c>
      <c r="K20" s="335">
        <v>113069857.39959431</v>
      </c>
      <c r="L20" s="334">
        <v>37.055235687012093</v>
      </c>
      <c r="M20" s="334">
        <v>2.2866855803737658E-2</v>
      </c>
      <c r="N20" s="296">
        <v>39598253.317145899</v>
      </c>
      <c r="O20" s="296">
        <v>40343774.963968813</v>
      </c>
      <c r="P20" s="296">
        <v>122442260.42089881</v>
      </c>
      <c r="Q20" s="296">
        <v>84321774.675241962</v>
      </c>
      <c r="R20" s="296">
        <v>36865289.118206002</v>
      </c>
      <c r="S20" s="296">
        <v>76204568.281388313</v>
      </c>
      <c r="T20" s="335">
        <v>113069857.39959431</v>
      </c>
      <c r="U20" s="336" t="s">
        <v>316</v>
      </c>
      <c r="V20" s="14">
        <v>4698868.9147485001</v>
      </c>
      <c r="W20" s="14">
        <v>12362455.556700001</v>
      </c>
      <c r="X20" s="14">
        <v>427027.63194999995</v>
      </c>
      <c r="Y20" s="14">
        <v>91117.38963000002</v>
      </c>
      <c r="Z20" s="14">
        <v>11055057.6907831</v>
      </c>
      <c r="AA20" s="14">
        <v>186108.45499999999</v>
      </c>
      <c r="AB20" s="14">
        <v>2791378.6321</v>
      </c>
      <c r="AC20" s="14">
        <v>1552660.8583500001</v>
      </c>
      <c r="AD20" s="14">
        <v>1724951.2047720244</v>
      </c>
      <c r="AE20" s="14">
        <v>4708626.9831122709</v>
      </c>
      <c r="AF20" s="14">
        <v>8810629.570898816</v>
      </c>
      <c r="AG20" s="14">
        <v>111359630.84999999</v>
      </c>
      <c r="AH20" s="14">
        <v>2272000</v>
      </c>
      <c r="AI20" s="337">
        <v>0.94480475527337004</v>
      </c>
    </row>
    <row r="21" spans="1:35" x14ac:dyDescent="0.25">
      <c r="A21" s="49" t="s">
        <v>57</v>
      </c>
      <c r="B21" s="333" t="s">
        <v>58</v>
      </c>
      <c r="C21" s="334">
        <v>29.322432778851834</v>
      </c>
      <c r="D21" s="334">
        <v>7.4400223066833637E-2</v>
      </c>
      <c r="E21" s="296">
        <v>33902008.836883068</v>
      </c>
      <c r="F21" s="296">
        <v>36825990.923886731</v>
      </c>
      <c r="G21" s="296">
        <v>88950381.130663723</v>
      </c>
      <c r="H21" s="296">
        <v>66216330.77075363</v>
      </c>
      <c r="I21" s="296">
        <v>43634554.777450003</v>
      </c>
      <c r="J21" s="296">
        <v>64640186.437836438</v>
      </c>
      <c r="K21" s="335">
        <v>108274741.21528643</v>
      </c>
      <c r="L21" s="334">
        <v>29.322432778851834</v>
      </c>
      <c r="M21" s="334">
        <v>7.4400223066833637E-2</v>
      </c>
      <c r="N21" s="296">
        <v>33902008.836883068</v>
      </c>
      <c r="O21" s="296">
        <v>36825990.923886731</v>
      </c>
      <c r="P21" s="296">
        <v>87018947.33776924</v>
      </c>
      <c r="Q21" s="296">
        <v>64778535.257497258</v>
      </c>
      <c r="R21" s="296">
        <v>43634554.777450003</v>
      </c>
      <c r="S21" s="296">
        <v>64640186.437836438</v>
      </c>
      <c r="T21" s="335">
        <v>108274741.21528643</v>
      </c>
      <c r="U21" s="336" t="s">
        <v>316</v>
      </c>
      <c r="V21" s="14">
        <v>3949841.0515060001</v>
      </c>
      <c r="W21" s="14">
        <v>6721109.592600001</v>
      </c>
      <c r="X21" s="14">
        <v>522467.4057</v>
      </c>
      <c r="Y21" s="14">
        <v>63511.496000000006</v>
      </c>
      <c r="Z21" s="14">
        <v>11115001.801484233</v>
      </c>
      <c r="AA21" s="14">
        <v>0</v>
      </c>
      <c r="AB21" s="14">
        <v>1516811.8161499999</v>
      </c>
      <c r="AC21" s="14">
        <v>3135167.0198499998</v>
      </c>
      <c r="AD21" s="14">
        <v>1608043.8975674014</v>
      </c>
      <c r="AE21" s="14">
        <v>5270054.7560254382</v>
      </c>
      <c r="AF21" s="14">
        <v>10700101.165752593</v>
      </c>
      <c r="AG21" s="14">
        <v>70336746.17201665</v>
      </c>
      <c r="AH21" s="14">
        <v>5982100</v>
      </c>
      <c r="AI21" s="337">
        <v>0.85467420989615195</v>
      </c>
    </row>
    <row r="22" spans="1:35" x14ac:dyDescent="0.25">
      <c r="A22" s="49" t="s">
        <v>59</v>
      </c>
      <c r="B22" s="333" t="s">
        <v>60</v>
      </c>
      <c r="C22" s="334">
        <v>36.072593836111203</v>
      </c>
      <c r="D22" s="334">
        <v>5.3229786300268062E-2</v>
      </c>
      <c r="E22" s="296">
        <v>17526278.508019917</v>
      </c>
      <c r="F22" s="296">
        <v>18902804.724721272</v>
      </c>
      <c r="G22" s="296">
        <v>58277288.203521937</v>
      </c>
      <c r="H22" s="296">
        <v>40931701.011476949</v>
      </c>
      <c r="I22" s="296">
        <v>15137676.386296999</v>
      </c>
      <c r="J22" s="296">
        <v>42812724.18940109</v>
      </c>
      <c r="K22" s="335">
        <v>57950400.575698085</v>
      </c>
      <c r="L22" s="334">
        <v>36.072593836111203</v>
      </c>
      <c r="M22" s="334">
        <v>5.3229786300268062E-2</v>
      </c>
      <c r="N22" s="296">
        <v>17526278.508019917</v>
      </c>
      <c r="O22" s="296">
        <v>18902804.724721272</v>
      </c>
      <c r="P22" s="296">
        <v>56671697.509063959</v>
      </c>
      <c r="Q22" s="296">
        <v>39803996.544123374</v>
      </c>
      <c r="R22" s="296">
        <v>15137676.386296999</v>
      </c>
      <c r="S22" s="296">
        <v>42812724.18940109</v>
      </c>
      <c r="T22" s="335">
        <v>57950400.575698085</v>
      </c>
      <c r="U22" s="336" t="s">
        <v>316</v>
      </c>
      <c r="V22" s="14">
        <v>2895436.60286</v>
      </c>
      <c r="W22" s="14">
        <v>3117124.3530999999</v>
      </c>
      <c r="X22" s="14">
        <v>314717.65840000001</v>
      </c>
      <c r="Y22" s="14">
        <v>65892.565000000002</v>
      </c>
      <c r="Z22" s="14">
        <v>4504600.1886249576</v>
      </c>
      <c r="AA22" s="14">
        <v>2863.2069999999999</v>
      </c>
      <c r="AB22" s="14">
        <v>1007689.173805</v>
      </c>
      <c r="AC22" s="14">
        <v>948190.96430000011</v>
      </c>
      <c r="AD22" s="14">
        <v>1302651.7583080139</v>
      </c>
      <c r="AE22" s="14">
        <v>3367112.0366219417</v>
      </c>
      <c r="AF22" s="14">
        <v>3988620.1090639615</v>
      </c>
      <c r="AG22" s="14">
        <v>52178024.066666663</v>
      </c>
      <c r="AH22" s="14">
        <v>505053.33333333331</v>
      </c>
      <c r="AI22" s="337">
        <v>0.86622186782920796</v>
      </c>
    </row>
    <row r="23" spans="1:35" x14ac:dyDescent="0.25">
      <c r="A23" s="49" t="s">
        <v>61</v>
      </c>
      <c r="B23" s="333" t="s">
        <v>62</v>
      </c>
      <c r="C23" s="334">
        <v>32.372663345234088</v>
      </c>
      <c r="D23" s="334">
        <v>4.0825464146867524E-2</v>
      </c>
      <c r="E23" s="296">
        <v>43762554.776704893</v>
      </c>
      <c r="F23" s="296">
        <v>45128057.121917002</v>
      </c>
      <c r="G23" s="296">
        <v>129656791.1836967</v>
      </c>
      <c r="H23" s="296">
        <v>93190739.253484875</v>
      </c>
      <c r="I23" s="296">
        <v>46049181.970850006</v>
      </c>
      <c r="J23" s="296">
        <v>86710643.50359726</v>
      </c>
      <c r="K23" s="335">
        <v>132759825.47444727</v>
      </c>
      <c r="L23" s="334">
        <v>32.372663345234088</v>
      </c>
      <c r="M23" s="334">
        <v>4.0825464146867524E-2</v>
      </c>
      <c r="N23" s="296">
        <v>43762554.776704893</v>
      </c>
      <c r="O23" s="296">
        <v>45128057.121917002</v>
      </c>
      <c r="P23" s="296">
        <v>129656791.1836967</v>
      </c>
      <c r="Q23" s="296">
        <v>93190739.253484875</v>
      </c>
      <c r="R23" s="296">
        <v>46049181.970850006</v>
      </c>
      <c r="S23" s="296">
        <v>86710643.50359726</v>
      </c>
      <c r="T23" s="335">
        <v>132759825.47444727</v>
      </c>
      <c r="U23" s="336" t="s">
        <v>316</v>
      </c>
      <c r="V23" s="14">
        <v>5983011.1249135006</v>
      </c>
      <c r="W23" s="14">
        <v>3469752.5013500005</v>
      </c>
      <c r="X23" s="14">
        <v>1109182.8532</v>
      </c>
      <c r="Y23" s="14">
        <v>109584.26300000001</v>
      </c>
      <c r="Z23" s="14">
        <v>18516154.738190398</v>
      </c>
      <c r="AA23" s="14">
        <v>20042.449000000001</v>
      </c>
      <c r="AB23" s="14">
        <v>2958246.8435</v>
      </c>
      <c r="AC23" s="14">
        <v>1618982.0066</v>
      </c>
      <c r="AD23" s="14">
        <v>1584166.0217076659</v>
      </c>
      <c r="AE23" s="14">
        <v>8393431.975243317</v>
      </c>
      <c r="AF23" s="14">
        <v>33074528.914530043</v>
      </c>
      <c r="AG23" s="14">
        <v>94273288.935833335</v>
      </c>
      <c r="AH23" s="14">
        <v>2308973.333333333</v>
      </c>
      <c r="AI23" s="337">
        <v>0.89800344882182703</v>
      </c>
    </row>
    <row r="24" spans="1:35" x14ac:dyDescent="0.25">
      <c r="A24" s="49" t="s">
        <v>63</v>
      </c>
      <c r="B24" s="333" t="s">
        <v>64</v>
      </c>
      <c r="C24" s="334">
        <v>26.699622546775135</v>
      </c>
      <c r="D24" s="334">
        <v>0.32147051130062293</v>
      </c>
      <c r="E24" s="296">
        <v>14279347.307743311</v>
      </c>
      <c r="F24" s="296">
        <v>22878497.423292961</v>
      </c>
      <c r="G24" s="296">
        <v>48114547.267114051</v>
      </c>
      <c r="H24" s="296">
        <v>39793713.056373462</v>
      </c>
      <c r="I24" s="296">
        <v>23400036.258790504</v>
      </c>
      <c r="J24" s="296">
        <v>33444979.956579238</v>
      </c>
      <c r="K24" s="335">
        <v>56845016.215369746</v>
      </c>
      <c r="L24" s="334">
        <v>26.699622546775135</v>
      </c>
      <c r="M24" s="334">
        <v>0.32147051130062293</v>
      </c>
      <c r="N24" s="296">
        <v>14279347.307743311</v>
      </c>
      <c r="O24" s="296">
        <v>22878497.423292961</v>
      </c>
      <c r="P24" s="296">
        <v>46842215.665619001</v>
      </c>
      <c r="Q24" s="296">
        <v>38741415.954181753</v>
      </c>
      <c r="R24" s="296">
        <v>26711223.073790506</v>
      </c>
      <c r="S24" s="296">
        <v>33444979.956579238</v>
      </c>
      <c r="T24" s="335">
        <v>60156203.030369744</v>
      </c>
      <c r="U24" s="336" t="s">
        <v>315</v>
      </c>
      <c r="V24" s="14">
        <v>5216398.2830110006</v>
      </c>
      <c r="W24" s="14">
        <v>1012479.5299280001</v>
      </c>
      <c r="X24" s="14">
        <v>3046.44</v>
      </c>
      <c r="Y24" s="14">
        <v>85754.475480000008</v>
      </c>
      <c r="Z24" s="14">
        <v>0</v>
      </c>
      <c r="AA24" s="14">
        <v>0</v>
      </c>
      <c r="AB24" s="14">
        <v>0</v>
      </c>
      <c r="AC24" s="14">
        <v>0</v>
      </c>
      <c r="AD24" s="14">
        <v>945669.9663380282</v>
      </c>
      <c r="AE24" s="14">
        <v>7015998.6129862824</v>
      </c>
      <c r="AF24" s="14">
        <v>39770.649407933321</v>
      </c>
      <c r="AG24" s="14">
        <v>44901618.349544406</v>
      </c>
      <c r="AH24" s="14">
        <v>1900826.6666666667</v>
      </c>
      <c r="AI24" s="337">
        <v>0.93071501963959302</v>
      </c>
    </row>
    <row r="25" spans="1:35" x14ac:dyDescent="0.25">
      <c r="A25" s="49" t="s">
        <v>65</v>
      </c>
      <c r="B25" s="333" t="s">
        <v>66</v>
      </c>
      <c r="C25" s="334">
        <v>34.228523802626782</v>
      </c>
      <c r="D25" s="334">
        <v>4.746601659790349E-2</v>
      </c>
      <c r="E25" s="296">
        <v>62948859.113450415</v>
      </c>
      <c r="F25" s="296">
        <v>66464309.031006783</v>
      </c>
      <c r="G25" s="296">
        <v>146227501.82225022</v>
      </c>
      <c r="H25" s="296">
        <v>103915893.68032512</v>
      </c>
      <c r="I25" s="296">
        <v>69650828.943650007</v>
      </c>
      <c r="J25" s="296">
        <v>101552486.58757955</v>
      </c>
      <c r="K25" s="335">
        <v>171203315.53122956</v>
      </c>
      <c r="L25" s="334">
        <v>34.228523802626782</v>
      </c>
      <c r="M25" s="334">
        <v>4.746601659790349E-2</v>
      </c>
      <c r="N25" s="296">
        <v>62948859.113450415</v>
      </c>
      <c r="O25" s="296">
        <v>66464309.031006783</v>
      </c>
      <c r="P25" s="296">
        <v>146227501.82225022</v>
      </c>
      <c r="Q25" s="296">
        <v>103915893.68032512</v>
      </c>
      <c r="R25" s="296">
        <v>69650828.943650007</v>
      </c>
      <c r="S25" s="296">
        <v>101552486.58757955</v>
      </c>
      <c r="T25" s="335">
        <v>171203315.53122956</v>
      </c>
      <c r="U25" s="336" t="s">
        <v>316</v>
      </c>
      <c r="V25" s="14">
        <v>5368567.9423935004</v>
      </c>
      <c r="W25" s="14">
        <v>7941760.2336999997</v>
      </c>
      <c r="X25" s="14">
        <v>356344.76679999998</v>
      </c>
      <c r="Y25" s="14">
        <v>25463.360000000001</v>
      </c>
      <c r="Z25" s="14">
        <v>32111704.93856743</v>
      </c>
      <c r="AA25" s="14">
        <v>0</v>
      </c>
      <c r="AB25" s="14">
        <v>4694613.2739500003</v>
      </c>
      <c r="AC25" s="14">
        <v>4006545.2750500003</v>
      </c>
      <c r="AD25" s="14">
        <v>1756088.7023990671</v>
      </c>
      <c r="AE25" s="14">
        <v>6687770.6205904121</v>
      </c>
      <c r="AF25" s="14">
        <v>33836279.881250188</v>
      </c>
      <c r="AG25" s="14">
        <v>109157395.27433339</v>
      </c>
      <c r="AH25" s="14">
        <v>3233826.666666667</v>
      </c>
      <c r="AI25" s="337">
        <v>0.98133958879911198</v>
      </c>
    </row>
    <row r="26" spans="1:35" x14ac:dyDescent="0.25">
      <c r="A26" s="49" t="s">
        <v>67</v>
      </c>
      <c r="B26" s="333" t="s">
        <v>68</v>
      </c>
      <c r="C26" s="334">
        <v>35.725268762529197</v>
      </c>
      <c r="D26" s="334">
        <v>4.2359402600504824E-2</v>
      </c>
      <c r="E26" s="296">
        <v>31644142.904401712</v>
      </c>
      <c r="F26" s="296">
        <v>33329239.158290919</v>
      </c>
      <c r="G26" s="296">
        <v>83329094.020706654</v>
      </c>
      <c r="H26" s="296">
        <v>58430796.795045301</v>
      </c>
      <c r="I26" s="296">
        <v>26260611.562600002</v>
      </c>
      <c r="J26" s="296">
        <v>58845946.592702851</v>
      </c>
      <c r="K26" s="335">
        <v>85106558.155302852</v>
      </c>
      <c r="L26" s="334">
        <v>35.725268762529197</v>
      </c>
      <c r="M26" s="334">
        <v>4.2359402600504824E-2</v>
      </c>
      <c r="N26" s="296">
        <v>31644142.904401712</v>
      </c>
      <c r="O26" s="296">
        <v>33329239.158290919</v>
      </c>
      <c r="P26" s="296">
        <v>81357196.556453779</v>
      </c>
      <c r="Q26" s="296">
        <v>57048091.974016123</v>
      </c>
      <c r="R26" s="296">
        <v>26260611.562600002</v>
      </c>
      <c r="S26" s="296">
        <v>58845946.592702851</v>
      </c>
      <c r="T26" s="335">
        <v>85106558.155302852</v>
      </c>
      <c r="U26" s="336" t="s">
        <v>316</v>
      </c>
      <c r="V26" s="14">
        <v>2894098.0739930002</v>
      </c>
      <c r="W26" s="14">
        <v>10944969.374150001</v>
      </c>
      <c r="X26" s="14">
        <v>424869.76130000001</v>
      </c>
      <c r="Y26" s="14">
        <v>122420.00000000001</v>
      </c>
      <c r="Z26" s="14">
        <v>9480203.8793226238</v>
      </c>
      <c r="AA26" s="14">
        <v>0</v>
      </c>
      <c r="AB26" s="14">
        <v>1055341.320175</v>
      </c>
      <c r="AC26" s="14">
        <v>1503471.0692250002</v>
      </c>
      <c r="AD26" s="14">
        <v>1549233.224808808</v>
      </c>
      <c r="AE26" s="14">
        <v>3669536.2014272818</v>
      </c>
      <c r="AF26" s="14">
        <v>8176244.7226462392</v>
      </c>
      <c r="AG26" s="14">
        <v>71436922.49774088</v>
      </c>
      <c r="AH26" s="14">
        <v>1744029.3360666598</v>
      </c>
      <c r="AI26" s="337">
        <v>0.97409338944673995</v>
      </c>
    </row>
    <row r="27" spans="1:35" x14ac:dyDescent="0.25">
      <c r="A27" s="49" t="s">
        <v>69</v>
      </c>
      <c r="B27" s="333" t="s">
        <v>70</v>
      </c>
      <c r="C27" s="334">
        <v>39.794364006445122</v>
      </c>
      <c r="D27" s="334">
        <v>7.1316760548071165E-2</v>
      </c>
      <c r="E27" s="296">
        <v>16463538.069495991</v>
      </c>
      <c r="F27" s="296">
        <v>18738892.525176287</v>
      </c>
      <c r="G27" s="296">
        <v>64275231.742445588</v>
      </c>
      <c r="H27" s="296">
        <v>44184930.965052351</v>
      </c>
      <c r="I27" s="296">
        <v>18110178.112850003</v>
      </c>
      <c r="J27" s="296">
        <v>34304503.321430817</v>
      </c>
      <c r="K27" s="335">
        <v>52414681.434280813</v>
      </c>
      <c r="L27" s="334">
        <v>39.794364006445122</v>
      </c>
      <c r="M27" s="334">
        <v>7.1316760548071165E-2</v>
      </c>
      <c r="N27" s="296">
        <v>16463538.069495991</v>
      </c>
      <c r="O27" s="296">
        <v>18738892.525176287</v>
      </c>
      <c r="P27" s="296">
        <v>62660036.179855406</v>
      </c>
      <c r="Q27" s="296">
        <v>43074591.842292301</v>
      </c>
      <c r="R27" s="296">
        <v>18110178.112850003</v>
      </c>
      <c r="S27" s="296">
        <v>34304503.321430817</v>
      </c>
      <c r="T27" s="335">
        <v>52414681.434280813</v>
      </c>
      <c r="U27" s="336" t="s">
        <v>316</v>
      </c>
      <c r="V27" s="14">
        <v>2341061.7914730003</v>
      </c>
      <c r="W27" s="14">
        <v>3101853.4243000001</v>
      </c>
      <c r="X27" s="14">
        <v>254495.43885000001</v>
      </c>
      <c r="Y27" s="14">
        <v>224493.796</v>
      </c>
      <c r="Z27" s="14">
        <v>3728598.9668524195</v>
      </c>
      <c r="AA27" s="14">
        <v>0</v>
      </c>
      <c r="AB27" s="14">
        <v>1180425.7187000001</v>
      </c>
      <c r="AC27" s="14">
        <v>1065631.58865</v>
      </c>
      <c r="AD27" s="14">
        <v>1330020.9218283743</v>
      </c>
      <c r="AE27" s="14">
        <v>3236956.422842199</v>
      </c>
      <c r="AF27" s="14">
        <v>4262646.9045311604</v>
      </c>
      <c r="AG27" s="14">
        <v>57252552.856255695</v>
      </c>
      <c r="AH27" s="14">
        <v>1144836.4190685507</v>
      </c>
      <c r="AI27" s="337">
        <v>0.98683114985231901</v>
      </c>
    </row>
    <row r="28" spans="1:35" x14ac:dyDescent="0.25">
      <c r="A28" s="49" t="s">
        <v>71</v>
      </c>
      <c r="B28" s="333" t="s">
        <v>72</v>
      </c>
      <c r="C28" s="334">
        <v>13.847905497944343</v>
      </c>
      <c r="D28" s="334">
        <v>9.955437844332686E-2</v>
      </c>
      <c r="E28" s="296">
        <v>15708425.312217582</v>
      </c>
      <c r="F28" s="296">
        <v>16552079.625918491</v>
      </c>
      <c r="G28" s="296">
        <v>75479944.426335305</v>
      </c>
      <c r="H28" s="296">
        <v>62976301.031419203</v>
      </c>
      <c r="I28" s="296">
        <v>11284317.6985</v>
      </c>
      <c r="J28" s="296">
        <v>75249751.726343036</v>
      </c>
      <c r="K28" s="335">
        <v>86534069.424843043</v>
      </c>
      <c r="L28" s="334">
        <v>13.847905497944343</v>
      </c>
      <c r="M28" s="334">
        <v>9.955437844332686E-2</v>
      </c>
      <c r="N28" s="296">
        <v>15708425.312217582</v>
      </c>
      <c r="O28" s="296">
        <v>16552079.625918491</v>
      </c>
      <c r="P28" s="296">
        <v>73236038.23820214</v>
      </c>
      <c r="Q28" s="296">
        <v>61104109.515326433</v>
      </c>
      <c r="R28" s="296">
        <v>11284317.6985</v>
      </c>
      <c r="S28" s="296">
        <v>75249751.726343036</v>
      </c>
      <c r="T28" s="335">
        <v>86534069.424843043</v>
      </c>
      <c r="U28" s="336" t="s">
        <v>315</v>
      </c>
      <c r="V28" s="14">
        <v>6727940.1084965002</v>
      </c>
      <c r="W28" s="14">
        <v>2242373.4409999996</v>
      </c>
      <c r="X28" s="14">
        <v>368.11149999999998</v>
      </c>
      <c r="Y28" s="14">
        <v>125235.66</v>
      </c>
      <c r="Z28" s="14">
        <v>0</v>
      </c>
      <c r="AA28" s="14">
        <v>0</v>
      </c>
      <c r="AB28" s="14">
        <v>0</v>
      </c>
      <c r="AC28" s="14">
        <v>0</v>
      </c>
      <c r="AD28" s="14">
        <v>1514409.0980078578</v>
      </c>
      <c r="AE28" s="14">
        <v>5098098.8932132237</v>
      </c>
      <c r="AF28" s="14">
        <v>0</v>
      </c>
      <c r="AG28" s="14">
        <v>71456693.8859469</v>
      </c>
      <c r="AH28" s="14">
        <v>1779344.352255235</v>
      </c>
      <c r="AI28" s="337">
        <v>0.76958511691255704</v>
      </c>
    </row>
    <row r="29" spans="1:35" x14ac:dyDescent="0.25">
      <c r="A29" s="49" t="s">
        <v>73</v>
      </c>
      <c r="B29" s="333" t="s">
        <v>74</v>
      </c>
      <c r="C29" s="334">
        <v>27.173392511068691</v>
      </c>
      <c r="D29" s="334">
        <v>0.12875160896678986</v>
      </c>
      <c r="E29" s="296">
        <v>12646935.909491025</v>
      </c>
      <c r="F29" s="296">
        <v>15061954.172412312</v>
      </c>
      <c r="G29" s="296">
        <v>66719754.251468435</v>
      </c>
      <c r="H29" s="296">
        <v>51442609.298886277</v>
      </c>
      <c r="I29" s="296">
        <v>13520003.780400001</v>
      </c>
      <c r="J29" s="296">
        <v>52520159.908903979</v>
      </c>
      <c r="K29" s="335">
        <v>66040163.689303979</v>
      </c>
      <c r="L29" s="334">
        <v>27.173392511068691</v>
      </c>
      <c r="M29" s="334">
        <v>0.12875160896678986</v>
      </c>
      <c r="N29" s="296">
        <v>12646935.909491025</v>
      </c>
      <c r="O29" s="296">
        <v>15061954.172412312</v>
      </c>
      <c r="P29" s="296">
        <v>64760381.827008262</v>
      </c>
      <c r="Q29" s="296">
        <v>49931883.858822204</v>
      </c>
      <c r="R29" s="296">
        <v>13520003.780400001</v>
      </c>
      <c r="S29" s="296">
        <v>52520159.908903979</v>
      </c>
      <c r="T29" s="335">
        <v>66040163.689303979</v>
      </c>
      <c r="U29" s="336" t="s">
        <v>315</v>
      </c>
      <c r="V29" s="14">
        <v>3187077.6683300007</v>
      </c>
      <c r="W29" s="14">
        <v>2792573.5422</v>
      </c>
      <c r="X29" s="14">
        <v>163066.3946</v>
      </c>
      <c r="Y29" s="14">
        <v>354099.85000000003</v>
      </c>
      <c r="Z29" s="14">
        <v>0</v>
      </c>
      <c r="AA29" s="14">
        <v>0</v>
      </c>
      <c r="AB29" s="14">
        <v>0</v>
      </c>
      <c r="AC29" s="14">
        <v>0</v>
      </c>
      <c r="AD29" s="14">
        <v>1348092.6446575955</v>
      </c>
      <c r="AE29" s="14">
        <v>4802025.8097034292</v>
      </c>
      <c r="AF29" s="14">
        <v>0</v>
      </c>
      <c r="AG29" s="14">
        <v>63091559.601685584</v>
      </c>
      <c r="AH29" s="14">
        <v>1668822.2253226792</v>
      </c>
      <c r="AI29" s="337">
        <v>0.85212845391070402</v>
      </c>
    </row>
    <row r="30" spans="1:35" x14ac:dyDescent="0.25">
      <c r="A30" s="49" t="s">
        <v>75</v>
      </c>
      <c r="B30" s="333" t="s">
        <v>76</v>
      </c>
      <c r="C30" s="334">
        <v>37.392854689250726</v>
      </c>
      <c r="D30" s="334">
        <v>9.5289726423748555E-2</v>
      </c>
      <c r="E30" s="296">
        <v>4506795.249855265</v>
      </c>
      <c r="F30" s="296">
        <v>5301155.6551233539</v>
      </c>
      <c r="G30" s="296">
        <v>25975961.246066663</v>
      </c>
      <c r="H30" s="296">
        <v>18363967.1182914</v>
      </c>
      <c r="I30" s="296">
        <v>6051520.7564000003</v>
      </c>
      <c r="J30" s="296">
        <v>16078678.979174688</v>
      </c>
      <c r="K30" s="335">
        <v>22130199.735574689</v>
      </c>
      <c r="L30" s="334">
        <v>37.392854689250726</v>
      </c>
      <c r="M30" s="334">
        <v>9.5289726423748555E-2</v>
      </c>
      <c r="N30" s="296">
        <v>4506795.249855265</v>
      </c>
      <c r="O30" s="296">
        <v>5301155.6551233539</v>
      </c>
      <c r="P30" s="296">
        <v>25273772.377333332</v>
      </c>
      <c r="Q30" s="296">
        <v>17867547.633595653</v>
      </c>
      <c r="R30" s="296">
        <v>6051520.7564000003</v>
      </c>
      <c r="S30" s="296">
        <v>17523729.799074687</v>
      </c>
      <c r="T30" s="335">
        <v>23575250.555474691</v>
      </c>
      <c r="U30" s="336" t="s">
        <v>315</v>
      </c>
      <c r="V30" s="14">
        <v>1401271.2549719999</v>
      </c>
      <c r="W30" s="14">
        <v>128679.07279999999</v>
      </c>
      <c r="X30" s="14">
        <v>162146.769</v>
      </c>
      <c r="Y30" s="14">
        <v>107056.29000000001</v>
      </c>
      <c r="Z30" s="14">
        <v>0</v>
      </c>
      <c r="AA30" s="14">
        <v>0</v>
      </c>
      <c r="AB30" s="14">
        <v>0</v>
      </c>
      <c r="AC30" s="14">
        <v>0</v>
      </c>
      <c r="AD30" s="14">
        <v>870470.15814960294</v>
      </c>
      <c r="AE30" s="14">
        <v>1837171.7049336622</v>
      </c>
      <c r="AF30" s="14">
        <v>0</v>
      </c>
      <c r="AG30" s="14">
        <v>22915519.044</v>
      </c>
      <c r="AH30" s="14">
        <v>2358253.3333333335</v>
      </c>
      <c r="AI30" s="337">
        <v>0.930031858111385</v>
      </c>
    </row>
    <row r="31" spans="1:35" x14ac:dyDescent="0.25">
      <c r="A31" s="49" t="s">
        <v>77</v>
      </c>
      <c r="B31" s="333" t="s">
        <v>78</v>
      </c>
      <c r="C31" s="334">
        <v>42.222437272699452</v>
      </c>
      <c r="D31" s="334">
        <v>4.1888511239020945E-2</v>
      </c>
      <c r="E31" s="296">
        <v>23214413.33657188</v>
      </c>
      <c r="F31" s="296">
        <v>25270868.40272266</v>
      </c>
      <c r="G31" s="296">
        <v>82896557.206933096</v>
      </c>
      <c r="H31" s="296">
        <v>55229805.849454232</v>
      </c>
      <c r="I31" s="296">
        <v>23786724.285300002</v>
      </c>
      <c r="J31" s="296">
        <v>49416315.704376578</v>
      </c>
      <c r="K31" s="335">
        <v>73203039.98967658</v>
      </c>
      <c r="L31" s="334">
        <v>42.222437272699452</v>
      </c>
      <c r="M31" s="334">
        <v>4.1888511239020945E-2</v>
      </c>
      <c r="N31" s="296">
        <v>23214413.33657188</v>
      </c>
      <c r="O31" s="296">
        <v>25270868.40272266</v>
      </c>
      <c r="P31" s="296">
        <v>80549607.467796817</v>
      </c>
      <c r="Q31" s="296">
        <v>53666151.304581493</v>
      </c>
      <c r="R31" s="296">
        <v>23786724.285300002</v>
      </c>
      <c r="S31" s="296">
        <v>49416315.704376578</v>
      </c>
      <c r="T31" s="335">
        <v>73203039.98967658</v>
      </c>
      <c r="U31" s="336" t="s">
        <v>316</v>
      </c>
      <c r="V31" s="14">
        <v>3874912.5775164999</v>
      </c>
      <c r="W31" s="14">
        <v>3678690.33005</v>
      </c>
      <c r="X31" s="14">
        <v>780111.74769999995</v>
      </c>
      <c r="Y31" s="14">
        <v>247043.56000000003</v>
      </c>
      <c r="Z31" s="14">
        <v>6307302.2501173783</v>
      </c>
      <c r="AA31" s="14">
        <v>0</v>
      </c>
      <c r="AB31" s="14">
        <v>1603405.05375</v>
      </c>
      <c r="AC31" s="14">
        <v>1212079.3226000001</v>
      </c>
      <c r="AD31" s="14">
        <v>1442419.3497471097</v>
      </c>
      <c r="AE31" s="14">
        <v>4068449.1450908938</v>
      </c>
      <c r="AF31" s="14">
        <v>5770646.0677968189</v>
      </c>
      <c r="AG31" s="14">
        <v>72912988.066666663</v>
      </c>
      <c r="AH31" s="14">
        <v>1865973.3333333333</v>
      </c>
      <c r="AI31" s="337">
        <v>0.92010501227369301</v>
      </c>
    </row>
    <row r="32" spans="1:35" x14ac:dyDescent="0.25">
      <c r="A32" s="49" t="s">
        <v>79</v>
      </c>
      <c r="B32" s="333" t="s">
        <v>80</v>
      </c>
      <c r="C32" s="334">
        <v>35.088821801740195</v>
      </c>
      <c r="D32" s="334">
        <v>3.4627177099617566E-2</v>
      </c>
      <c r="E32" s="296">
        <v>32617699.941519193</v>
      </c>
      <c r="F32" s="296">
        <v>33696845.369775169</v>
      </c>
      <c r="G32" s="296">
        <v>88785351.433707163</v>
      </c>
      <c r="H32" s="296">
        <v>62369061.546879247</v>
      </c>
      <c r="I32" s="296">
        <v>25854430.9527</v>
      </c>
      <c r="J32" s="296">
        <v>77056416.983839363</v>
      </c>
      <c r="K32" s="335">
        <v>102910847.93653937</v>
      </c>
      <c r="L32" s="334">
        <v>35.088821801740195</v>
      </c>
      <c r="M32" s="334">
        <v>3.4627177099617566E-2</v>
      </c>
      <c r="N32" s="296">
        <v>32617699.941519193</v>
      </c>
      <c r="O32" s="296">
        <v>33696845.369775169</v>
      </c>
      <c r="P32" s="296">
        <v>86382617.46676968</v>
      </c>
      <c r="Q32" s="296">
        <v>60681212.591563754</v>
      </c>
      <c r="R32" s="296">
        <v>25854430.9527</v>
      </c>
      <c r="S32" s="296">
        <v>77056416.983839363</v>
      </c>
      <c r="T32" s="335">
        <v>102910847.93653937</v>
      </c>
      <c r="U32" s="336" t="s">
        <v>316</v>
      </c>
      <c r="V32" s="14">
        <v>3585988.0505615002</v>
      </c>
      <c r="W32" s="14">
        <v>9136839.0249500014</v>
      </c>
      <c r="X32" s="14">
        <v>156169.57500000001</v>
      </c>
      <c r="Y32" s="14">
        <v>132825.70000000001</v>
      </c>
      <c r="Z32" s="14">
        <v>11601941.952927841</v>
      </c>
      <c r="AA32" s="14">
        <v>31495.276999999998</v>
      </c>
      <c r="AB32" s="14">
        <v>1748112.94205</v>
      </c>
      <c r="AC32" s="14">
        <v>776753.28934999998</v>
      </c>
      <c r="AD32" s="14">
        <v>1885112.4216253897</v>
      </c>
      <c r="AE32" s="14">
        <v>3562461.7080544638</v>
      </c>
      <c r="AF32" s="14">
        <v>11034694.800103022</v>
      </c>
      <c r="AG32" s="14">
        <v>73831749.333333328</v>
      </c>
      <c r="AH32" s="14">
        <v>1516173.3333333333</v>
      </c>
      <c r="AI32" s="337">
        <v>0.82551715630793798</v>
      </c>
    </row>
    <row r="33" spans="1:35" x14ac:dyDescent="0.25">
      <c r="A33" s="49" t="s">
        <v>81</v>
      </c>
      <c r="B33" s="333" t="s">
        <v>82</v>
      </c>
      <c r="C33" s="334">
        <v>37.849063060881065</v>
      </c>
      <c r="D33" s="334">
        <v>2.5602404406317052E-2</v>
      </c>
      <c r="E33" s="296">
        <v>41646038.406503677</v>
      </c>
      <c r="F33" s="296">
        <v>42859726.517716952</v>
      </c>
      <c r="G33" s="296">
        <v>142615283.0661875</v>
      </c>
      <c r="H33" s="296">
        <v>97715723.515762925</v>
      </c>
      <c r="I33" s="296">
        <v>39788802.682899997</v>
      </c>
      <c r="J33" s="296">
        <v>97501732.764339</v>
      </c>
      <c r="K33" s="335">
        <v>137290535.44723898</v>
      </c>
      <c r="L33" s="334">
        <v>37.849063060881065</v>
      </c>
      <c r="M33" s="334">
        <v>2.5602404406317052E-2</v>
      </c>
      <c r="N33" s="296">
        <v>41646038.406503677</v>
      </c>
      <c r="O33" s="296">
        <v>42859726.517716952</v>
      </c>
      <c r="P33" s="296">
        <v>142615283.0661875</v>
      </c>
      <c r="Q33" s="296">
        <v>97715723.515762925</v>
      </c>
      <c r="R33" s="296">
        <v>39788802.682899997</v>
      </c>
      <c r="S33" s="296">
        <v>97501732.764339</v>
      </c>
      <c r="T33" s="335">
        <v>137290535.44723898</v>
      </c>
      <c r="U33" s="336" t="s">
        <v>316</v>
      </c>
      <c r="V33" s="14">
        <v>6428450.4000499994</v>
      </c>
      <c r="W33" s="14">
        <v>13246176.1494</v>
      </c>
      <c r="X33" s="14">
        <v>325801.76610000001</v>
      </c>
      <c r="Y33" s="14">
        <v>94428.667000000016</v>
      </c>
      <c r="Z33" s="14">
        <v>11660337.281695154</v>
      </c>
      <c r="AA33" s="14">
        <v>8589.6209999999992</v>
      </c>
      <c r="AB33" s="14">
        <v>1051400.5345700001</v>
      </c>
      <c r="AC33" s="14">
        <v>1892197.256143</v>
      </c>
      <c r="AD33" s="14">
        <v>1993880.2733238463</v>
      </c>
      <c r="AE33" s="14">
        <v>4944776.4572216766</v>
      </c>
      <c r="AF33" s="14">
        <v>11583747.29952082</v>
      </c>
      <c r="AG33" s="14">
        <v>127178695.76666668</v>
      </c>
      <c r="AH33" s="14">
        <v>3852840</v>
      </c>
      <c r="AI33" s="337">
        <v>0.858528561475983</v>
      </c>
    </row>
    <row r="34" spans="1:35" x14ac:dyDescent="0.25">
      <c r="A34" s="49" t="s">
        <v>83</v>
      </c>
      <c r="B34" s="333" t="s">
        <v>84</v>
      </c>
      <c r="C34" s="334">
        <v>33.332287488949319</v>
      </c>
      <c r="D34" s="334">
        <v>3.5122317109216664E-2</v>
      </c>
      <c r="E34" s="296">
        <v>37624463.801984958</v>
      </c>
      <c r="F34" s="296">
        <v>38539566.637725748</v>
      </c>
      <c r="G34" s="296">
        <v>116199589.51411587</v>
      </c>
      <c r="H34" s="296">
        <v>82736739.472613662</v>
      </c>
      <c r="I34" s="296">
        <v>39603372.755719103</v>
      </c>
      <c r="J34" s="296">
        <v>87488315.395352781</v>
      </c>
      <c r="K34" s="335">
        <v>127091688.15107188</v>
      </c>
      <c r="L34" s="334">
        <v>33.332287488949319</v>
      </c>
      <c r="M34" s="334">
        <v>3.5122317109216664E-2</v>
      </c>
      <c r="N34" s="296">
        <v>37624463.801984958</v>
      </c>
      <c r="O34" s="296">
        <v>38539566.637725748</v>
      </c>
      <c r="P34" s="296">
        <v>116199589.51411587</v>
      </c>
      <c r="Q34" s="296">
        <v>82736739.472613662</v>
      </c>
      <c r="R34" s="296">
        <v>39603372.755719103</v>
      </c>
      <c r="S34" s="296">
        <v>87488315.395352781</v>
      </c>
      <c r="T34" s="335">
        <v>127091688.15107188</v>
      </c>
      <c r="U34" s="336" t="s">
        <v>316</v>
      </c>
      <c r="V34" s="14">
        <v>5837307.5564050004</v>
      </c>
      <c r="W34" s="14">
        <v>8679701.4079</v>
      </c>
      <c r="X34" s="14">
        <v>718249.549</v>
      </c>
      <c r="Y34" s="14">
        <v>148134.321</v>
      </c>
      <c r="Z34" s="14">
        <v>13067218.418551257</v>
      </c>
      <c r="AA34" s="14">
        <v>94485.830999999991</v>
      </c>
      <c r="AB34" s="14">
        <v>1086427.6559000001</v>
      </c>
      <c r="AC34" s="14">
        <v>1965617.8675000002</v>
      </c>
      <c r="AD34" s="14">
        <v>1718830.8223423599</v>
      </c>
      <c r="AE34" s="14">
        <v>4308490.3723863354</v>
      </c>
      <c r="AF34" s="14">
        <v>12799538.230782518</v>
      </c>
      <c r="AG34" s="14">
        <v>100636704.61666667</v>
      </c>
      <c r="AH34" s="14">
        <v>2763346.6666666665</v>
      </c>
      <c r="AI34" s="337">
        <v>0.81204301388142197</v>
      </c>
    </row>
    <row r="35" spans="1:35" x14ac:dyDescent="0.25">
      <c r="A35" s="49" t="s">
        <v>85</v>
      </c>
      <c r="B35" s="333" t="s">
        <v>86</v>
      </c>
      <c r="C35" s="334">
        <v>33.652888500175123</v>
      </c>
      <c r="D35" s="334">
        <v>3.1155605525709944E-2</v>
      </c>
      <c r="E35" s="296">
        <v>20468528.269809484</v>
      </c>
      <c r="F35" s="296">
        <v>20828695.609732956</v>
      </c>
      <c r="G35" s="296">
        <v>71535368.532373697</v>
      </c>
      <c r="H35" s="296">
        <v>50733104.81117662</v>
      </c>
      <c r="I35" s="296">
        <v>25769222.723200001</v>
      </c>
      <c r="J35" s="296">
        <v>52164599.46049498</v>
      </c>
      <c r="K35" s="335">
        <v>77933822.183694974</v>
      </c>
      <c r="L35" s="334">
        <v>33.652888500175123</v>
      </c>
      <c r="M35" s="334">
        <v>3.1155605525709944E-2</v>
      </c>
      <c r="N35" s="296">
        <v>20468528.269809484</v>
      </c>
      <c r="O35" s="296">
        <v>20828695.609732956</v>
      </c>
      <c r="P35" s="296">
        <v>69792636.79542017</v>
      </c>
      <c r="Q35" s="296">
        <v>49497154.068452552</v>
      </c>
      <c r="R35" s="296">
        <v>25769222.723200001</v>
      </c>
      <c r="S35" s="296">
        <v>52164599.46049498</v>
      </c>
      <c r="T35" s="335">
        <v>77933822.183694974</v>
      </c>
      <c r="U35" s="336" t="s">
        <v>316</v>
      </c>
      <c r="V35" s="14">
        <v>3082247.2820000001</v>
      </c>
      <c r="W35" s="14">
        <v>7850709.3314000005</v>
      </c>
      <c r="X35" s="14">
        <v>22335</v>
      </c>
      <c r="Y35" s="14">
        <v>87873.076000000001</v>
      </c>
      <c r="Z35" s="14">
        <v>3615710.7528430801</v>
      </c>
      <c r="AA35" s="14">
        <v>11452.828</v>
      </c>
      <c r="AB35" s="14">
        <v>912221.29415000009</v>
      </c>
      <c r="AC35" s="14">
        <v>959261.11085000006</v>
      </c>
      <c r="AD35" s="14">
        <v>1396040.0649235232</v>
      </c>
      <c r="AE35" s="14">
        <v>2530677.5296428809</v>
      </c>
      <c r="AF35" s="14">
        <v>3288463.9156859196</v>
      </c>
      <c r="AG35" s="14">
        <v>63724499.266666666</v>
      </c>
      <c r="AH35" s="14">
        <v>2779673.613067586</v>
      </c>
      <c r="AI35" s="337">
        <v>0.74898393135018804</v>
      </c>
    </row>
    <row r="36" spans="1:35" x14ac:dyDescent="0.25">
      <c r="A36" s="49" t="s">
        <v>87</v>
      </c>
      <c r="B36" s="333" t="s">
        <v>88</v>
      </c>
      <c r="C36" s="334">
        <v>30.921807016995771</v>
      </c>
      <c r="D36" s="334">
        <v>2.4236946696166967E-2</v>
      </c>
      <c r="E36" s="296">
        <v>37053625.014467478</v>
      </c>
      <c r="F36" s="296">
        <v>36588945.836395569</v>
      </c>
      <c r="G36" s="296">
        <v>123893063.10258606</v>
      </c>
      <c r="H36" s="296">
        <v>89441019.015636772</v>
      </c>
      <c r="I36" s="296">
        <v>33186292.168250002</v>
      </c>
      <c r="J36" s="296">
        <v>76121651.997470856</v>
      </c>
      <c r="K36" s="335">
        <v>109307944.16572085</v>
      </c>
      <c r="L36" s="334">
        <v>30.921807016995771</v>
      </c>
      <c r="M36" s="334">
        <v>2.4236946696166967E-2</v>
      </c>
      <c r="N36" s="296">
        <v>37053625.014467478</v>
      </c>
      <c r="O36" s="296">
        <v>36588945.836395569</v>
      </c>
      <c r="P36" s="296">
        <v>123893063.10258606</v>
      </c>
      <c r="Q36" s="296">
        <v>89441019.015636772</v>
      </c>
      <c r="R36" s="296">
        <v>33186292.168250002</v>
      </c>
      <c r="S36" s="296">
        <v>76121651.997470856</v>
      </c>
      <c r="T36" s="335">
        <v>109307944.16572085</v>
      </c>
      <c r="U36" s="336" t="s">
        <v>316</v>
      </c>
      <c r="V36" s="14">
        <v>4084265.3011499997</v>
      </c>
      <c r="W36" s="14">
        <v>15767186.15645</v>
      </c>
      <c r="X36" s="14">
        <v>555965.07090000005</v>
      </c>
      <c r="Y36" s="14">
        <v>97017.85</v>
      </c>
      <c r="Z36" s="14">
        <v>8232627.8047843892</v>
      </c>
      <c r="AA36" s="14">
        <v>25768.862999999998</v>
      </c>
      <c r="AB36" s="14">
        <v>1913972.4087500002</v>
      </c>
      <c r="AC36" s="14">
        <v>1336244.47985</v>
      </c>
      <c r="AD36" s="14">
        <v>1549724.1963334091</v>
      </c>
      <c r="AE36" s="14">
        <v>3490852.8832496735</v>
      </c>
      <c r="AF36" s="14">
        <v>7771478.4065928468</v>
      </c>
      <c r="AG36" s="14">
        <v>113693691.36265989</v>
      </c>
      <c r="AH36" s="14">
        <v>2427893.3333333335</v>
      </c>
      <c r="AI36" s="337">
        <v>0.95043483489393998</v>
      </c>
    </row>
    <row r="37" spans="1:35" x14ac:dyDescent="0.25">
      <c r="A37" s="49" t="s">
        <v>89</v>
      </c>
      <c r="B37" s="333" t="s">
        <v>90</v>
      </c>
      <c r="C37" s="334">
        <v>33.946678045797867</v>
      </c>
      <c r="D37" s="334">
        <v>0</v>
      </c>
      <c r="E37" s="296">
        <v>25435965.703998901</v>
      </c>
      <c r="F37" s="296">
        <v>24223349.712313551</v>
      </c>
      <c r="G37" s="296">
        <v>21783331.167451102</v>
      </c>
      <c r="H37" s="296">
        <v>15226108.586368762</v>
      </c>
      <c r="I37" s="296">
        <v>30793212.013500001</v>
      </c>
      <c r="J37" s="296">
        <v>11816895.309186356</v>
      </c>
      <c r="K37" s="335">
        <v>42610107.322686359</v>
      </c>
      <c r="L37" s="334">
        <v>33.946678045797867</v>
      </c>
      <c r="M37" s="334">
        <v>0</v>
      </c>
      <c r="N37" s="296">
        <v>25435965.703998901</v>
      </c>
      <c r="O37" s="296">
        <v>24223349.712313551</v>
      </c>
      <c r="P37" s="296">
        <v>21783331.167451102</v>
      </c>
      <c r="Q37" s="296">
        <v>15226108.586368762</v>
      </c>
      <c r="R37" s="296">
        <v>30793212.013500001</v>
      </c>
      <c r="S37" s="296">
        <v>11816895.309186356</v>
      </c>
      <c r="T37" s="335">
        <v>42610107.322686359</v>
      </c>
      <c r="U37" s="336" t="s">
        <v>317</v>
      </c>
      <c r="V37" s="14">
        <v>0</v>
      </c>
      <c r="W37" s="14">
        <v>0</v>
      </c>
      <c r="X37" s="14">
        <v>0</v>
      </c>
      <c r="Y37" s="14">
        <v>0</v>
      </c>
      <c r="Z37" s="14">
        <v>17046999.990819357</v>
      </c>
      <c r="AA37" s="14">
        <v>0</v>
      </c>
      <c r="AB37" s="14">
        <v>3236082.7254500003</v>
      </c>
      <c r="AC37" s="14">
        <v>2040844.3481000001</v>
      </c>
      <c r="AD37" s="14">
        <v>43285.270946158009</v>
      </c>
      <c r="AE37" s="14">
        <v>3068753.3686833871</v>
      </c>
      <c r="AF37" s="14">
        <v>19939464.500784434</v>
      </c>
      <c r="AG37" s="14">
        <v>0</v>
      </c>
      <c r="AH37" s="14">
        <v>1843866.6666666665</v>
      </c>
      <c r="AI37" s="337">
        <v>0.90342720024523704</v>
      </c>
    </row>
    <row r="38" spans="1:35" x14ac:dyDescent="0.25">
      <c r="A38" s="49" t="s">
        <v>91</v>
      </c>
      <c r="B38" s="333" t="s">
        <v>92</v>
      </c>
      <c r="C38" s="334">
        <v>36.663176754898927</v>
      </c>
      <c r="D38" s="334">
        <v>4.1708821247980282E-2</v>
      </c>
      <c r="E38" s="296">
        <v>23104594.701335371</v>
      </c>
      <c r="F38" s="296">
        <v>24423886.608993012</v>
      </c>
      <c r="G38" s="296">
        <v>159480509.6333333</v>
      </c>
      <c r="H38" s="296">
        <v>110998027.93547586</v>
      </c>
      <c r="I38" s="296">
        <v>23932351.056850001</v>
      </c>
      <c r="J38" s="296">
        <v>102080937.47023095</v>
      </c>
      <c r="K38" s="335">
        <v>126013288.52708095</v>
      </c>
      <c r="L38" s="334">
        <v>36.663176754898927</v>
      </c>
      <c r="M38" s="334">
        <v>4.1708821247980282E-2</v>
      </c>
      <c r="N38" s="296">
        <v>23104594.701335371</v>
      </c>
      <c r="O38" s="296">
        <v>24423886.608993012</v>
      </c>
      <c r="P38" s="296">
        <v>159480509.6333333</v>
      </c>
      <c r="Q38" s="296">
        <v>110998027.93547586</v>
      </c>
      <c r="R38" s="296">
        <v>23932351.056850001</v>
      </c>
      <c r="S38" s="296">
        <v>102080937.47023095</v>
      </c>
      <c r="T38" s="335">
        <v>126013288.52708095</v>
      </c>
      <c r="U38" s="336" t="s">
        <v>315</v>
      </c>
      <c r="V38" s="14">
        <v>7653794.4977315003</v>
      </c>
      <c r="W38" s="14">
        <v>4385504.7046999997</v>
      </c>
      <c r="X38" s="14">
        <v>2987446.8154500006</v>
      </c>
      <c r="Y38" s="14">
        <v>104381.413</v>
      </c>
      <c r="Z38" s="14">
        <v>0</v>
      </c>
      <c r="AA38" s="14">
        <v>0</v>
      </c>
      <c r="AB38" s="14">
        <v>0</v>
      </c>
      <c r="AC38" s="14">
        <v>0</v>
      </c>
      <c r="AD38" s="14">
        <v>2024838.3852607491</v>
      </c>
      <c r="AE38" s="14">
        <v>5948628.8851931207</v>
      </c>
      <c r="AF38" s="14">
        <v>0</v>
      </c>
      <c r="AG38" s="14">
        <v>156972782.96666664</v>
      </c>
      <c r="AH38" s="14">
        <v>2507726.666666667</v>
      </c>
      <c r="AI38" s="337">
        <v>0.96000232772050298</v>
      </c>
    </row>
    <row r="39" spans="1:35" x14ac:dyDescent="0.25">
      <c r="A39" s="49" t="s">
        <v>93</v>
      </c>
      <c r="B39" s="333" t="s">
        <v>94</v>
      </c>
      <c r="C39" s="334">
        <v>30.557201334387678</v>
      </c>
      <c r="D39" s="334">
        <v>4.3722703502509563E-2</v>
      </c>
      <c r="E39" s="296">
        <v>36701247.143975392</v>
      </c>
      <c r="F39" s="296">
        <v>37702062.061609402</v>
      </c>
      <c r="G39" s="296">
        <v>109972458.48294817</v>
      </c>
      <c r="H39" s="296">
        <v>80201211.298947617</v>
      </c>
      <c r="I39" s="296">
        <v>48013366.514899999</v>
      </c>
      <c r="J39" s="296">
        <v>74313702.530690283</v>
      </c>
      <c r="K39" s="335">
        <v>122327069.04559028</v>
      </c>
      <c r="L39" s="334">
        <v>30.557201334387678</v>
      </c>
      <c r="M39" s="334">
        <v>4.3722703502509563E-2</v>
      </c>
      <c r="N39" s="296">
        <v>36701247.143975392</v>
      </c>
      <c r="O39" s="296">
        <v>37702062.061609402</v>
      </c>
      <c r="P39" s="296">
        <v>135088874.10828239</v>
      </c>
      <c r="Q39" s="296">
        <v>98518224.34409982</v>
      </c>
      <c r="R39" s="296">
        <v>49615514.497749999</v>
      </c>
      <c r="S39" s="296">
        <v>76982981.995927975</v>
      </c>
      <c r="T39" s="335">
        <v>126598496.49367797</v>
      </c>
      <c r="U39" s="336" t="s">
        <v>316</v>
      </c>
      <c r="V39" s="14">
        <v>3380182.3475184999</v>
      </c>
      <c r="W39" s="14">
        <v>10427820.844300002</v>
      </c>
      <c r="X39" s="14">
        <v>771481.90830000001</v>
      </c>
      <c r="Y39" s="14">
        <v>738057.93800000008</v>
      </c>
      <c r="Z39" s="14">
        <v>10017822.566263324</v>
      </c>
      <c r="AA39" s="14">
        <v>473860.7585</v>
      </c>
      <c r="AB39" s="14">
        <v>2101562.6458999999</v>
      </c>
      <c r="AC39" s="14">
        <v>2469882.0123500004</v>
      </c>
      <c r="AD39" s="14">
        <v>1432221.9926254472</v>
      </c>
      <c r="AE39" s="14">
        <v>4888354.130218124</v>
      </c>
      <c r="AF39" s="14">
        <v>9861664.6304509901</v>
      </c>
      <c r="AG39" s="14">
        <v>121373102.81116474</v>
      </c>
      <c r="AH39" s="14">
        <v>3854106.666666667</v>
      </c>
      <c r="AI39" s="337">
        <v>0.87283319874836296</v>
      </c>
    </row>
    <row r="40" spans="1:35" x14ac:dyDescent="0.25">
      <c r="A40" s="49" t="s">
        <v>95</v>
      </c>
      <c r="B40" s="333" t="s">
        <v>96</v>
      </c>
      <c r="C40" s="334">
        <v>35.768149328493536</v>
      </c>
      <c r="D40" s="334">
        <v>3.5826047358834247E-2</v>
      </c>
      <c r="E40" s="296">
        <v>46174912.073428258</v>
      </c>
      <c r="F40" s="296">
        <v>47996956.984781571</v>
      </c>
      <c r="G40" s="296">
        <v>167184870.24891898</v>
      </c>
      <c r="H40" s="296">
        <v>116889271.39936978</v>
      </c>
      <c r="I40" s="296">
        <v>43271634.34465</v>
      </c>
      <c r="J40" s="296">
        <v>110543192.44116476</v>
      </c>
      <c r="K40" s="335">
        <v>153814826.78581476</v>
      </c>
      <c r="L40" s="334">
        <v>35.768149328493536</v>
      </c>
      <c r="M40" s="334">
        <v>3.5826047358834247E-2</v>
      </c>
      <c r="N40" s="296">
        <v>46174912.073428258</v>
      </c>
      <c r="O40" s="296">
        <v>47996956.984781571</v>
      </c>
      <c r="P40" s="296">
        <v>167184870.24891898</v>
      </c>
      <c r="Q40" s="296">
        <v>116889271.39936978</v>
      </c>
      <c r="R40" s="296">
        <v>43271634.34465</v>
      </c>
      <c r="S40" s="296">
        <v>110543192.44116476</v>
      </c>
      <c r="T40" s="335">
        <v>153814826.78581476</v>
      </c>
      <c r="U40" s="336" t="s">
        <v>316</v>
      </c>
      <c r="V40" s="14">
        <v>6366019.4163000006</v>
      </c>
      <c r="W40" s="14">
        <v>6086468.7575800009</v>
      </c>
      <c r="X40" s="14">
        <v>745739.10120000003</v>
      </c>
      <c r="Y40" s="14">
        <v>205879.83500000002</v>
      </c>
      <c r="Z40" s="14">
        <v>20172592.588211693</v>
      </c>
      <c r="AA40" s="14">
        <v>2863.2069999999999</v>
      </c>
      <c r="AB40" s="14">
        <v>2837573.4999500001</v>
      </c>
      <c r="AC40" s="14">
        <v>2126613.0511000003</v>
      </c>
      <c r="AD40" s="14">
        <v>1830648.0413666</v>
      </c>
      <c r="AE40" s="14">
        <v>5800514.5757199619</v>
      </c>
      <c r="AF40" s="14">
        <v>22862518.782252289</v>
      </c>
      <c r="AG40" s="14">
        <v>138720698.13333336</v>
      </c>
      <c r="AH40" s="14">
        <v>5601653.333333334</v>
      </c>
      <c r="AI40" s="337">
        <v>0.88446562172667298</v>
      </c>
    </row>
    <row r="41" spans="1:35" x14ac:dyDescent="0.25">
      <c r="A41" s="49" t="s">
        <v>97</v>
      </c>
      <c r="B41" s="333" t="s">
        <v>98</v>
      </c>
      <c r="C41" s="334">
        <v>45.805224805641998</v>
      </c>
      <c r="D41" s="334">
        <v>9.2814814814814822E-2</v>
      </c>
      <c r="E41" s="296">
        <v>6975841.0601033717</v>
      </c>
      <c r="F41" s="296">
        <v>8496587.0049745664</v>
      </c>
      <c r="G41" s="296">
        <v>58180265.400133654</v>
      </c>
      <c r="H41" s="296">
        <v>38467787.170792103</v>
      </c>
      <c r="I41" s="296">
        <v>8960444.3869500011</v>
      </c>
      <c r="J41" s="296">
        <v>31589659.563209563</v>
      </c>
      <c r="K41" s="335">
        <v>40550103.950159565</v>
      </c>
      <c r="L41" s="334">
        <v>45.805224805641998</v>
      </c>
      <c r="M41" s="334">
        <v>9.2814814814814822E-2</v>
      </c>
      <c r="N41" s="296">
        <v>6975841.0601033717</v>
      </c>
      <c r="O41" s="296">
        <v>8496587.0049745664</v>
      </c>
      <c r="P41" s="296">
        <v>57061281.812923327</v>
      </c>
      <c r="Q41" s="296">
        <v>37727934.538900919</v>
      </c>
      <c r="R41" s="296">
        <v>8960444.3869500011</v>
      </c>
      <c r="S41" s="296">
        <v>31589659.563209563</v>
      </c>
      <c r="T41" s="335">
        <v>40550103.950159565</v>
      </c>
      <c r="U41" s="336" t="s">
        <v>315</v>
      </c>
      <c r="V41" s="14">
        <v>2621305.6551000001</v>
      </c>
      <c r="W41" s="14">
        <v>662320.98399999994</v>
      </c>
      <c r="X41" s="14">
        <v>926431.41550000012</v>
      </c>
      <c r="Y41" s="14">
        <v>0</v>
      </c>
      <c r="Z41" s="14">
        <v>0</v>
      </c>
      <c r="AA41" s="14">
        <v>0</v>
      </c>
      <c r="AB41" s="14">
        <v>0</v>
      </c>
      <c r="AC41" s="14">
        <v>0</v>
      </c>
      <c r="AD41" s="14">
        <v>1154349.450188536</v>
      </c>
      <c r="AE41" s="14">
        <v>1611433.5553148356</v>
      </c>
      <c r="AF41" s="14">
        <v>0</v>
      </c>
      <c r="AG41" s="14">
        <v>57000001.812923327</v>
      </c>
      <c r="AH41" s="14">
        <v>61280</v>
      </c>
      <c r="AI41" s="337">
        <v>1</v>
      </c>
    </row>
    <row r="42" spans="1:35" x14ac:dyDescent="0.25">
      <c r="A42" s="49" t="s">
        <v>99</v>
      </c>
      <c r="B42" s="333" t="s">
        <v>100</v>
      </c>
      <c r="C42" s="334">
        <v>38.193113782991247</v>
      </c>
      <c r="D42" s="334">
        <v>0.14264292795769995</v>
      </c>
      <c r="E42" s="296">
        <v>5966265.2044717036</v>
      </c>
      <c r="F42" s="296">
        <v>7651350.2700629337</v>
      </c>
      <c r="G42" s="296">
        <v>31245115.899908409</v>
      </c>
      <c r="H42" s="296">
        <v>22365741.023260541</v>
      </c>
      <c r="I42" s="296">
        <v>12301889.007850001</v>
      </c>
      <c r="J42" s="296">
        <v>24118680.509341959</v>
      </c>
      <c r="K42" s="335">
        <v>36420569.517191961</v>
      </c>
      <c r="L42" s="334">
        <v>38.193113782991247</v>
      </c>
      <c r="M42" s="334">
        <v>0.14264292795769995</v>
      </c>
      <c r="N42" s="296">
        <v>5966265.2044717036</v>
      </c>
      <c r="O42" s="296">
        <v>7651350.2700629337</v>
      </c>
      <c r="P42" s="296">
        <v>30374417.145423342</v>
      </c>
      <c r="Q42" s="296">
        <v>21742481.281979002</v>
      </c>
      <c r="R42" s="296">
        <v>12301889.007850001</v>
      </c>
      <c r="S42" s="296">
        <v>24118680.509341959</v>
      </c>
      <c r="T42" s="335">
        <v>36420569.517191961</v>
      </c>
      <c r="U42" s="336" t="s">
        <v>315</v>
      </c>
      <c r="V42" s="14">
        <v>1707036.964348</v>
      </c>
      <c r="W42" s="14">
        <v>403893.89619999996</v>
      </c>
      <c r="X42" s="14">
        <v>780550.08330000006</v>
      </c>
      <c r="Y42" s="14">
        <v>108029.52900000001</v>
      </c>
      <c r="Z42" s="14">
        <v>0</v>
      </c>
      <c r="AA42" s="14">
        <v>0</v>
      </c>
      <c r="AB42" s="14">
        <v>0</v>
      </c>
      <c r="AC42" s="14">
        <v>0</v>
      </c>
      <c r="AD42" s="14">
        <v>981748.837346463</v>
      </c>
      <c r="AE42" s="14">
        <v>1985005.8942772401</v>
      </c>
      <c r="AF42" s="14">
        <v>0</v>
      </c>
      <c r="AG42" s="14">
        <v>28580137.145423342</v>
      </c>
      <c r="AH42" s="14">
        <v>1794280</v>
      </c>
      <c r="AI42" s="337">
        <v>0.76647484539223698</v>
      </c>
    </row>
    <row r="43" spans="1:35" x14ac:dyDescent="0.25">
      <c r="A43" s="49" t="s">
        <v>101</v>
      </c>
      <c r="B43" s="333" t="s">
        <v>102</v>
      </c>
      <c r="C43" s="334">
        <v>32.073996405998571</v>
      </c>
      <c r="D43" s="334">
        <v>9.9609026314849858E-2</v>
      </c>
      <c r="E43" s="296">
        <v>13601872.88967789</v>
      </c>
      <c r="F43" s="296">
        <v>15720789.538034702</v>
      </c>
      <c r="G43" s="296">
        <v>57796554.146545351</v>
      </c>
      <c r="H43" s="296">
        <v>42576880.486905783</v>
      </c>
      <c r="I43" s="296">
        <v>15506995.20535</v>
      </c>
      <c r="J43" s="296">
        <v>50922524.976838976</v>
      </c>
      <c r="K43" s="335">
        <v>66429520.18218898</v>
      </c>
      <c r="L43" s="334">
        <v>32.073996405998571</v>
      </c>
      <c r="M43" s="334">
        <v>9.9609026314849858E-2</v>
      </c>
      <c r="N43" s="296">
        <v>13601872.88967789</v>
      </c>
      <c r="O43" s="296">
        <v>15720789.538034702</v>
      </c>
      <c r="P43" s="296">
        <v>56143524.499420017</v>
      </c>
      <c r="Q43" s="296">
        <v>41359146.198655412</v>
      </c>
      <c r="R43" s="296">
        <v>15506995.20535</v>
      </c>
      <c r="S43" s="296">
        <v>50922524.976838976</v>
      </c>
      <c r="T43" s="335">
        <v>66429520.18218898</v>
      </c>
      <c r="U43" s="336" t="s">
        <v>315</v>
      </c>
      <c r="V43" s="14">
        <v>4015179.9004589999</v>
      </c>
      <c r="W43" s="14">
        <v>3068572.4187000003</v>
      </c>
      <c r="X43" s="14">
        <v>852286.82030000002</v>
      </c>
      <c r="Y43" s="14">
        <v>164930.345</v>
      </c>
      <c r="Z43" s="14">
        <v>0</v>
      </c>
      <c r="AA43" s="14">
        <v>0</v>
      </c>
      <c r="AB43" s="14">
        <v>0</v>
      </c>
      <c r="AC43" s="14">
        <v>0</v>
      </c>
      <c r="AD43" s="14">
        <v>1247552.4738927973</v>
      </c>
      <c r="AE43" s="14">
        <v>4253350.9313260941</v>
      </c>
      <c r="AF43" s="14">
        <v>0</v>
      </c>
      <c r="AG43" s="14">
        <v>55964884.499420017</v>
      </c>
      <c r="AH43" s="14">
        <v>178640</v>
      </c>
      <c r="AI43" s="337">
        <v>0.76901712650947895</v>
      </c>
    </row>
    <row r="44" spans="1:35" x14ac:dyDescent="0.25">
      <c r="A44" s="49" t="s">
        <v>103</v>
      </c>
      <c r="B44" s="333" t="s">
        <v>104</v>
      </c>
      <c r="C44" s="334">
        <v>26.60948392572687</v>
      </c>
      <c r="D44" s="334">
        <v>0.33228264751766545</v>
      </c>
      <c r="E44" s="296">
        <v>90421565.522056401</v>
      </c>
      <c r="F44" s="296">
        <v>146928343.29717222</v>
      </c>
      <c r="G44" s="296">
        <v>272739993.92060822</v>
      </c>
      <c r="H44" s="296">
        <v>226523248.21458825</v>
      </c>
      <c r="I44" s="296">
        <v>108652087.39465001</v>
      </c>
      <c r="J44" s="296">
        <v>179403879.06351399</v>
      </c>
      <c r="K44" s="335">
        <v>288055966.45816398</v>
      </c>
      <c r="L44" s="334">
        <v>26.60948392572687</v>
      </c>
      <c r="M44" s="334">
        <v>0.33228264751766545</v>
      </c>
      <c r="N44" s="296">
        <v>90421565.522056401</v>
      </c>
      <c r="O44" s="296">
        <v>146928343.29717222</v>
      </c>
      <c r="P44" s="296">
        <v>264848430.84616476</v>
      </c>
      <c r="Q44" s="296">
        <v>219968938.09887564</v>
      </c>
      <c r="R44" s="296">
        <v>118856679.39465001</v>
      </c>
      <c r="S44" s="296">
        <v>179403879.06351399</v>
      </c>
      <c r="T44" s="335">
        <v>298260558.45816398</v>
      </c>
      <c r="U44" s="336" t="s">
        <v>315</v>
      </c>
      <c r="V44" s="14">
        <v>30139733.415150002</v>
      </c>
      <c r="W44" s="14">
        <v>7515648.6894000005</v>
      </c>
      <c r="X44" s="14">
        <v>157170.91699999999</v>
      </c>
      <c r="Y44" s="14">
        <v>1518008</v>
      </c>
      <c r="Z44" s="14">
        <v>0</v>
      </c>
      <c r="AA44" s="14">
        <v>2863.2069999999999</v>
      </c>
      <c r="AB44" s="14">
        <v>0</v>
      </c>
      <c r="AC44" s="14">
        <v>0</v>
      </c>
      <c r="AD44" s="14">
        <v>2075293.2448608363</v>
      </c>
      <c r="AE44" s="14">
        <v>49012848.048645556</v>
      </c>
      <c r="AF44" s="14">
        <v>469565.03422894306</v>
      </c>
      <c r="AG44" s="14">
        <v>263410159.14526916</v>
      </c>
      <c r="AH44" s="14">
        <v>968706.66666666674</v>
      </c>
      <c r="AI44" s="337">
        <v>1</v>
      </c>
    </row>
    <row r="45" spans="1:35" x14ac:dyDescent="0.25">
      <c r="A45" s="49" t="s">
        <v>105</v>
      </c>
      <c r="B45" s="333" t="s">
        <v>106</v>
      </c>
      <c r="C45" s="334">
        <v>45.475571759322541</v>
      </c>
      <c r="D45" s="334">
        <v>0.14649929730420336</v>
      </c>
      <c r="E45" s="296">
        <v>6009237.8822346162</v>
      </c>
      <c r="F45" s="296">
        <v>8001035.1681567309</v>
      </c>
      <c r="G45" s="296">
        <v>31476935.411001656</v>
      </c>
      <c r="H45" s="296">
        <v>21336707.23597813</v>
      </c>
      <c r="I45" s="296">
        <v>9281006.591</v>
      </c>
      <c r="J45" s="296">
        <v>17993651.525188178</v>
      </c>
      <c r="K45" s="335">
        <v>27274658.116188176</v>
      </c>
      <c r="L45" s="334">
        <v>45.475571759322541</v>
      </c>
      <c r="M45" s="334">
        <v>0.14649929730420336</v>
      </c>
      <c r="N45" s="296">
        <v>6009237.8822346162</v>
      </c>
      <c r="O45" s="296">
        <v>8001035.1681567309</v>
      </c>
      <c r="P45" s="296">
        <v>30611528.245983321</v>
      </c>
      <c r="Q45" s="296">
        <v>20750089.159001671</v>
      </c>
      <c r="R45" s="296">
        <v>9281006.591</v>
      </c>
      <c r="S45" s="296">
        <v>17993651.525188178</v>
      </c>
      <c r="T45" s="335">
        <v>27274658.116188176</v>
      </c>
      <c r="U45" s="336" t="s">
        <v>315</v>
      </c>
      <c r="V45" s="14">
        <v>1596567.39699</v>
      </c>
      <c r="W45" s="14">
        <v>614972.08010000002</v>
      </c>
      <c r="X45" s="14">
        <v>281689.07459999999</v>
      </c>
      <c r="Y45" s="14">
        <v>49396.47</v>
      </c>
      <c r="Z45" s="14">
        <v>0</v>
      </c>
      <c r="AA45" s="14">
        <v>0</v>
      </c>
      <c r="AB45" s="14">
        <v>0</v>
      </c>
      <c r="AC45" s="14">
        <v>0</v>
      </c>
      <c r="AD45" s="14">
        <v>1088733.9860089824</v>
      </c>
      <c r="AE45" s="14">
        <v>2377878.8745356337</v>
      </c>
      <c r="AF45" s="14">
        <v>0</v>
      </c>
      <c r="AG45" s="14">
        <v>30533634.912649989</v>
      </c>
      <c r="AH45" s="14">
        <v>77893.333333333343</v>
      </c>
      <c r="AI45" s="337">
        <v>0.96537791958269203</v>
      </c>
    </row>
    <row r="46" spans="1:35" x14ac:dyDescent="0.25">
      <c r="A46" s="49" t="s">
        <v>107</v>
      </c>
      <c r="B46" s="333" t="s">
        <v>108</v>
      </c>
      <c r="C46" s="334">
        <v>35.083126044146383</v>
      </c>
      <c r="D46" s="334">
        <v>3.5386941601644059E-2</v>
      </c>
      <c r="E46" s="296">
        <v>36395327.764127463</v>
      </c>
      <c r="F46" s="296">
        <v>37657683.022872657</v>
      </c>
      <c r="G46" s="296">
        <v>119140022.52275582</v>
      </c>
      <c r="H46" s="296">
        <v>83721077.24296239</v>
      </c>
      <c r="I46" s="296">
        <v>51738656.840350002</v>
      </c>
      <c r="J46" s="296">
        <v>90343467.231415689</v>
      </c>
      <c r="K46" s="335">
        <v>142082124.07176569</v>
      </c>
      <c r="L46" s="334">
        <v>35.083126044146383</v>
      </c>
      <c r="M46" s="334">
        <v>3.5386941601644059E-2</v>
      </c>
      <c r="N46" s="296">
        <v>36395327.764127463</v>
      </c>
      <c r="O46" s="296">
        <v>37657683.022872657</v>
      </c>
      <c r="P46" s="296">
        <v>116109306.28532633</v>
      </c>
      <c r="Q46" s="296">
        <v>81591357.751203254</v>
      </c>
      <c r="R46" s="296">
        <v>51738656.840350002</v>
      </c>
      <c r="S46" s="296">
        <v>90343467.231415689</v>
      </c>
      <c r="T46" s="335">
        <v>142082124.07176569</v>
      </c>
      <c r="U46" s="336" t="s">
        <v>316</v>
      </c>
      <c r="V46" s="14">
        <v>5347078.7967849998</v>
      </c>
      <c r="W46" s="14">
        <v>6833089.8670000006</v>
      </c>
      <c r="X46" s="14">
        <v>903157.76285000006</v>
      </c>
      <c r="Y46" s="14">
        <v>156697.60000000001</v>
      </c>
      <c r="Z46" s="14">
        <v>11993795.16077267</v>
      </c>
      <c r="AA46" s="14">
        <v>2863.2069999999999</v>
      </c>
      <c r="AB46" s="14">
        <v>2712524.9239999996</v>
      </c>
      <c r="AC46" s="14">
        <v>1034558.0536</v>
      </c>
      <c r="AD46" s="14">
        <v>1759820.6440481809</v>
      </c>
      <c r="AE46" s="14">
        <v>5651741.7480716119</v>
      </c>
      <c r="AF46" s="14">
        <v>10960289.448992934</v>
      </c>
      <c r="AG46" s="14">
        <v>102542443.50300007</v>
      </c>
      <c r="AH46" s="14">
        <v>2606573.3333333335</v>
      </c>
      <c r="AI46" s="337">
        <v>0.71260274595055095</v>
      </c>
    </row>
    <row r="47" spans="1:35" x14ac:dyDescent="0.25">
      <c r="A47" s="49" t="s">
        <v>109</v>
      </c>
      <c r="B47" s="333" t="s">
        <v>110</v>
      </c>
      <c r="C47" s="334">
        <v>33.630021646027082</v>
      </c>
      <c r="D47" s="334">
        <v>4.035041742137209E-2</v>
      </c>
      <c r="E47" s="296">
        <v>57794591.618226647</v>
      </c>
      <c r="F47" s="296">
        <v>59945471.243596308</v>
      </c>
      <c r="G47" s="296">
        <v>144906645.85966218</v>
      </c>
      <c r="H47" s="296">
        <v>103155864.45713808</v>
      </c>
      <c r="I47" s="296">
        <v>48945623.875750005</v>
      </c>
      <c r="J47" s="296">
        <v>109951923.05236343</v>
      </c>
      <c r="K47" s="335">
        <v>158897546.92811343</v>
      </c>
      <c r="L47" s="334">
        <v>33.630021646027082</v>
      </c>
      <c r="M47" s="334">
        <v>4.035041742137209E-2</v>
      </c>
      <c r="N47" s="296">
        <v>57794591.618226647</v>
      </c>
      <c r="O47" s="296">
        <v>59945471.243596308</v>
      </c>
      <c r="P47" s="296">
        <v>144906645.85966218</v>
      </c>
      <c r="Q47" s="296">
        <v>103155864.45713808</v>
      </c>
      <c r="R47" s="296">
        <v>48945623.875750005</v>
      </c>
      <c r="S47" s="296">
        <v>109951923.05236343</v>
      </c>
      <c r="T47" s="335">
        <v>158897546.92811343</v>
      </c>
      <c r="U47" s="336" t="s">
        <v>316</v>
      </c>
      <c r="V47" s="14">
        <v>8656382.9912200011</v>
      </c>
      <c r="W47" s="14">
        <v>4552449.4287999999</v>
      </c>
      <c r="X47" s="14">
        <v>1745655.9004500001</v>
      </c>
      <c r="Y47" s="14">
        <v>115491.02800000001</v>
      </c>
      <c r="Z47" s="14">
        <v>24743177.516088329</v>
      </c>
      <c r="AA47" s="14">
        <v>83033.002999999997</v>
      </c>
      <c r="AB47" s="14">
        <v>4293386.8674500007</v>
      </c>
      <c r="AC47" s="14">
        <v>2461709.3791000005</v>
      </c>
      <c r="AD47" s="14">
        <v>1936569.7923921749</v>
      </c>
      <c r="AE47" s="14">
        <v>9206735.7117261477</v>
      </c>
      <c r="AF47" s="14">
        <v>17098074.059662186</v>
      </c>
      <c r="AG47" s="14">
        <v>122532805.13333333</v>
      </c>
      <c r="AH47" s="14">
        <v>5275766.666666666</v>
      </c>
      <c r="AI47" s="337">
        <v>0.961377823959497</v>
      </c>
    </row>
    <row r="48" spans="1:35" x14ac:dyDescent="0.25">
      <c r="A48" s="49" t="s">
        <v>111</v>
      </c>
      <c r="B48" s="333" t="s">
        <v>112</v>
      </c>
      <c r="C48" s="334">
        <v>40.786603251371602</v>
      </c>
      <c r="D48" s="334">
        <v>6.6499929032611232E-2</v>
      </c>
      <c r="E48" s="296">
        <v>15931371.387008149</v>
      </c>
      <c r="F48" s="296">
        <v>18056794.063146651</v>
      </c>
      <c r="G48" s="296">
        <v>68042439.509263873</v>
      </c>
      <c r="H48" s="296">
        <v>46321776.925749481</v>
      </c>
      <c r="I48" s="296">
        <v>11286772.766392998</v>
      </c>
      <c r="J48" s="296">
        <v>45373015.591925658</v>
      </c>
      <c r="K48" s="335">
        <v>56659788.358318657</v>
      </c>
      <c r="L48" s="334">
        <v>40.786603251371602</v>
      </c>
      <c r="M48" s="334">
        <v>6.6499929032611232E-2</v>
      </c>
      <c r="N48" s="296">
        <v>15931371.387008149</v>
      </c>
      <c r="O48" s="296">
        <v>18056794.063146651</v>
      </c>
      <c r="P48" s="296">
        <v>66296843.9552522</v>
      </c>
      <c r="Q48" s="296">
        <v>45133414.362051278</v>
      </c>
      <c r="R48" s="296">
        <v>11286772.766392998</v>
      </c>
      <c r="S48" s="296">
        <v>45373015.591925658</v>
      </c>
      <c r="T48" s="335">
        <v>56659788.358318657</v>
      </c>
      <c r="U48" s="336" t="s">
        <v>316</v>
      </c>
      <c r="V48" s="14">
        <v>3004168.6389530003</v>
      </c>
      <c r="W48" s="14">
        <v>2270033.9456000002</v>
      </c>
      <c r="X48" s="14">
        <v>1315436.1115000001</v>
      </c>
      <c r="Y48" s="14">
        <v>51416.4</v>
      </c>
      <c r="Z48" s="14">
        <v>1210454.5211305835</v>
      </c>
      <c r="AA48" s="14">
        <v>0</v>
      </c>
      <c r="AB48" s="14">
        <v>990617.99568750011</v>
      </c>
      <c r="AC48" s="14">
        <v>1093399.3731</v>
      </c>
      <c r="AD48" s="14">
        <v>1317141.4304961222</v>
      </c>
      <c r="AE48" s="14">
        <v>4678702.9705409426</v>
      </c>
      <c r="AF48" s="14">
        <v>1160173.7385855548</v>
      </c>
      <c r="AG48" s="14">
        <v>63789190.216666646</v>
      </c>
      <c r="AH48" s="14">
        <v>1347480</v>
      </c>
      <c r="AI48" s="337">
        <v>0.91560523279288997</v>
      </c>
    </row>
    <row r="49" spans="1:35" x14ac:dyDescent="0.25">
      <c r="A49" s="49" t="s">
        <v>113</v>
      </c>
      <c r="B49" s="333" t="s">
        <v>114</v>
      </c>
      <c r="C49" s="334">
        <v>38.692343406302967</v>
      </c>
      <c r="D49" s="334">
        <v>7.6778501672233018E-2</v>
      </c>
      <c r="E49" s="296">
        <v>15394038.009982957</v>
      </c>
      <c r="F49" s="296">
        <v>17607256.666447077</v>
      </c>
      <c r="G49" s="296">
        <v>37627613.311071523</v>
      </c>
      <c r="H49" s="296">
        <v>26145780.925566021</v>
      </c>
      <c r="I49" s="296">
        <v>15901045.134750001</v>
      </c>
      <c r="J49" s="296">
        <v>29566290.326851785</v>
      </c>
      <c r="K49" s="335">
        <v>45467335.461601786</v>
      </c>
      <c r="L49" s="334">
        <v>38.692343406302967</v>
      </c>
      <c r="M49" s="334">
        <v>7.6778501672233018E-2</v>
      </c>
      <c r="N49" s="296">
        <v>15394038.009982957</v>
      </c>
      <c r="O49" s="296">
        <v>17607256.666447077</v>
      </c>
      <c r="P49" s="296">
        <v>36758103.070764489</v>
      </c>
      <c r="Q49" s="296">
        <v>25541596.331989508</v>
      </c>
      <c r="R49" s="296">
        <v>15901045.134750001</v>
      </c>
      <c r="S49" s="296">
        <v>29566290.326851785</v>
      </c>
      <c r="T49" s="335">
        <v>45467335.461601786</v>
      </c>
      <c r="U49" s="336" t="s">
        <v>316</v>
      </c>
      <c r="V49" s="14">
        <v>1515849.3470410001</v>
      </c>
      <c r="W49" s="14">
        <v>1726759.62295</v>
      </c>
      <c r="X49" s="14">
        <v>29448.92</v>
      </c>
      <c r="Y49" s="14">
        <v>98652.157000000007</v>
      </c>
      <c r="Z49" s="14">
        <v>4841476.6575843832</v>
      </c>
      <c r="AA49" s="14">
        <v>0</v>
      </c>
      <c r="AB49" s="14">
        <v>1448722.1009150001</v>
      </c>
      <c r="AC49" s="14">
        <v>1319728.2142449999</v>
      </c>
      <c r="AD49" s="14">
        <v>1128296.1961149431</v>
      </c>
      <c r="AE49" s="14">
        <v>3285104.7941326303</v>
      </c>
      <c r="AF49" s="14">
        <v>4997903.9731978476</v>
      </c>
      <c r="AG49" s="14">
        <v>30706551.675028294</v>
      </c>
      <c r="AH49" s="14">
        <v>1053647.4225383457</v>
      </c>
      <c r="AI49" s="337">
        <v>0.94768025476431395</v>
      </c>
    </row>
    <row r="50" spans="1:35" x14ac:dyDescent="0.25">
      <c r="A50" s="49" t="s">
        <v>115</v>
      </c>
      <c r="B50" s="333" t="s">
        <v>116</v>
      </c>
      <c r="C50" s="334">
        <v>34.964689853061394</v>
      </c>
      <c r="D50" s="334">
        <v>3.2501307486746109E-2</v>
      </c>
      <c r="E50" s="296">
        <v>22393141.812771477</v>
      </c>
      <c r="F50" s="296">
        <v>23016220.528965492</v>
      </c>
      <c r="G50" s="296">
        <v>83230546.810325801</v>
      </c>
      <c r="H50" s="296">
        <v>58473237.621031351</v>
      </c>
      <c r="I50" s="296">
        <v>22760205.021250002</v>
      </c>
      <c r="J50" s="296">
        <v>51404272.89976313</v>
      </c>
      <c r="K50" s="335">
        <v>74164477.921013132</v>
      </c>
      <c r="L50" s="334">
        <v>34.964689853061394</v>
      </c>
      <c r="M50" s="334">
        <v>3.2501307486746109E-2</v>
      </c>
      <c r="N50" s="296">
        <v>22393141.812771477</v>
      </c>
      <c r="O50" s="296">
        <v>23016220.528965492</v>
      </c>
      <c r="P50" s="296">
        <v>83230546.810325801</v>
      </c>
      <c r="Q50" s="296">
        <v>58473237.621031351</v>
      </c>
      <c r="R50" s="296">
        <v>22760642.521250002</v>
      </c>
      <c r="S50" s="296">
        <v>51404272.89976313</v>
      </c>
      <c r="T50" s="335">
        <v>74164915.421013132</v>
      </c>
      <c r="U50" s="336" t="s">
        <v>316</v>
      </c>
      <c r="V50" s="14">
        <v>5481520.1165155005</v>
      </c>
      <c r="W50" s="14">
        <v>2231284.2428000001</v>
      </c>
      <c r="X50" s="14">
        <v>747721.62930000003</v>
      </c>
      <c r="Y50" s="14">
        <v>108262.12700000001</v>
      </c>
      <c r="Z50" s="14">
        <v>6744269.2388140056</v>
      </c>
      <c r="AA50" s="14">
        <v>0</v>
      </c>
      <c r="AB50" s="14">
        <v>1257016.9778999998</v>
      </c>
      <c r="AC50" s="14">
        <v>924355.24335000012</v>
      </c>
      <c r="AD50" s="14">
        <v>1475893.2360975351</v>
      </c>
      <c r="AE50" s="14">
        <v>3422819.0009944364</v>
      </c>
      <c r="AF50" s="14">
        <v>8527499.7103258017</v>
      </c>
      <c r="AG50" s="14">
        <v>70872447.099999994</v>
      </c>
      <c r="AH50" s="14">
        <v>3830600</v>
      </c>
      <c r="AI50" s="337">
        <v>0.89734154266892896</v>
      </c>
    </row>
    <row r="51" spans="1:35" x14ac:dyDescent="0.25">
      <c r="A51" s="49" t="s">
        <v>117</v>
      </c>
      <c r="B51" s="333" t="s">
        <v>118</v>
      </c>
      <c r="C51" s="334">
        <v>38.1065594381012</v>
      </c>
      <c r="D51" s="334">
        <v>3.8943452194872052E-2</v>
      </c>
      <c r="E51" s="296">
        <v>5036936.1306362106</v>
      </c>
      <c r="F51" s="296">
        <v>5335303.8061460638</v>
      </c>
      <c r="G51" s="296">
        <v>17983287.802666668</v>
      </c>
      <c r="H51" s="296">
        <v>12363389.357251778</v>
      </c>
      <c r="I51" s="296">
        <v>5591078.0143500008</v>
      </c>
      <c r="J51" s="296">
        <v>19549249.811289668</v>
      </c>
      <c r="K51" s="335">
        <v>25140327.825639669</v>
      </c>
      <c r="L51" s="334">
        <v>38.1065594381012</v>
      </c>
      <c r="M51" s="334">
        <v>3.8943452194872052E-2</v>
      </c>
      <c r="N51" s="296">
        <v>5036936.1306362106</v>
      </c>
      <c r="O51" s="296">
        <v>5335303.8061460638</v>
      </c>
      <c r="P51" s="296">
        <v>17470694.93333333</v>
      </c>
      <c r="Q51" s="296">
        <v>12010985.208752349</v>
      </c>
      <c r="R51" s="296">
        <v>5591078.0143500008</v>
      </c>
      <c r="S51" s="296">
        <v>19549249.811289668</v>
      </c>
      <c r="T51" s="335">
        <v>25140327.825639669</v>
      </c>
      <c r="U51" s="336" t="s">
        <v>315</v>
      </c>
      <c r="V51" s="14">
        <v>1009483.9140315</v>
      </c>
      <c r="W51" s="14">
        <v>1496261.9790000001</v>
      </c>
      <c r="X51" s="14">
        <v>251166.0043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854183.4996436591</v>
      </c>
      <c r="AE51" s="14">
        <v>1425840.7336610514</v>
      </c>
      <c r="AF51" s="14">
        <v>0</v>
      </c>
      <c r="AG51" s="14">
        <v>17266361.599999998</v>
      </c>
      <c r="AH51" s="14">
        <v>204333.33333333334</v>
      </c>
      <c r="AI51" s="337">
        <v>0.71997237600361097</v>
      </c>
    </row>
    <row r="52" spans="1:35" x14ac:dyDescent="0.25">
      <c r="A52" s="49" t="s">
        <v>119</v>
      </c>
      <c r="B52" s="333" t="s">
        <v>120</v>
      </c>
      <c r="C52" s="334">
        <v>36.332918757920467</v>
      </c>
      <c r="D52" s="334">
        <v>2.9410408481666126E-2</v>
      </c>
      <c r="E52" s="296">
        <v>26180615.338173568</v>
      </c>
      <c r="F52" s="296">
        <v>26935666.426830783</v>
      </c>
      <c r="G52" s="296">
        <v>87229523.727325574</v>
      </c>
      <c r="H52" s="296">
        <v>60568140.715671718</v>
      </c>
      <c r="I52" s="296">
        <v>25759000.651300002</v>
      </c>
      <c r="J52" s="296">
        <v>57290417.448154047</v>
      </c>
      <c r="K52" s="335">
        <v>83049418.09945406</v>
      </c>
      <c r="L52" s="334">
        <v>36.332918757920467</v>
      </c>
      <c r="M52" s="334">
        <v>2.9410408481666126E-2</v>
      </c>
      <c r="N52" s="296">
        <v>26180615.338173568</v>
      </c>
      <c r="O52" s="296">
        <v>26935666.426830783</v>
      </c>
      <c r="P52" s="296">
        <v>87229523.727325574</v>
      </c>
      <c r="Q52" s="296">
        <v>60568140.715671718</v>
      </c>
      <c r="R52" s="296">
        <v>25759000.651300002</v>
      </c>
      <c r="S52" s="296">
        <v>57290417.448154047</v>
      </c>
      <c r="T52" s="335">
        <v>83049418.09945406</v>
      </c>
      <c r="U52" s="336" t="s">
        <v>316</v>
      </c>
      <c r="V52" s="14">
        <v>3776715.1431155</v>
      </c>
      <c r="W52" s="14">
        <v>5604782.2334500002</v>
      </c>
      <c r="X52" s="14">
        <v>132638.44220000002</v>
      </c>
      <c r="Y52" s="14">
        <v>106958.35400000001</v>
      </c>
      <c r="Z52" s="14">
        <v>8877420.3539803047</v>
      </c>
      <c r="AA52" s="14">
        <v>0</v>
      </c>
      <c r="AB52" s="14">
        <v>1082695.0590335</v>
      </c>
      <c r="AC52" s="14">
        <v>1571664.6099275001</v>
      </c>
      <c r="AD52" s="14">
        <v>1674693.5484432839</v>
      </c>
      <c r="AE52" s="14">
        <v>3353047.5940234754</v>
      </c>
      <c r="AF52" s="14">
        <v>6864107.2773255762</v>
      </c>
      <c r="AG52" s="14">
        <v>78521443.116666675</v>
      </c>
      <c r="AH52" s="14">
        <v>1843973.3333333335</v>
      </c>
      <c r="AI52" s="337">
        <v>0.88643954775143796</v>
      </c>
    </row>
    <row r="53" spans="1:35" x14ac:dyDescent="0.25">
      <c r="A53" s="49" t="s">
        <v>121</v>
      </c>
      <c r="B53" s="333" t="s">
        <v>122</v>
      </c>
      <c r="C53" s="334">
        <v>26.584150706079242</v>
      </c>
      <c r="D53" s="334">
        <v>3.875968992248062E-4</v>
      </c>
      <c r="E53" s="296">
        <v>15398787.237383746</v>
      </c>
      <c r="F53" s="296">
        <v>14043280.979037361</v>
      </c>
      <c r="G53" s="296">
        <v>18690748.43172754</v>
      </c>
      <c r="H53" s="296">
        <v>13804062.46690464</v>
      </c>
      <c r="I53" s="296">
        <v>31176922.444949999</v>
      </c>
      <c r="J53" s="296">
        <v>10738909.439706489</v>
      </c>
      <c r="K53" s="335">
        <v>41915831.884656489</v>
      </c>
      <c r="L53" s="334">
        <v>26.584150706079242</v>
      </c>
      <c r="M53" s="334">
        <v>3.875968992248062E-4</v>
      </c>
      <c r="N53" s="296">
        <v>15398787.237383746</v>
      </c>
      <c r="O53" s="296">
        <v>14043280.979037361</v>
      </c>
      <c r="P53" s="296">
        <v>18471149.043123718</v>
      </c>
      <c r="Q53" s="296">
        <v>13641877.21846186</v>
      </c>
      <c r="R53" s="296">
        <v>31176922.444949999</v>
      </c>
      <c r="S53" s="296">
        <v>10738909.439706489</v>
      </c>
      <c r="T53" s="335">
        <v>41915831.884656489</v>
      </c>
      <c r="U53" s="336" t="s">
        <v>317</v>
      </c>
      <c r="V53" s="14">
        <v>35384.843439999997</v>
      </c>
      <c r="W53" s="14">
        <v>667811.03289999999</v>
      </c>
      <c r="X53" s="14">
        <v>0</v>
      </c>
      <c r="Y53" s="14">
        <v>0</v>
      </c>
      <c r="Z53" s="14">
        <v>8023460.8907711189</v>
      </c>
      <c r="AA53" s="14">
        <v>0</v>
      </c>
      <c r="AB53" s="14">
        <v>1344409.5734000001</v>
      </c>
      <c r="AC53" s="14">
        <v>1330759.2721000002</v>
      </c>
      <c r="AD53" s="14">
        <v>62116.659428912084</v>
      </c>
      <c r="AE53" s="14">
        <v>3934844.9653437152</v>
      </c>
      <c r="AF53" s="14">
        <v>12083749.043123718</v>
      </c>
      <c r="AG53" s="14">
        <v>2782286.6666666665</v>
      </c>
      <c r="AH53" s="14">
        <v>3605113.3333333335</v>
      </c>
      <c r="AI53" s="337">
        <v>0.65742599872518004</v>
      </c>
    </row>
    <row r="54" spans="1:35" x14ac:dyDescent="0.25">
      <c r="A54" s="49" t="s">
        <v>123</v>
      </c>
      <c r="B54" s="333" t="s">
        <v>124</v>
      </c>
      <c r="C54" s="334">
        <v>36.136538895032849</v>
      </c>
      <c r="D54" s="334">
        <v>2.4546640352818234E-2</v>
      </c>
      <c r="E54" s="296">
        <v>21286279.547015563</v>
      </c>
      <c r="F54" s="296">
        <v>21654438.908076234</v>
      </c>
      <c r="G54" s="296">
        <v>91822372.395982489</v>
      </c>
      <c r="H54" s="296">
        <v>63729880.16244071</v>
      </c>
      <c r="I54" s="296">
        <v>21471205.807599999</v>
      </c>
      <c r="J54" s="296">
        <v>53707575.245276645</v>
      </c>
      <c r="K54" s="335">
        <v>75178781.052876651</v>
      </c>
      <c r="L54" s="334">
        <v>36.136538895032849</v>
      </c>
      <c r="M54" s="334">
        <v>2.4546640352818234E-2</v>
      </c>
      <c r="N54" s="296">
        <v>21286279.547015563</v>
      </c>
      <c r="O54" s="296">
        <v>21654438.908076234</v>
      </c>
      <c r="P54" s="296">
        <v>89279333.234933913</v>
      </c>
      <c r="Q54" s="296">
        <v>61964868.251366302</v>
      </c>
      <c r="R54" s="296">
        <v>21471205.807599999</v>
      </c>
      <c r="S54" s="296">
        <v>53707575.245276645</v>
      </c>
      <c r="T54" s="335">
        <v>75178781.052876651</v>
      </c>
      <c r="U54" s="336" t="s">
        <v>315</v>
      </c>
      <c r="V54" s="14">
        <v>3709184.8478449997</v>
      </c>
      <c r="W54" s="14">
        <v>5491503.5330500007</v>
      </c>
      <c r="X54" s="14">
        <v>8071791.3715000004</v>
      </c>
      <c r="Y54" s="14">
        <v>150772.47200000001</v>
      </c>
      <c r="Z54" s="14">
        <v>0</v>
      </c>
      <c r="AA54" s="14">
        <v>2863.2069999999999</v>
      </c>
      <c r="AB54" s="14">
        <v>0</v>
      </c>
      <c r="AC54" s="14">
        <v>0</v>
      </c>
      <c r="AD54" s="14">
        <v>1497863.9743802047</v>
      </c>
      <c r="AE54" s="14">
        <v>2362300.1412403597</v>
      </c>
      <c r="AF54" s="14">
        <v>1775.5701819374997</v>
      </c>
      <c r="AG54" s="14">
        <v>85705570.998085305</v>
      </c>
      <c r="AH54" s="14">
        <v>3571986.666666667</v>
      </c>
      <c r="AI54" s="337">
        <v>0.94136412223021604</v>
      </c>
    </row>
    <row r="55" spans="1:35" x14ac:dyDescent="0.25">
      <c r="A55" s="49" t="s">
        <v>125</v>
      </c>
      <c r="B55" s="333" t="s">
        <v>126</v>
      </c>
      <c r="C55" s="334">
        <v>36.765288185404941</v>
      </c>
      <c r="D55" s="334">
        <v>3.083817592238591E-2</v>
      </c>
      <c r="E55" s="296">
        <v>16964687.74105604</v>
      </c>
      <c r="F55" s="296">
        <v>17547003.574815374</v>
      </c>
      <c r="G55" s="296">
        <v>43628880.826635189</v>
      </c>
      <c r="H55" s="296">
        <v>30210055.768827073</v>
      </c>
      <c r="I55" s="296">
        <v>12563201.777150001</v>
      </c>
      <c r="J55" s="296">
        <v>30377842.850739244</v>
      </c>
      <c r="K55" s="335">
        <v>42941044.627889246</v>
      </c>
      <c r="L55" s="334">
        <v>36.765288185404941</v>
      </c>
      <c r="M55" s="334">
        <v>3.083817592238591E-2</v>
      </c>
      <c r="N55" s="296">
        <v>16964687.74105604</v>
      </c>
      <c r="O55" s="296">
        <v>17547003.574815374</v>
      </c>
      <c r="P55" s="296">
        <v>43628880.826635189</v>
      </c>
      <c r="Q55" s="296">
        <v>30210055.768827073</v>
      </c>
      <c r="R55" s="296">
        <v>12563201.777150001</v>
      </c>
      <c r="S55" s="296">
        <v>30377842.850739244</v>
      </c>
      <c r="T55" s="335">
        <v>42941044.627889246</v>
      </c>
      <c r="U55" s="336" t="s">
        <v>316</v>
      </c>
      <c r="V55" s="14">
        <v>1920176.5005380001</v>
      </c>
      <c r="W55" s="14">
        <v>6356872.5024500005</v>
      </c>
      <c r="X55" s="14">
        <v>173927.24710000001</v>
      </c>
      <c r="Y55" s="14">
        <v>25634.748000000003</v>
      </c>
      <c r="Z55" s="14">
        <v>3519959.3639998762</v>
      </c>
      <c r="AA55" s="14">
        <v>8589.6209999999992</v>
      </c>
      <c r="AB55" s="14">
        <v>845759.13797000004</v>
      </c>
      <c r="AC55" s="14">
        <v>808159.88724500011</v>
      </c>
      <c r="AD55" s="14">
        <v>1290549.3054708503</v>
      </c>
      <c r="AE55" s="14">
        <v>2015059.4272823138</v>
      </c>
      <c r="AF55" s="14">
        <v>2315214.532207631</v>
      </c>
      <c r="AG55" s="14">
        <v>40790171.33458928</v>
      </c>
      <c r="AH55" s="14">
        <v>523494.95983827685</v>
      </c>
      <c r="AI55" s="337">
        <v>1</v>
      </c>
    </row>
    <row r="56" spans="1:35" x14ac:dyDescent="0.25">
      <c r="A56" s="49" t="s">
        <v>127</v>
      </c>
      <c r="B56" s="333" t="s">
        <v>128</v>
      </c>
      <c r="C56" s="334">
        <v>33.864381759778269</v>
      </c>
      <c r="D56" s="334">
        <v>3.3747055265732892E-2</v>
      </c>
      <c r="E56" s="296">
        <v>54750965.985574588</v>
      </c>
      <c r="F56" s="296">
        <v>56083872.895572059</v>
      </c>
      <c r="G56" s="296">
        <v>192788229.16104713</v>
      </c>
      <c r="H56" s="296">
        <v>136646149.18389443</v>
      </c>
      <c r="I56" s="296">
        <v>68165299.85695</v>
      </c>
      <c r="J56" s="296">
        <v>126615291.5876576</v>
      </c>
      <c r="K56" s="335">
        <v>194780591.44460762</v>
      </c>
      <c r="L56" s="334">
        <v>33.864381759778269</v>
      </c>
      <c r="M56" s="334">
        <v>3.3747055265732892E-2</v>
      </c>
      <c r="N56" s="296">
        <v>54750965.985574588</v>
      </c>
      <c r="O56" s="296">
        <v>56083872.895572059</v>
      </c>
      <c r="P56" s="296">
        <v>192788229.16104713</v>
      </c>
      <c r="Q56" s="296">
        <v>136646149.18389443</v>
      </c>
      <c r="R56" s="296">
        <v>68165299.85695</v>
      </c>
      <c r="S56" s="296">
        <v>126615291.5876576</v>
      </c>
      <c r="T56" s="335">
        <v>194780591.44460762</v>
      </c>
      <c r="U56" s="336" t="s">
        <v>316</v>
      </c>
      <c r="V56" s="14">
        <v>8017235.064367</v>
      </c>
      <c r="W56" s="14">
        <v>15368201.295700001</v>
      </c>
      <c r="X56" s="14">
        <v>988512.69570000004</v>
      </c>
      <c r="Y56" s="14">
        <v>284338.81300000002</v>
      </c>
      <c r="Z56" s="14">
        <v>15994111.19793205</v>
      </c>
      <c r="AA56" s="14">
        <v>100212.245</v>
      </c>
      <c r="AB56" s="14">
        <v>3317070.0241</v>
      </c>
      <c r="AC56" s="14">
        <v>584771.01809999999</v>
      </c>
      <c r="AD56" s="14">
        <v>2030826.838694185</v>
      </c>
      <c r="AE56" s="14">
        <v>8065686.7929813545</v>
      </c>
      <c r="AF56" s="14">
        <v>12491653.5252138</v>
      </c>
      <c r="AG56" s="14">
        <v>178105735.63583332</v>
      </c>
      <c r="AH56" s="14">
        <v>2190840</v>
      </c>
      <c r="AI56" s="337">
        <v>0.81630094029774702</v>
      </c>
    </row>
    <row r="57" spans="1:35" x14ac:dyDescent="0.25">
      <c r="A57" s="49" t="s">
        <v>129</v>
      </c>
      <c r="B57" s="333" t="s">
        <v>130</v>
      </c>
      <c r="C57" s="334">
        <v>36.015381127780415</v>
      </c>
      <c r="D57" s="334">
        <v>3.936851736049074E-2</v>
      </c>
      <c r="E57" s="296">
        <v>36246192.714166626</v>
      </c>
      <c r="F57" s="296">
        <v>38002349.993288867</v>
      </c>
      <c r="G57" s="296">
        <v>94283692.438689739</v>
      </c>
      <c r="H57" s="296">
        <v>65887328.25240349</v>
      </c>
      <c r="I57" s="296">
        <v>28590605.847900003</v>
      </c>
      <c r="J57" s="296">
        <v>86320503.87644273</v>
      </c>
      <c r="K57" s="335">
        <v>114911109.72434273</v>
      </c>
      <c r="L57" s="334">
        <v>36.015381127780415</v>
      </c>
      <c r="M57" s="334">
        <v>3.936851736049074E-2</v>
      </c>
      <c r="N57" s="296">
        <v>33625697.441312842</v>
      </c>
      <c r="O57" s="296">
        <v>35254889.610344253</v>
      </c>
      <c r="P57" s="296">
        <v>91745993.664807513</v>
      </c>
      <c r="Q57" s="296">
        <v>64113933.640931025</v>
      </c>
      <c r="R57" s="296">
        <v>28590605.847900003</v>
      </c>
      <c r="S57" s="296">
        <v>86320503.87644273</v>
      </c>
      <c r="T57" s="335">
        <v>114911109.72434273</v>
      </c>
      <c r="U57" s="336" t="s">
        <v>316</v>
      </c>
      <c r="V57" s="14">
        <v>4005169.4082999998</v>
      </c>
      <c r="W57" s="14">
        <v>6771093.4891499998</v>
      </c>
      <c r="X57" s="14">
        <v>1001764.8483500001</v>
      </c>
      <c r="Y57" s="14">
        <v>49886.15</v>
      </c>
      <c r="Z57" s="14">
        <v>10772148.366267022</v>
      </c>
      <c r="AA57" s="14">
        <v>71580.175000000003</v>
      </c>
      <c r="AB57" s="14">
        <v>1533764.7899</v>
      </c>
      <c r="AC57" s="14">
        <v>3076386.4683999997</v>
      </c>
      <c r="AD57" s="14">
        <v>1565402.7448426282</v>
      </c>
      <c r="AE57" s="14">
        <v>4778501.0011031888</v>
      </c>
      <c r="AF57" s="14">
        <v>10158679.664807515</v>
      </c>
      <c r="AG57" s="14">
        <v>80336954</v>
      </c>
      <c r="AH57" s="14">
        <v>1250360</v>
      </c>
      <c r="AI57" s="337">
        <v>0.77659456555292805</v>
      </c>
    </row>
    <row r="58" spans="1:35" x14ac:dyDescent="0.25">
      <c r="A58" s="49" t="s">
        <v>131</v>
      </c>
      <c r="B58" s="333" t="s">
        <v>132</v>
      </c>
      <c r="C58" s="334">
        <v>36.029923740030952</v>
      </c>
      <c r="D58" s="334">
        <v>2.5283474919093853E-2</v>
      </c>
      <c r="E58" s="296">
        <v>16862931.194057308</v>
      </c>
      <c r="F58" s="296">
        <v>17171214.453809343</v>
      </c>
      <c r="G58" s="296">
        <v>50382858.770521104</v>
      </c>
      <c r="H58" s="296">
        <v>35007628.793201402</v>
      </c>
      <c r="I58" s="296">
        <v>30443459.838150002</v>
      </c>
      <c r="J58" s="296">
        <v>39300048.993858762</v>
      </c>
      <c r="K58" s="335">
        <v>69743508.832008764</v>
      </c>
      <c r="L58" s="334">
        <v>36.029923740030952</v>
      </c>
      <c r="M58" s="334">
        <v>2.5283474919093853E-2</v>
      </c>
      <c r="N58" s="296">
        <v>16862931.194057308</v>
      </c>
      <c r="O58" s="296">
        <v>17171214.453809343</v>
      </c>
      <c r="P58" s="296">
        <v>49046163.226159789</v>
      </c>
      <c r="Q58" s="296">
        <v>34078849.788427927</v>
      </c>
      <c r="R58" s="296">
        <v>30444334.838150002</v>
      </c>
      <c r="S58" s="296">
        <v>39300048.993858762</v>
      </c>
      <c r="T58" s="335">
        <v>69744383.832008764</v>
      </c>
      <c r="U58" s="336" t="s">
        <v>316</v>
      </c>
      <c r="V58" s="14">
        <v>2252058.818345</v>
      </c>
      <c r="W58" s="14">
        <v>3347066.0168000003</v>
      </c>
      <c r="X58" s="14">
        <v>87271.925199999998</v>
      </c>
      <c r="Y58" s="14">
        <v>97268.811000000002</v>
      </c>
      <c r="Z58" s="14">
        <v>5856829.525286491</v>
      </c>
      <c r="AA58" s="14">
        <v>8589.6209999999992</v>
      </c>
      <c r="AB58" s="14">
        <v>938872.78535000002</v>
      </c>
      <c r="AC58" s="14">
        <v>955511.55374999996</v>
      </c>
      <c r="AD58" s="14">
        <v>1292489.8198517065</v>
      </c>
      <c r="AE58" s="14">
        <v>2026972.3174741082</v>
      </c>
      <c r="AF58" s="14">
        <v>4618319.2928264439</v>
      </c>
      <c r="AG58" s="14">
        <v>42307990.600000009</v>
      </c>
      <c r="AH58" s="14">
        <v>2119853.333333333</v>
      </c>
      <c r="AI58" s="337">
        <v>0.63763650225395296</v>
      </c>
    </row>
    <row r="59" spans="1:35" x14ac:dyDescent="0.25">
      <c r="A59" s="49" t="s">
        <v>133</v>
      </c>
      <c r="B59" s="333" t="s">
        <v>134</v>
      </c>
      <c r="C59" s="334">
        <v>32.04592873096874</v>
      </c>
      <c r="D59" s="334">
        <v>2.7858168506460106E-2</v>
      </c>
      <c r="E59" s="296">
        <v>23917516.017930806</v>
      </c>
      <c r="F59" s="296">
        <v>23953988.168703146</v>
      </c>
      <c r="G59" s="296">
        <v>51555737.668781213</v>
      </c>
      <c r="H59" s="296">
        <v>36960362.703998044</v>
      </c>
      <c r="I59" s="296">
        <v>17419280.056824498</v>
      </c>
      <c r="J59" s="296">
        <v>42068387.347524464</v>
      </c>
      <c r="K59" s="335">
        <v>59487667.404348955</v>
      </c>
      <c r="L59" s="334">
        <v>32.04592873096874</v>
      </c>
      <c r="M59" s="334">
        <v>2.7858168506460106E-2</v>
      </c>
      <c r="N59" s="296">
        <v>23917516.017930806</v>
      </c>
      <c r="O59" s="296">
        <v>23953988.168703146</v>
      </c>
      <c r="P59" s="296">
        <v>51555737.668781213</v>
      </c>
      <c r="Q59" s="296">
        <v>36960362.703998044</v>
      </c>
      <c r="R59" s="296">
        <v>17419280.056824498</v>
      </c>
      <c r="S59" s="296">
        <v>42068387.347524464</v>
      </c>
      <c r="T59" s="335">
        <v>59487667.404348955</v>
      </c>
      <c r="U59" s="336" t="s">
        <v>316</v>
      </c>
      <c r="V59" s="14">
        <v>1982527.6764549999</v>
      </c>
      <c r="W59" s="14">
        <v>5681488.5529000005</v>
      </c>
      <c r="X59" s="14">
        <v>206090.921</v>
      </c>
      <c r="Y59" s="14">
        <v>4376.5150000000003</v>
      </c>
      <c r="Z59" s="14">
        <v>10278431.602570254</v>
      </c>
      <c r="AA59" s="14">
        <v>51537.725999999995</v>
      </c>
      <c r="AB59" s="14">
        <v>937207.06715000002</v>
      </c>
      <c r="AC59" s="14">
        <v>1049019.0558500001</v>
      </c>
      <c r="AD59" s="14">
        <v>1327921.2031691929</v>
      </c>
      <c r="AE59" s="14">
        <v>2398915.6978363576</v>
      </c>
      <c r="AF59" s="14">
        <v>9103396.00211454</v>
      </c>
      <c r="AG59" s="14">
        <v>41459873.666666672</v>
      </c>
      <c r="AH59" s="14">
        <v>992468.00000000012</v>
      </c>
      <c r="AI59" s="337">
        <v>0.98541809195367702</v>
      </c>
    </row>
    <row r="60" spans="1:35" x14ac:dyDescent="0.25">
      <c r="A60" s="49" t="s">
        <v>135</v>
      </c>
      <c r="B60" s="333" t="s">
        <v>136</v>
      </c>
      <c r="C60" s="334">
        <v>33.773576563635146</v>
      </c>
      <c r="D60" s="334">
        <v>2.089201285393618E-2</v>
      </c>
      <c r="E60" s="296">
        <v>38943089.583830431</v>
      </c>
      <c r="F60" s="296">
        <v>38796202.609458141</v>
      </c>
      <c r="G60" s="296">
        <v>103729418.61734636</v>
      </c>
      <c r="H60" s="296">
        <v>73202587.83435145</v>
      </c>
      <c r="I60" s="296">
        <v>36718726.87765</v>
      </c>
      <c r="J60" s="296">
        <v>82926137.486950278</v>
      </c>
      <c r="K60" s="335">
        <v>119644864.36460027</v>
      </c>
      <c r="L60" s="334">
        <v>33.773576563635146</v>
      </c>
      <c r="M60" s="334">
        <v>2.089201285393618E-2</v>
      </c>
      <c r="N60" s="296">
        <v>38943089.583830431</v>
      </c>
      <c r="O60" s="296">
        <v>38796202.609458141</v>
      </c>
      <c r="P60" s="296">
        <v>103729418.61734636</v>
      </c>
      <c r="Q60" s="296">
        <v>73202587.83435145</v>
      </c>
      <c r="R60" s="296">
        <v>36718726.87765</v>
      </c>
      <c r="S60" s="296">
        <v>82926137.486950278</v>
      </c>
      <c r="T60" s="335">
        <v>119644864.36460027</v>
      </c>
      <c r="U60" s="336" t="s">
        <v>316</v>
      </c>
      <c r="V60" s="14">
        <v>4060701.8855170002</v>
      </c>
      <c r="W60" s="14">
        <v>13976325.50685</v>
      </c>
      <c r="X60" s="14">
        <v>102604.13264999999</v>
      </c>
      <c r="Y60" s="14">
        <v>205065.74200000003</v>
      </c>
      <c r="Z60" s="14">
        <v>11206551.200670883</v>
      </c>
      <c r="AA60" s="14">
        <v>8589.6209999999992</v>
      </c>
      <c r="AB60" s="14">
        <v>1425076.9414145001</v>
      </c>
      <c r="AC60" s="14">
        <v>1506580.7028699999</v>
      </c>
      <c r="AD60" s="14">
        <v>1618678.8385656043</v>
      </c>
      <c r="AE60" s="14">
        <v>4832915.0122924391</v>
      </c>
      <c r="AF60" s="14">
        <v>11027757.134013038</v>
      </c>
      <c r="AG60" s="14">
        <v>92002488.149999991</v>
      </c>
      <c r="AH60" s="14">
        <v>699173.33333333326</v>
      </c>
      <c r="AI60" s="337">
        <v>0.83136596283822195</v>
      </c>
    </row>
    <row r="61" spans="1:35" x14ac:dyDescent="0.25">
      <c r="A61" s="49" t="s">
        <v>137</v>
      </c>
      <c r="B61" s="333" t="s">
        <v>138</v>
      </c>
      <c r="C61" s="334">
        <v>34.137451097868578</v>
      </c>
      <c r="D61" s="334">
        <v>0.10998630560176872</v>
      </c>
      <c r="E61" s="296">
        <v>9461892.5286249481</v>
      </c>
      <c r="F61" s="296">
        <v>11255976.069030821</v>
      </c>
      <c r="G61" s="296">
        <v>51216208.212859146</v>
      </c>
      <c r="H61" s="296">
        <v>37310428.460855886</v>
      </c>
      <c r="I61" s="296">
        <v>10134445.789900001</v>
      </c>
      <c r="J61" s="296">
        <v>45693983.663243689</v>
      </c>
      <c r="K61" s="335">
        <v>55828429.453143686</v>
      </c>
      <c r="L61" s="334">
        <v>34.137451097868578</v>
      </c>
      <c r="M61" s="334">
        <v>0.10998630560176872</v>
      </c>
      <c r="N61" s="296">
        <v>9461892.5286249481</v>
      </c>
      <c r="O61" s="296">
        <v>11255976.069030821</v>
      </c>
      <c r="P61" s="296">
        <v>49776104.123185821</v>
      </c>
      <c r="Q61" s="296">
        <v>36261328.918175332</v>
      </c>
      <c r="R61" s="296">
        <v>10134445.789900001</v>
      </c>
      <c r="S61" s="296">
        <v>45693983.663243689</v>
      </c>
      <c r="T61" s="335">
        <v>55828429.453143686</v>
      </c>
      <c r="U61" s="336" t="s">
        <v>315</v>
      </c>
      <c r="V61" s="14">
        <v>3019017.6069294997</v>
      </c>
      <c r="W61" s="14">
        <v>1073376.4150999999</v>
      </c>
      <c r="X61" s="14">
        <v>32622.294999999998</v>
      </c>
      <c r="Y61" s="14">
        <v>153392.26</v>
      </c>
      <c r="Z61" s="14">
        <v>0</v>
      </c>
      <c r="AA61" s="14">
        <v>0</v>
      </c>
      <c r="AB61" s="14">
        <v>0</v>
      </c>
      <c r="AC61" s="14">
        <v>0</v>
      </c>
      <c r="AD61" s="14">
        <v>1316984.3984920015</v>
      </c>
      <c r="AE61" s="14">
        <v>3866499.5531034479</v>
      </c>
      <c r="AF61" s="14">
        <v>0</v>
      </c>
      <c r="AG61" s="14">
        <v>48199837.456519157</v>
      </c>
      <c r="AH61" s="14">
        <v>1576266.6666666665</v>
      </c>
      <c r="AI61" s="337">
        <v>0.76274780257561103</v>
      </c>
    </row>
    <row r="62" spans="1:35" x14ac:dyDescent="0.25">
      <c r="A62" s="49" t="s">
        <v>139</v>
      </c>
      <c r="B62" s="333" t="s">
        <v>140</v>
      </c>
      <c r="C62" s="334">
        <v>31.618470679816273</v>
      </c>
      <c r="D62" s="334">
        <v>2.451321093360145E-2</v>
      </c>
      <c r="E62" s="296">
        <v>29616926.948949702</v>
      </c>
      <c r="F62" s="296">
        <v>29378503.226654489</v>
      </c>
      <c r="G62" s="296">
        <v>118841562.77814101</v>
      </c>
      <c r="H62" s="296">
        <v>85359579.753278002</v>
      </c>
      <c r="I62" s="296">
        <v>31886931.49205</v>
      </c>
      <c r="J62" s="296">
        <v>96902241.329211682</v>
      </c>
      <c r="K62" s="335">
        <v>128789172.82126167</v>
      </c>
      <c r="L62" s="334">
        <v>31.618470679816273</v>
      </c>
      <c r="M62" s="334">
        <v>2.451321093360145E-2</v>
      </c>
      <c r="N62" s="296">
        <v>29616926.948949702</v>
      </c>
      <c r="O62" s="296">
        <v>29378503.226654489</v>
      </c>
      <c r="P62" s="296">
        <v>118841562.77814101</v>
      </c>
      <c r="Q62" s="296">
        <v>85359579.753278002</v>
      </c>
      <c r="R62" s="296">
        <v>31886931.49205</v>
      </c>
      <c r="S62" s="296">
        <v>96902241.329211682</v>
      </c>
      <c r="T62" s="335">
        <v>128789172.82126167</v>
      </c>
      <c r="U62" s="336" t="s">
        <v>316</v>
      </c>
      <c r="V62" s="14">
        <v>4448089.1330065001</v>
      </c>
      <c r="W62" s="14">
        <v>5550565.5555000007</v>
      </c>
      <c r="X62" s="14">
        <v>621330.66850000003</v>
      </c>
      <c r="Y62" s="14">
        <v>85804.178</v>
      </c>
      <c r="Z62" s="14">
        <v>9552647.5976524167</v>
      </c>
      <c r="AA62" s="14">
        <v>0</v>
      </c>
      <c r="AB62" s="14">
        <v>2511297.8555000001</v>
      </c>
      <c r="AC62" s="14">
        <v>1167200.3501000002</v>
      </c>
      <c r="AD62" s="14">
        <v>1646172.9183813734</v>
      </c>
      <c r="AE62" s="14">
        <v>4033818.692309414</v>
      </c>
      <c r="AF62" s="14">
        <v>15103871.003474366</v>
      </c>
      <c r="AG62" s="14">
        <v>101864531.77466664</v>
      </c>
      <c r="AH62" s="14">
        <v>1873160</v>
      </c>
      <c r="AI62" s="337">
        <v>0.72234768114398396</v>
      </c>
    </row>
    <row r="63" spans="1:35" x14ac:dyDescent="0.25">
      <c r="A63" s="49" t="s">
        <v>141</v>
      </c>
      <c r="B63" s="333" t="s">
        <v>142</v>
      </c>
      <c r="C63" s="334">
        <v>32.196290943735079</v>
      </c>
      <c r="D63" s="334">
        <v>2.0174498110542557E-2</v>
      </c>
      <c r="E63" s="296">
        <v>25583865.179113921</v>
      </c>
      <c r="F63" s="296">
        <v>25222207.084788401</v>
      </c>
      <c r="G63" s="296">
        <v>106106096.2095836</v>
      </c>
      <c r="H63" s="296">
        <v>75755739.760615036</v>
      </c>
      <c r="I63" s="296">
        <v>23386531.449100003</v>
      </c>
      <c r="J63" s="296">
        <v>59733266.268738478</v>
      </c>
      <c r="K63" s="335">
        <v>83119797.717838481</v>
      </c>
      <c r="L63" s="334">
        <v>32.196290943735079</v>
      </c>
      <c r="M63" s="334">
        <v>2.0174498110542557E-2</v>
      </c>
      <c r="N63" s="296">
        <v>25583865.179113921</v>
      </c>
      <c r="O63" s="296">
        <v>25222207.084788401</v>
      </c>
      <c r="P63" s="296">
        <v>106106096.2095836</v>
      </c>
      <c r="Q63" s="296">
        <v>75755739.760615036</v>
      </c>
      <c r="R63" s="296">
        <v>23386531.449100003</v>
      </c>
      <c r="S63" s="296">
        <v>59733266.268738478</v>
      </c>
      <c r="T63" s="335">
        <v>83119797.717838481</v>
      </c>
      <c r="U63" s="336" t="s">
        <v>316</v>
      </c>
      <c r="V63" s="14">
        <v>4369607.437820999</v>
      </c>
      <c r="W63" s="14">
        <v>5919559.1935000001</v>
      </c>
      <c r="X63" s="14">
        <v>440408.89529999997</v>
      </c>
      <c r="Y63" s="14">
        <v>58100.532000000007</v>
      </c>
      <c r="Z63" s="14">
        <v>7665599.5594363082</v>
      </c>
      <c r="AA63" s="14">
        <v>146023.557</v>
      </c>
      <c r="AB63" s="14">
        <v>1349714.9542555001</v>
      </c>
      <c r="AC63" s="14">
        <v>1076927.8611399999</v>
      </c>
      <c r="AD63" s="14">
        <v>1571812.0635484541</v>
      </c>
      <c r="AE63" s="14">
        <v>2986111.125112664</v>
      </c>
      <c r="AF63" s="14">
        <v>6219576.2095836159</v>
      </c>
      <c r="AG63" s="14">
        <v>97820866.666666657</v>
      </c>
      <c r="AH63" s="14">
        <v>2065653.3333333333</v>
      </c>
      <c r="AI63" s="337">
        <v>0.993309146143456</v>
      </c>
    </row>
    <row r="64" spans="1:35" x14ac:dyDescent="0.25">
      <c r="A64" s="49" t="s">
        <v>143</v>
      </c>
      <c r="B64" s="333" t="s">
        <v>144</v>
      </c>
      <c r="C64" s="334">
        <v>32.658363788997057</v>
      </c>
      <c r="D64" s="334">
        <v>1.6756142865204902E-2</v>
      </c>
      <c r="E64" s="296">
        <v>23516068.239119381</v>
      </c>
      <c r="F64" s="296">
        <v>23071780.456842907</v>
      </c>
      <c r="G64" s="296">
        <v>71309102.640683994</v>
      </c>
      <c r="H64" s="296">
        <v>50667724.34847036</v>
      </c>
      <c r="I64" s="296">
        <v>16780898.7976445</v>
      </c>
      <c r="J64" s="296">
        <v>45284015.983444124</v>
      </c>
      <c r="K64" s="335">
        <v>62064914.78108862</v>
      </c>
      <c r="L64" s="334">
        <v>32.658363788997057</v>
      </c>
      <c r="M64" s="334">
        <v>1.6756142865204902E-2</v>
      </c>
      <c r="N64" s="296">
        <v>23516068.239119381</v>
      </c>
      <c r="O64" s="296">
        <v>23071780.456842907</v>
      </c>
      <c r="P64" s="296">
        <v>71309102.640683994</v>
      </c>
      <c r="Q64" s="296">
        <v>50667724.34847036</v>
      </c>
      <c r="R64" s="296">
        <v>16780898.7976445</v>
      </c>
      <c r="S64" s="296">
        <v>45284015.983444124</v>
      </c>
      <c r="T64" s="335">
        <v>62064914.78108862</v>
      </c>
      <c r="U64" s="336" t="s">
        <v>316</v>
      </c>
      <c r="V64" s="14">
        <v>2593041.1616399996</v>
      </c>
      <c r="W64" s="14">
        <v>5937637.8590500001</v>
      </c>
      <c r="X64" s="14">
        <v>111492.9436</v>
      </c>
      <c r="Y64" s="14">
        <v>38849.987000000001</v>
      </c>
      <c r="Z64" s="14">
        <v>9200854.6663418896</v>
      </c>
      <c r="AA64" s="14">
        <v>0</v>
      </c>
      <c r="AB64" s="14">
        <v>896674.5909500001</v>
      </c>
      <c r="AC64" s="14">
        <v>2011034.0874000001</v>
      </c>
      <c r="AD64" s="14">
        <v>1159164.0660152098</v>
      </c>
      <c r="AE64" s="14">
        <v>1567318.8771222816</v>
      </c>
      <c r="AF64" s="14">
        <v>12400462.29068399</v>
      </c>
      <c r="AG64" s="14">
        <v>57525640.350000001</v>
      </c>
      <c r="AH64" s="14">
        <v>1383000</v>
      </c>
      <c r="AI64" s="337">
        <v>1</v>
      </c>
    </row>
    <row r="65" spans="1:35" x14ac:dyDescent="0.25">
      <c r="A65" s="49" t="s">
        <v>145</v>
      </c>
      <c r="B65" s="333" t="s">
        <v>146</v>
      </c>
      <c r="C65" s="334">
        <v>32.900777126212255</v>
      </c>
      <c r="D65" s="334">
        <v>5.6179775280898881E-4</v>
      </c>
      <c r="E65" s="296">
        <v>23297064.925238878</v>
      </c>
      <c r="F65" s="296">
        <v>22078221.203424502</v>
      </c>
      <c r="G65" s="296">
        <v>25933419.321662422</v>
      </c>
      <c r="H65" s="296">
        <v>18276364.242757995</v>
      </c>
      <c r="I65" s="296">
        <v>29040156.078050002</v>
      </c>
      <c r="J65" s="296">
        <v>21418659.966481365</v>
      </c>
      <c r="K65" s="335">
        <v>50458816.044531368</v>
      </c>
      <c r="L65" s="334">
        <v>32.900777126212255</v>
      </c>
      <c r="M65" s="334">
        <v>5.6179775280898881E-4</v>
      </c>
      <c r="N65" s="296">
        <v>23297064.925238878</v>
      </c>
      <c r="O65" s="296">
        <v>22078221.203424502</v>
      </c>
      <c r="P65" s="296">
        <v>25600315.434802696</v>
      </c>
      <c r="Q65" s="296">
        <v>18041612.014699835</v>
      </c>
      <c r="R65" s="296">
        <v>29040156.078050002</v>
      </c>
      <c r="S65" s="296">
        <v>21418659.966481365</v>
      </c>
      <c r="T65" s="335">
        <v>50458816.044531368</v>
      </c>
      <c r="U65" s="336" t="s">
        <v>317</v>
      </c>
      <c r="V65" s="14">
        <v>35473.029214000002</v>
      </c>
      <c r="W65" s="14">
        <v>0</v>
      </c>
      <c r="X65" s="14">
        <v>0</v>
      </c>
      <c r="Y65" s="14">
        <v>0</v>
      </c>
      <c r="Z65" s="14">
        <v>12527563.613051577</v>
      </c>
      <c r="AA65" s="14">
        <v>0</v>
      </c>
      <c r="AB65" s="14">
        <v>3562107.5362999998</v>
      </c>
      <c r="AC65" s="14">
        <v>3591271.35195</v>
      </c>
      <c r="AD65" s="14">
        <v>56886.100554427154</v>
      </c>
      <c r="AE65" s="14">
        <v>3523763.2941688737</v>
      </c>
      <c r="AF65" s="14">
        <v>19120229.180302694</v>
      </c>
      <c r="AG65" s="14">
        <v>4936626.2545000007</v>
      </c>
      <c r="AH65" s="14">
        <v>1543460</v>
      </c>
      <c r="AI65" s="337">
        <v>0.75742665697173195</v>
      </c>
    </row>
    <row r="66" spans="1:35" x14ac:dyDescent="0.25">
      <c r="A66" s="49" t="s">
        <v>147</v>
      </c>
      <c r="B66" s="333" t="s">
        <v>148</v>
      </c>
      <c r="C66" s="334">
        <v>24.677949235584862</v>
      </c>
      <c r="D66" s="334">
        <v>4.3478260869565227E-3</v>
      </c>
      <c r="E66" s="296">
        <v>13793191.120554242</v>
      </c>
      <c r="F66" s="296">
        <v>12549255.960209964</v>
      </c>
      <c r="G66" s="296">
        <v>7999965.6205138303</v>
      </c>
      <c r="H66" s="296">
        <v>5998911.1654275544</v>
      </c>
      <c r="I66" s="296">
        <v>12648345.688900001</v>
      </c>
      <c r="J66" s="296">
        <v>8982007.9408867098</v>
      </c>
      <c r="K66" s="335">
        <v>21630353.629786711</v>
      </c>
      <c r="L66" s="334">
        <v>24.677949235584862</v>
      </c>
      <c r="M66" s="334">
        <v>4.3478260869565227E-3</v>
      </c>
      <c r="N66" s="296">
        <v>13793191.120554242</v>
      </c>
      <c r="O66" s="296">
        <v>12549255.960209964</v>
      </c>
      <c r="P66" s="296">
        <v>7908052.1870041639</v>
      </c>
      <c r="Q66" s="296">
        <v>5929988.3039192436</v>
      </c>
      <c r="R66" s="296">
        <v>12648345.688900001</v>
      </c>
      <c r="S66" s="296">
        <v>8982007.9408867098</v>
      </c>
      <c r="T66" s="335">
        <v>21630353.629786711</v>
      </c>
      <c r="U66" s="336" t="s">
        <v>317</v>
      </c>
      <c r="V66" s="14">
        <v>3252.666311</v>
      </c>
      <c r="W66" s="14">
        <v>289155.79610000004</v>
      </c>
      <c r="X66" s="14">
        <v>0</v>
      </c>
      <c r="Y66" s="14">
        <v>24484</v>
      </c>
      <c r="Z66" s="14">
        <v>5813493.9452369455</v>
      </c>
      <c r="AA66" s="14">
        <v>0</v>
      </c>
      <c r="AB66" s="14">
        <v>1600135.7555</v>
      </c>
      <c r="AC66" s="14">
        <v>4049427.6951000001</v>
      </c>
      <c r="AD66" s="14">
        <v>56886.100554427154</v>
      </c>
      <c r="AE66" s="14">
        <v>1956355.1617518691</v>
      </c>
      <c r="AF66" s="14">
        <v>6396882.3306917083</v>
      </c>
      <c r="AG66" s="14">
        <v>980781.66666666674</v>
      </c>
      <c r="AH66" s="14">
        <v>530388.1896457884</v>
      </c>
      <c r="AI66" s="337">
        <v>0.92198944405592198</v>
      </c>
    </row>
    <row r="67" spans="1:35" x14ac:dyDescent="0.25">
      <c r="A67" s="49" t="s">
        <v>149</v>
      </c>
      <c r="B67" s="333" t="s">
        <v>150</v>
      </c>
      <c r="C67" s="334">
        <v>35.120221053119408</v>
      </c>
      <c r="D67" s="334">
        <v>2.5254069098173258E-2</v>
      </c>
      <c r="E67" s="296">
        <v>26602500.897213474</v>
      </c>
      <c r="F67" s="296">
        <v>26951783.241765227</v>
      </c>
      <c r="G67" s="296">
        <v>60933455.889959067</v>
      </c>
      <c r="H67" s="296">
        <v>42635137.13380193</v>
      </c>
      <c r="I67" s="296">
        <v>25881431.18995</v>
      </c>
      <c r="J67" s="296">
        <v>41354789.561742894</v>
      </c>
      <c r="K67" s="335">
        <v>67236220.751692891</v>
      </c>
      <c r="L67" s="334">
        <v>35.120221053119408</v>
      </c>
      <c r="M67" s="334">
        <v>2.5254069098173258E-2</v>
      </c>
      <c r="N67" s="296">
        <v>26602500.897213474</v>
      </c>
      <c r="O67" s="296">
        <v>26951783.241765227</v>
      </c>
      <c r="P67" s="296">
        <v>60933455.889959067</v>
      </c>
      <c r="Q67" s="296">
        <v>42635137.13380193</v>
      </c>
      <c r="R67" s="296">
        <v>25881431.18995</v>
      </c>
      <c r="S67" s="296">
        <v>41354789.561742894</v>
      </c>
      <c r="T67" s="335">
        <v>67236220.751692891</v>
      </c>
      <c r="U67" s="336" t="s">
        <v>316</v>
      </c>
      <c r="V67" s="14">
        <v>3016806.7862569997</v>
      </c>
      <c r="W67" s="14">
        <v>6103835.9671000009</v>
      </c>
      <c r="X67" s="14">
        <v>169593.85800000001</v>
      </c>
      <c r="Y67" s="14">
        <v>67955.342000000004</v>
      </c>
      <c r="Z67" s="14">
        <v>9246562.7702023722</v>
      </c>
      <c r="AA67" s="14">
        <v>70148.571499999991</v>
      </c>
      <c r="AB67" s="14">
        <v>1786971.9419</v>
      </c>
      <c r="AC67" s="14">
        <v>1597638.3254</v>
      </c>
      <c r="AD67" s="14">
        <v>1415300.3404900613</v>
      </c>
      <c r="AE67" s="14">
        <v>3127686.9943640381</v>
      </c>
      <c r="AF67" s="14">
        <v>7440610.2746457327</v>
      </c>
      <c r="AG67" s="14">
        <v>53492845.615313336</v>
      </c>
      <c r="AH67" s="14">
        <v>0</v>
      </c>
      <c r="AI67" s="337">
        <v>0.98096576607140396</v>
      </c>
    </row>
    <row r="68" spans="1:35" x14ac:dyDescent="0.25">
      <c r="A68" s="49" t="s">
        <v>151</v>
      </c>
      <c r="B68" s="333" t="s">
        <v>152</v>
      </c>
      <c r="C68" s="334">
        <v>33.5928682341533</v>
      </c>
      <c r="D68" s="334">
        <v>5.387129469641791E-2</v>
      </c>
      <c r="E68" s="296">
        <v>45208415.844125584</v>
      </c>
      <c r="F68" s="296">
        <v>48194290.864775732</v>
      </c>
      <c r="G68" s="296">
        <v>174199991.56506306</v>
      </c>
      <c r="H68" s="296">
        <v>124697670.64593598</v>
      </c>
      <c r="I68" s="296">
        <v>44743723.364112496</v>
      </c>
      <c r="J68" s="296">
        <v>117518860.51597273</v>
      </c>
      <c r="K68" s="335">
        <v>162262583.88008523</v>
      </c>
      <c r="L68" s="334">
        <v>33.5928682341533</v>
      </c>
      <c r="M68" s="334">
        <v>5.387129469641791E-2</v>
      </c>
      <c r="N68" s="296">
        <v>45208415.844125584</v>
      </c>
      <c r="O68" s="296">
        <v>48194290.864775732</v>
      </c>
      <c r="P68" s="296">
        <v>170073410.77514356</v>
      </c>
      <c r="Q68" s="296">
        <v>121743738.1708989</v>
      </c>
      <c r="R68" s="296">
        <v>44743723.364112496</v>
      </c>
      <c r="S68" s="296">
        <v>117518860.51597273</v>
      </c>
      <c r="T68" s="335">
        <v>162262583.88008523</v>
      </c>
      <c r="U68" s="336" t="s">
        <v>316</v>
      </c>
      <c r="V68" s="14">
        <v>7729189.4406000003</v>
      </c>
      <c r="W68" s="14">
        <v>13610663.37015</v>
      </c>
      <c r="X68" s="14">
        <v>800283.44665000006</v>
      </c>
      <c r="Y68" s="14">
        <v>498488.11900000006</v>
      </c>
      <c r="Z68" s="14">
        <v>11486494.429145046</v>
      </c>
      <c r="AA68" s="14">
        <v>11452.828</v>
      </c>
      <c r="AB68" s="14">
        <v>2220931.5282000001</v>
      </c>
      <c r="AC68" s="14">
        <v>1349209.5163499999</v>
      </c>
      <c r="AD68" s="14">
        <v>1649724.1234586551</v>
      </c>
      <c r="AE68" s="14">
        <v>5851979.0425718874</v>
      </c>
      <c r="AF68" s="14">
        <v>22796140.462810226</v>
      </c>
      <c r="AG68" s="14">
        <v>144398576.979</v>
      </c>
      <c r="AH68" s="14">
        <v>2878693.3333333335</v>
      </c>
      <c r="AI68" s="337">
        <v>0.85649087629628595</v>
      </c>
    </row>
    <row r="69" spans="1:35" x14ac:dyDescent="0.25">
      <c r="A69" s="49" t="s">
        <v>153</v>
      </c>
      <c r="B69" s="333" t="s">
        <v>154</v>
      </c>
      <c r="C69" s="334">
        <v>34.359344694701917</v>
      </c>
      <c r="D69" s="334">
        <v>3.4554660564650744E-2</v>
      </c>
      <c r="E69" s="296">
        <v>12408171.284202762</v>
      </c>
      <c r="F69" s="296">
        <v>12766124.923285743</v>
      </c>
      <c r="G69" s="296">
        <v>34692732.281891257</v>
      </c>
      <c r="H69" s="296">
        <v>24505559.912444826</v>
      </c>
      <c r="I69" s="296">
        <v>11388014.85785</v>
      </c>
      <c r="J69" s="296">
        <v>26034566.181015</v>
      </c>
      <c r="K69" s="335">
        <v>37422581.038865</v>
      </c>
      <c r="L69" s="334">
        <v>34.359344694701917</v>
      </c>
      <c r="M69" s="334">
        <v>3.4554660564650744E-2</v>
      </c>
      <c r="N69" s="296">
        <v>12408171.284202762</v>
      </c>
      <c r="O69" s="296">
        <v>12766124.923285743</v>
      </c>
      <c r="P69" s="296">
        <v>34692732.281891257</v>
      </c>
      <c r="Q69" s="296">
        <v>24505559.912444826</v>
      </c>
      <c r="R69" s="296">
        <v>11388014.85785</v>
      </c>
      <c r="S69" s="296">
        <v>26034566.181015</v>
      </c>
      <c r="T69" s="335">
        <v>37422581.038865</v>
      </c>
      <c r="U69" s="336" t="s">
        <v>316</v>
      </c>
      <c r="V69" s="14">
        <v>1953505.8416924998</v>
      </c>
      <c r="W69" s="14">
        <v>1736272.4460999998</v>
      </c>
      <c r="X69" s="14">
        <v>235320.57260000001</v>
      </c>
      <c r="Y69" s="14">
        <v>12927.552000000001</v>
      </c>
      <c r="Z69" s="14">
        <v>3621111.5675791036</v>
      </c>
      <c r="AA69" s="14">
        <v>62990.553999999996</v>
      </c>
      <c r="AB69" s="14">
        <v>932903.96180000005</v>
      </c>
      <c r="AC69" s="14">
        <v>814651.08835000009</v>
      </c>
      <c r="AD69" s="14">
        <v>1238592.4885728997</v>
      </c>
      <c r="AE69" s="14">
        <v>1799895.2115082594</v>
      </c>
      <c r="AF69" s="14">
        <v>3887143.875827665</v>
      </c>
      <c r="AG69" s="14">
        <v>30269288.40606359</v>
      </c>
      <c r="AH69" s="14">
        <v>536300</v>
      </c>
      <c r="AI69" s="337">
        <v>0.87145597445536305</v>
      </c>
    </row>
    <row r="70" spans="1:35" x14ac:dyDescent="0.25">
      <c r="A70" s="49" t="s">
        <v>155</v>
      </c>
      <c r="B70" s="333" t="s">
        <v>156</v>
      </c>
      <c r="C70" s="334">
        <v>31.224789576480063</v>
      </c>
      <c r="D70" s="334">
        <v>1.9967240491462545E-2</v>
      </c>
      <c r="E70" s="296">
        <v>19351965.885373421</v>
      </c>
      <c r="F70" s="296">
        <v>18964619.167383987</v>
      </c>
      <c r="G70" s="296">
        <v>66364286.890928827</v>
      </c>
      <c r="H70" s="296">
        <v>47723348.044064678</v>
      </c>
      <c r="I70" s="296">
        <v>22961733.660850003</v>
      </c>
      <c r="J70" s="296">
        <v>49311955.66471906</v>
      </c>
      <c r="K70" s="335">
        <v>72273689.325569063</v>
      </c>
      <c r="L70" s="334">
        <v>31.224789576480063</v>
      </c>
      <c r="M70" s="334">
        <v>1.9967240491462545E-2</v>
      </c>
      <c r="N70" s="296">
        <v>19351965.885373421</v>
      </c>
      <c r="O70" s="296">
        <v>18964619.167383987</v>
      </c>
      <c r="P70" s="296">
        <v>64410018.440619648</v>
      </c>
      <c r="Q70" s="296">
        <v>46318010.357261509</v>
      </c>
      <c r="R70" s="296">
        <v>22961733.660850003</v>
      </c>
      <c r="S70" s="296">
        <v>49311955.66471906</v>
      </c>
      <c r="T70" s="335">
        <v>72273689.325569063</v>
      </c>
      <c r="U70" s="336" t="s">
        <v>316</v>
      </c>
      <c r="V70" s="14">
        <v>3891157.31384</v>
      </c>
      <c r="W70" s="14">
        <v>3471572.0573999998</v>
      </c>
      <c r="X70" s="14">
        <v>235827.96250000002</v>
      </c>
      <c r="Y70" s="14">
        <v>18363</v>
      </c>
      <c r="Z70" s="14">
        <v>6043609.3232441414</v>
      </c>
      <c r="AA70" s="14">
        <v>0</v>
      </c>
      <c r="AB70" s="14">
        <v>1778170.7995</v>
      </c>
      <c r="AC70" s="14">
        <v>822130.91709999996</v>
      </c>
      <c r="AD70" s="14">
        <v>859295.13033900142</v>
      </c>
      <c r="AE70" s="14">
        <v>2231839.3814502764</v>
      </c>
      <c r="AF70" s="14">
        <v>5340894.535439577</v>
      </c>
      <c r="AG70" s="14">
        <v>58076383.905180067</v>
      </c>
      <c r="AH70" s="14">
        <v>992740</v>
      </c>
      <c r="AI70" s="337">
        <v>0.74474931683133505</v>
      </c>
    </row>
    <row r="71" spans="1:35" x14ac:dyDescent="0.25">
      <c r="A71" s="49" t="s">
        <v>157</v>
      </c>
      <c r="B71" s="333" t="s">
        <v>158</v>
      </c>
      <c r="C71" s="334">
        <v>33.39765230597439</v>
      </c>
      <c r="D71" s="334">
        <v>3.884912819691233E-2</v>
      </c>
      <c r="E71" s="296">
        <v>52583930.431516752</v>
      </c>
      <c r="F71" s="296">
        <v>54302990.593807556</v>
      </c>
      <c r="G71" s="296">
        <v>198118710.93784523</v>
      </c>
      <c r="H71" s="296">
        <v>141200558.37350193</v>
      </c>
      <c r="I71" s="296">
        <v>46944589.217131004</v>
      </c>
      <c r="J71" s="296">
        <v>125422049.01453373</v>
      </c>
      <c r="K71" s="335">
        <v>172366638.23166475</v>
      </c>
      <c r="L71" s="334">
        <v>33.39765230597439</v>
      </c>
      <c r="M71" s="334">
        <v>3.884912819691233E-2</v>
      </c>
      <c r="N71" s="296">
        <v>52583930.431516752</v>
      </c>
      <c r="O71" s="296">
        <v>54302990.593807556</v>
      </c>
      <c r="P71" s="296">
        <v>198118710.93784523</v>
      </c>
      <c r="Q71" s="296">
        <v>141200558.37350193</v>
      </c>
      <c r="R71" s="296">
        <v>46944589.217131004</v>
      </c>
      <c r="S71" s="296">
        <v>125422049.01453373</v>
      </c>
      <c r="T71" s="335">
        <v>172366638.23166475</v>
      </c>
      <c r="U71" s="336" t="s">
        <v>316</v>
      </c>
      <c r="V71" s="14">
        <v>7703500.4753840007</v>
      </c>
      <c r="W71" s="14">
        <v>8481455.0868500005</v>
      </c>
      <c r="X71" s="14">
        <v>1161761.28015</v>
      </c>
      <c r="Y71" s="14">
        <v>137844.92000000001</v>
      </c>
      <c r="Z71" s="14">
        <v>15276498.428453982</v>
      </c>
      <c r="AA71" s="14">
        <v>0</v>
      </c>
      <c r="AB71" s="14">
        <v>4048857.7664449997</v>
      </c>
      <c r="AC71" s="14">
        <v>5581681.5237069996</v>
      </c>
      <c r="AD71" s="14">
        <v>1986577.9137764224</v>
      </c>
      <c r="AE71" s="14">
        <v>8205753.0367503483</v>
      </c>
      <c r="AF71" s="14">
        <v>22059960.136554778</v>
      </c>
      <c r="AG71" s="14">
        <v>172578567.93128908</v>
      </c>
      <c r="AH71" s="14">
        <v>3480182.8700013859</v>
      </c>
      <c r="AI71" s="337">
        <v>0.92115330322224798</v>
      </c>
    </row>
    <row r="72" spans="1:35" x14ac:dyDescent="0.25">
      <c r="A72" s="49" t="s">
        <v>159</v>
      </c>
      <c r="B72" s="333" t="s">
        <v>160</v>
      </c>
      <c r="C72" s="334">
        <v>35.402464682187521</v>
      </c>
      <c r="D72" s="334">
        <v>2.5081575738787727E-2</v>
      </c>
      <c r="E72" s="296">
        <v>12814112.939950626</v>
      </c>
      <c r="F72" s="296">
        <v>12997842.814393885</v>
      </c>
      <c r="G72" s="296">
        <v>64835406.268047377</v>
      </c>
      <c r="H72" s="296">
        <v>45264142.499152213</v>
      </c>
      <c r="I72" s="296">
        <v>13702933.539431002</v>
      </c>
      <c r="J72" s="296">
        <v>45091091.840138942</v>
      </c>
      <c r="K72" s="335">
        <v>58794025.379569948</v>
      </c>
      <c r="L72" s="334">
        <v>35.402464682187521</v>
      </c>
      <c r="M72" s="334">
        <v>2.5081575738787727E-2</v>
      </c>
      <c r="N72" s="296">
        <v>12814112.939950626</v>
      </c>
      <c r="O72" s="296">
        <v>12997842.814393885</v>
      </c>
      <c r="P72" s="296">
        <v>64835406.268047377</v>
      </c>
      <c r="Q72" s="296">
        <v>45264142.499152213</v>
      </c>
      <c r="R72" s="296">
        <v>13702933.539431002</v>
      </c>
      <c r="S72" s="296">
        <v>45091091.840138942</v>
      </c>
      <c r="T72" s="335">
        <v>58794025.379569948</v>
      </c>
      <c r="U72" s="336" t="s">
        <v>316</v>
      </c>
      <c r="V72" s="14">
        <v>2815583.6171240006</v>
      </c>
      <c r="W72" s="14">
        <v>2325809.1563500003</v>
      </c>
      <c r="X72" s="14">
        <v>414646.91080000001</v>
      </c>
      <c r="Y72" s="14">
        <v>5343.6330000000007</v>
      </c>
      <c r="Z72" s="14">
        <v>2298978.483620604</v>
      </c>
      <c r="AA72" s="14">
        <v>0</v>
      </c>
      <c r="AB72" s="14">
        <v>787708.85869999998</v>
      </c>
      <c r="AC72" s="14">
        <v>683953.36099999992</v>
      </c>
      <c r="AD72" s="14">
        <v>1266622.0365656479</v>
      </c>
      <c r="AE72" s="14">
        <v>2215466.8827903736</v>
      </c>
      <c r="AF72" s="14">
        <v>1559368.6013807175</v>
      </c>
      <c r="AG72" s="14">
        <v>62461877.666666657</v>
      </c>
      <c r="AH72" s="14">
        <v>814160</v>
      </c>
      <c r="AI72" s="337">
        <v>0.83906280650592802</v>
      </c>
    </row>
    <row r="73" spans="1:35" x14ac:dyDescent="0.25">
      <c r="A73" s="49" t="s">
        <v>161</v>
      </c>
      <c r="B73" s="333" t="s">
        <v>162</v>
      </c>
      <c r="C73" s="334">
        <v>34.03605766947728</v>
      </c>
      <c r="D73" s="334">
        <v>2.6176270348661598E-2</v>
      </c>
      <c r="E73" s="296">
        <v>16739410.23016756</v>
      </c>
      <c r="F73" s="296">
        <v>16890826.271307774</v>
      </c>
      <c r="G73" s="296">
        <v>100762273.13333331</v>
      </c>
      <c r="H73" s="296">
        <v>71114695.314358518</v>
      </c>
      <c r="I73" s="296">
        <v>15737618.277249999</v>
      </c>
      <c r="J73" s="296">
        <v>69685637.428125262</v>
      </c>
      <c r="K73" s="335">
        <v>85423255.705375254</v>
      </c>
      <c r="L73" s="334">
        <v>34.03605766947728</v>
      </c>
      <c r="M73" s="334">
        <v>2.6176270348661598E-2</v>
      </c>
      <c r="N73" s="296">
        <v>16739410.23016756</v>
      </c>
      <c r="O73" s="296">
        <v>16890826.271307774</v>
      </c>
      <c r="P73" s="296">
        <v>100762273.13333331</v>
      </c>
      <c r="Q73" s="296">
        <v>71114695.314358518</v>
      </c>
      <c r="R73" s="296">
        <v>15737618.277249999</v>
      </c>
      <c r="S73" s="296">
        <v>69685637.428125262</v>
      </c>
      <c r="T73" s="335">
        <v>85423255.705375254</v>
      </c>
      <c r="U73" s="336" t="s">
        <v>315</v>
      </c>
      <c r="V73" s="14">
        <v>5272587.7384299999</v>
      </c>
      <c r="W73" s="14">
        <v>6130982.1856000014</v>
      </c>
      <c r="X73" s="14">
        <v>466841.66450000007</v>
      </c>
      <c r="Y73" s="14">
        <v>126386.40800000001</v>
      </c>
      <c r="Z73" s="14">
        <v>0</v>
      </c>
      <c r="AA73" s="14">
        <v>0</v>
      </c>
      <c r="AB73" s="14">
        <v>0</v>
      </c>
      <c r="AC73" s="14">
        <v>0</v>
      </c>
      <c r="AD73" s="14">
        <v>1757804.9025569926</v>
      </c>
      <c r="AE73" s="14">
        <v>2984807.3310805671</v>
      </c>
      <c r="AF73" s="14">
        <v>0</v>
      </c>
      <c r="AG73" s="14">
        <v>100423539.79999998</v>
      </c>
      <c r="AH73" s="14">
        <v>338733.33333333331</v>
      </c>
      <c r="AI73" s="337">
        <v>0.90731189106593002</v>
      </c>
    </row>
    <row r="74" spans="1:35" x14ac:dyDescent="0.25">
      <c r="A74" s="49" t="s">
        <v>163</v>
      </c>
      <c r="B74" s="333" t="s">
        <v>164</v>
      </c>
      <c r="C74" s="334">
        <v>30.428026963043685</v>
      </c>
      <c r="D74" s="334">
        <v>0</v>
      </c>
      <c r="E74" s="296">
        <v>15201116.125072617</v>
      </c>
      <c r="F74" s="296">
        <v>14177220.365698637</v>
      </c>
      <c r="G74" s="296">
        <v>12720440.84552216</v>
      </c>
      <c r="H74" s="296">
        <v>9131238.4005318992</v>
      </c>
      <c r="I74" s="296">
        <v>11559468.864092</v>
      </c>
      <c r="J74" s="296">
        <v>5212265.4708230263</v>
      </c>
      <c r="K74" s="335">
        <v>16771734.334915027</v>
      </c>
      <c r="L74" s="334">
        <v>30.428026963043685</v>
      </c>
      <c r="M74" s="334">
        <v>0</v>
      </c>
      <c r="N74" s="296">
        <v>15201116.125072617</v>
      </c>
      <c r="O74" s="296">
        <v>14177220.365698637</v>
      </c>
      <c r="P74" s="296">
        <v>12591128.430180669</v>
      </c>
      <c r="Q74" s="296">
        <v>9038412.8053366356</v>
      </c>
      <c r="R74" s="296">
        <v>11559468.864092</v>
      </c>
      <c r="S74" s="296">
        <v>5212265.4708230263</v>
      </c>
      <c r="T74" s="335">
        <v>16771734.334915027</v>
      </c>
      <c r="U74" s="336" t="s">
        <v>317</v>
      </c>
      <c r="V74" s="14">
        <v>2016.5435950000001</v>
      </c>
      <c r="W74" s="14">
        <v>0</v>
      </c>
      <c r="X74" s="14">
        <v>8123.84</v>
      </c>
      <c r="Y74" s="14">
        <v>0</v>
      </c>
      <c r="Z74" s="14">
        <v>10300122.553040452</v>
      </c>
      <c r="AA74" s="14">
        <v>0</v>
      </c>
      <c r="AB74" s="14">
        <v>1124600.3646500001</v>
      </c>
      <c r="AC74" s="14">
        <v>1722203.64335</v>
      </c>
      <c r="AD74" s="14">
        <v>105137.77587651089</v>
      </c>
      <c r="AE74" s="14">
        <v>1938911.4045606554</v>
      </c>
      <c r="AF74" s="14">
        <v>11246529.096847335</v>
      </c>
      <c r="AG74" s="14">
        <v>812276</v>
      </c>
      <c r="AH74" s="14">
        <v>532323.33333333337</v>
      </c>
      <c r="AI74" s="337">
        <v>1</v>
      </c>
    </row>
    <row r="75" spans="1:35" x14ac:dyDescent="0.25">
      <c r="A75" s="49" t="s">
        <v>165</v>
      </c>
      <c r="B75" s="333" t="s">
        <v>166</v>
      </c>
      <c r="C75" s="334">
        <v>30.267384484062276</v>
      </c>
      <c r="D75" s="334">
        <v>2.2961686659571989E-2</v>
      </c>
      <c r="E75" s="296">
        <v>18168679.760736857</v>
      </c>
      <c r="F75" s="296">
        <v>17824557.030763295</v>
      </c>
      <c r="G75" s="296">
        <v>68745487.672855273</v>
      </c>
      <c r="H75" s="296">
        <v>49845622.282405071</v>
      </c>
      <c r="I75" s="296">
        <v>22398049.58475</v>
      </c>
      <c r="J75" s="296">
        <v>48282801.026629001</v>
      </c>
      <c r="K75" s="335">
        <v>70680850.611378998</v>
      </c>
      <c r="L75" s="334">
        <v>30.267384484062276</v>
      </c>
      <c r="M75" s="334">
        <v>2.2961686659571989E-2</v>
      </c>
      <c r="N75" s="296">
        <v>18168679.760736857</v>
      </c>
      <c r="O75" s="296">
        <v>17824557.030763295</v>
      </c>
      <c r="P75" s="296">
        <v>66821186.915632002</v>
      </c>
      <c r="Q75" s="296">
        <v>48450360.252135538</v>
      </c>
      <c r="R75" s="296">
        <v>22398049.58475</v>
      </c>
      <c r="S75" s="296">
        <v>48282801.026629001</v>
      </c>
      <c r="T75" s="335">
        <v>70680850.611378998</v>
      </c>
      <c r="U75" s="336" t="s">
        <v>316</v>
      </c>
      <c r="V75" s="14">
        <v>2843101.480552</v>
      </c>
      <c r="W75" s="14">
        <v>8413012.2105999999</v>
      </c>
      <c r="X75" s="14">
        <v>531150.94405000005</v>
      </c>
      <c r="Y75" s="14">
        <v>189720.39500000002</v>
      </c>
      <c r="Z75" s="14">
        <v>698389.25133649993</v>
      </c>
      <c r="AA75" s="14">
        <v>64422.157499999994</v>
      </c>
      <c r="AB75" s="14">
        <v>828796.57429999998</v>
      </c>
      <c r="AC75" s="14">
        <v>659569.30560000008</v>
      </c>
      <c r="AD75" s="14">
        <v>1264499.4694087175</v>
      </c>
      <c r="AE75" s="14">
        <v>2676017.9723896384</v>
      </c>
      <c r="AF75" s="14">
        <v>236791.39315472572</v>
      </c>
      <c r="AG75" s="14">
        <v>65630378.855810612</v>
      </c>
      <c r="AH75" s="14">
        <v>954016.66666666663</v>
      </c>
      <c r="AI75" s="337">
        <v>0.76009662179509396</v>
      </c>
    </row>
    <row r="76" spans="1:35" x14ac:dyDescent="0.25">
      <c r="A76" s="49" t="s">
        <v>167</v>
      </c>
      <c r="B76" s="333" t="s">
        <v>168</v>
      </c>
      <c r="C76" s="334">
        <v>36.146339015660885</v>
      </c>
      <c r="D76" s="334">
        <v>4.7167099084331206E-2</v>
      </c>
      <c r="E76" s="296">
        <v>41577708.217970252</v>
      </c>
      <c r="F76" s="296">
        <v>44319026.272231787</v>
      </c>
      <c r="G76" s="296">
        <v>124669547.23134571</v>
      </c>
      <c r="H76" s="296">
        <v>87303949.510178849</v>
      </c>
      <c r="I76" s="296">
        <v>71266304.438600004</v>
      </c>
      <c r="J76" s="296">
        <v>87046069.327106878</v>
      </c>
      <c r="K76" s="335">
        <v>158312373.7657069</v>
      </c>
      <c r="L76" s="334">
        <v>36.146339015660885</v>
      </c>
      <c r="M76" s="334">
        <v>4.7167099084331206E-2</v>
      </c>
      <c r="N76" s="296">
        <v>41577708.217970252</v>
      </c>
      <c r="O76" s="296">
        <v>44319026.272231787</v>
      </c>
      <c r="P76" s="296">
        <v>121600160.70940003</v>
      </c>
      <c r="Q76" s="296">
        <v>85154510.678561807</v>
      </c>
      <c r="R76" s="296">
        <v>71266304.438600004</v>
      </c>
      <c r="S76" s="296">
        <v>87046069.327106878</v>
      </c>
      <c r="T76" s="335">
        <v>158312373.7657069</v>
      </c>
      <c r="U76" s="336" t="s">
        <v>316</v>
      </c>
      <c r="V76" s="14">
        <v>5376909.0334400004</v>
      </c>
      <c r="W76" s="14">
        <v>5770472.2784000002</v>
      </c>
      <c r="X76" s="14">
        <v>555557.71360000002</v>
      </c>
      <c r="Y76" s="14">
        <v>204582.18300000002</v>
      </c>
      <c r="Z76" s="14">
        <v>14970162.168733545</v>
      </c>
      <c r="AA76" s="14">
        <v>5726.4139999999998</v>
      </c>
      <c r="AB76" s="14">
        <v>2233712.58293</v>
      </c>
      <c r="AC76" s="14">
        <v>3432398.24505</v>
      </c>
      <c r="AD76" s="14">
        <v>1755376.094527937</v>
      </c>
      <c r="AE76" s="14">
        <v>7272811.504288774</v>
      </c>
      <c r="AF76" s="14">
        <v>14500367.660245597</v>
      </c>
      <c r="AG76" s="14">
        <v>104256684.26083329</v>
      </c>
      <c r="AH76" s="14">
        <v>2843108.7883211421</v>
      </c>
      <c r="AI76" s="337">
        <v>0.72378163379335803</v>
      </c>
    </row>
    <row r="77" spans="1:35" x14ac:dyDescent="0.25">
      <c r="A77" s="49" t="s">
        <v>169</v>
      </c>
      <c r="B77" s="333" t="s">
        <v>170</v>
      </c>
      <c r="C77" s="334">
        <v>43.312835213114688</v>
      </c>
      <c r="D77" s="334">
        <v>6.6372601592825972E-2</v>
      </c>
      <c r="E77" s="296">
        <v>19472676.423187457</v>
      </c>
      <c r="F77" s="296">
        <v>22340406.509573728</v>
      </c>
      <c r="G77" s="296">
        <v>69084025.747262642</v>
      </c>
      <c r="H77" s="296">
        <v>46092984.45430354</v>
      </c>
      <c r="I77" s="296">
        <v>20481659.895950001</v>
      </c>
      <c r="J77" s="296">
        <v>42086649.169199705</v>
      </c>
      <c r="K77" s="335">
        <v>62568309.065149702</v>
      </c>
      <c r="L77" s="334">
        <v>43.312835213114688</v>
      </c>
      <c r="M77" s="334">
        <v>6.6372601592825972E-2</v>
      </c>
      <c r="N77" s="296">
        <v>19472676.423187457</v>
      </c>
      <c r="O77" s="296">
        <v>22340406.509573728</v>
      </c>
      <c r="P77" s="296">
        <v>67257974.350913838</v>
      </c>
      <c r="Q77" s="296">
        <v>44874639.725341365</v>
      </c>
      <c r="R77" s="296">
        <v>20481659.895950001</v>
      </c>
      <c r="S77" s="296">
        <v>42086649.169199705</v>
      </c>
      <c r="T77" s="335">
        <v>62568309.065149702</v>
      </c>
      <c r="U77" s="336" t="s">
        <v>316</v>
      </c>
      <c r="V77" s="14">
        <v>2794489.4742729999</v>
      </c>
      <c r="W77" s="14">
        <v>2036601.2562500001</v>
      </c>
      <c r="X77" s="14">
        <v>11303.4583</v>
      </c>
      <c r="Y77" s="14">
        <v>182846.51200000002</v>
      </c>
      <c r="Z77" s="14">
        <v>5430482.2874134127</v>
      </c>
      <c r="AA77" s="14">
        <v>0</v>
      </c>
      <c r="AB77" s="14">
        <v>1102529.5985000001</v>
      </c>
      <c r="AC77" s="14">
        <v>1658990.9409300003</v>
      </c>
      <c r="AD77" s="14">
        <v>1489254.1835566191</v>
      </c>
      <c r="AE77" s="14">
        <v>4766178.7119644256</v>
      </c>
      <c r="AF77" s="14">
        <v>4370812.4555937955</v>
      </c>
      <c r="AG77" s="14">
        <v>61323081.755175397</v>
      </c>
      <c r="AH77" s="14">
        <v>1564080.1401446492</v>
      </c>
      <c r="AI77" s="337">
        <v>0.92939119713688001</v>
      </c>
    </row>
    <row r="78" spans="1:35" x14ac:dyDescent="0.25">
      <c r="A78" s="49" t="s">
        <v>171</v>
      </c>
      <c r="B78" s="333" t="s">
        <v>172</v>
      </c>
      <c r="C78" s="334">
        <v>34.222878229381578</v>
      </c>
      <c r="D78" s="334">
        <v>5.5762800074991813E-2</v>
      </c>
      <c r="E78" s="296">
        <v>45197279.417744547</v>
      </c>
      <c r="F78" s="296">
        <v>48525315.395061605</v>
      </c>
      <c r="G78" s="296">
        <v>185457769.62411243</v>
      </c>
      <c r="H78" s="296">
        <v>132227446.10338986</v>
      </c>
      <c r="I78" s="296">
        <v>55395395.299999997</v>
      </c>
      <c r="J78" s="296">
        <v>107066201.98724324</v>
      </c>
      <c r="K78" s="335">
        <v>162461597.28724325</v>
      </c>
      <c r="L78" s="334">
        <v>34.222878229381578</v>
      </c>
      <c r="M78" s="334">
        <v>5.5762800074991813E-2</v>
      </c>
      <c r="N78" s="296">
        <v>45197279.417744547</v>
      </c>
      <c r="O78" s="296">
        <v>48525315.395061605</v>
      </c>
      <c r="P78" s="296">
        <v>185457769.62411243</v>
      </c>
      <c r="Q78" s="296">
        <v>132227446.10338986</v>
      </c>
      <c r="R78" s="296">
        <v>55395395.299999997</v>
      </c>
      <c r="S78" s="296">
        <v>107066201.98724324</v>
      </c>
      <c r="T78" s="335">
        <v>162461597.28724325</v>
      </c>
      <c r="U78" s="336" t="s">
        <v>316</v>
      </c>
      <c r="V78" s="14">
        <v>8021286.405013999</v>
      </c>
      <c r="W78" s="14">
        <v>6155409.4805180002</v>
      </c>
      <c r="X78" s="14">
        <v>1799818.6438500001</v>
      </c>
      <c r="Y78" s="14">
        <v>62134.271000000008</v>
      </c>
      <c r="Z78" s="14">
        <v>15318718.648188768</v>
      </c>
      <c r="AA78" s="14">
        <v>37221.690999999999</v>
      </c>
      <c r="AB78" s="14">
        <v>2919662.4921500003</v>
      </c>
      <c r="AC78" s="14">
        <v>1722203.64335</v>
      </c>
      <c r="AD78" s="14">
        <v>1970002.4220737307</v>
      </c>
      <c r="AE78" s="14">
        <v>7190821.7206000527</v>
      </c>
      <c r="AF78" s="14">
        <v>16653616.324112456</v>
      </c>
      <c r="AG78" s="14">
        <v>166199746.63333333</v>
      </c>
      <c r="AH78" s="14">
        <v>2604406.6666666665</v>
      </c>
      <c r="AI78" s="337">
        <v>0.89353727306852704</v>
      </c>
    </row>
    <row r="79" spans="1:35" x14ac:dyDescent="0.25">
      <c r="A79" s="49" t="s">
        <v>173</v>
      </c>
      <c r="B79" s="333" t="s">
        <v>174</v>
      </c>
      <c r="C79" s="334">
        <v>35.295910150749087</v>
      </c>
      <c r="D79" s="334">
        <v>3.6036760694490938E-2</v>
      </c>
      <c r="E79" s="296">
        <v>52292951.218866721</v>
      </c>
      <c r="F79" s="296">
        <v>54241934.210158743</v>
      </c>
      <c r="G79" s="296">
        <v>187289036.18706313</v>
      </c>
      <c r="H79" s="296">
        <v>131430357.22768606</v>
      </c>
      <c r="I79" s="296">
        <v>62382062.411500007</v>
      </c>
      <c r="J79" s="296">
        <v>93356933.120388806</v>
      </c>
      <c r="K79" s="335">
        <v>155738995.53188881</v>
      </c>
      <c r="L79" s="334">
        <v>35.295910150749087</v>
      </c>
      <c r="M79" s="334">
        <v>3.6036760694490938E-2</v>
      </c>
      <c r="N79" s="296">
        <v>52292951.218866721</v>
      </c>
      <c r="O79" s="296">
        <v>54241934.210158743</v>
      </c>
      <c r="P79" s="296">
        <v>183212361.03947899</v>
      </c>
      <c r="Q79" s="296">
        <v>128569544.43342799</v>
      </c>
      <c r="R79" s="296">
        <v>62382062.411500007</v>
      </c>
      <c r="S79" s="296">
        <v>93356933.120388806</v>
      </c>
      <c r="T79" s="335">
        <v>155738995.53188881</v>
      </c>
      <c r="U79" s="336" t="s">
        <v>316</v>
      </c>
      <c r="V79" s="14">
        <v>5825028.0146639999</v>
      </c>
      <c r="W79" s="14">
        <v>13483401.847449999</v>
      </c>
      <c r="X79" s="14">
        <v>694137.95689999999</v>
      </c>
      <c r="Y79" s="14">
        <v>340254.14800000004</v>
      </c>
      <c r="Z79" s="14">
        <v>19093106.609643139</v>
      </c>
      <c r="AA79" s="14">
        <v>17179.241999999998</v>
      </c>
      <c r="AB79" s="14">
        <v>2814461.2633800004</v>
      </c>
      <c r="AC79" s="14">
        <v>1955989.5782000001</v>
      </c>
      <c r="AD79" s="14">
        <v>1925364.0331383781</v>
      </c>
      <c r="AE79" s="14">
        <v>6144028.5254912078</v>
      </c>
      <c r="AF79" s="14">
        <v>57337452.839478984</v>
      </c>
      <c r="AG79" s="14">
        <v>122809794.86666666</v>
      </c>
      <c r="AH79" s="14">
        <v>3065113.333333333</v>
      </c>
      <c r="AI79" s="337">
        <v>0.97490311325355195</v>
      </c>
    </row>
    <row r="80" spans="1:35" x14ac:dyDescent="0.25">
      <c r="A80" s="49" t="s">
        <v>175</v>
      </c>
      <c r="B80" s="333" t="s">
        <v>176</v>
      </c>
      <c r="C80" s="334">
        <v>31.936205644806655</v>
      </c>
      <c r="D80" s="334">
        <v>3.8049559722525272E-2</v>
      </c>
      <c r="E80" s="296">
        <v>31085282.414935052</v>
      </c>
      <c r="F80" s="296">
        <v>31794001.171121255</v>
      </c>
      <c r="G80" s="296">
        <v>104761069.5070176</v>
      </c>
      <c r="H80" s="296">
        <v>75461308.073867381</v>
      </c>
      <c r="I80" s="296">
        <v>43109765.884850003</v>
      </c>
      <c r="J80" s="296">
        <v>79020389.092868716</v>
      </c>
      <c r="K80" s="335">
        <v>122130154.97771871</v>
      </c>
      <c r="L80" s="334">
        <v>31.936205644806655</v>
      </c>
      <c r="M80" s="334">
        <v>3.8049559722525272E-2</v>
      </c>
      <c r="N80" s="296">
        <v>31085282.414935052</v>
      </c>
      <c r="O80" s="296">
        <v>31794001.171121255</v>
      </c>
      <c r="P80" s="296">
        <v>104761069.5070176</v>
      </c>
      <c r="Q80" s="296">
        <v>75461308.073867381</v>
      </c>
      <c r="R80" s="296">
        <v>45633981.884850003</v>
      </c>
      <c r="S80" s="296">
        <v>79020389.092868716</v>
      </c>
      <c r="T80" s="335">
        <v>124654370.97771871</v>
      </c>
      <c r="U80" s="336" t="s">
        <v>316</v>
      </c>
      <c r="V80" s="14">
        <v>4547550.035007</v>
      </c>
      <c r="W80" s="14">
        <v>4815820.2612000005</v>
      </c>
      <c r="X80" s="14">
        <v>571858.25780000002</v>
      </c>
      <c r="Y80" s="14">
        <v>111518.49900000001</v>
      </c>
      <c r="Z80" s="14">
        <v>11141066.932657991</v>
      </c>
      <c r="AA80" s="14">
        <v>25768.862999999998</v>
      </c>
      <c r="AB80" s="14">
        <v>1168464.27725</v>
      </c>
      <c r="AC80" s="14">
        <v>2223581.5103500001</v>
      </c>
      <c r="AD80" s="14">
        <v>1670004.3404798934</v>
      </c>
      <c r="AE80" s="14">
        <v>4809649.438190165</v>
      </c>
      <c r="AF80" s="14">
        <v>10322563.500316568</v>
      </c>
      <c r="AG80" s="14">
        <v>92023252.673367709</v>
      </c>
      <c r="AH80" s="14">
        <v>2415253.3333333335</v>
      </c>
      <c r="AI80" s="337">
        <v>0.71437486710515696</v>
      </c>
    </row>
    <row r="81" spans="1:35" x14ac:dyDescent="0.25">
      <c r="A81" s="49" t="s">
        <v>177</v>
      </c>
      <c r="B81" s="333" t="s">
        <v>178</v>
      </c>
      <c r="C81" s="334">
        <v>36.746611258082666</v>
      </c>
      <c r="D81" s="334">
        <v>1.9095725747794383E-2</v>
      </c>
      <c r="E81" s="296">
        <v>24123220.574192926</v>
      </c>
      <c r="F81" s="296">
        <v>24340364.14159558</v>
      </c>
      <c r="G81" s="296">
        <v>99435731.839804351</v>
      </c>
      <c r="H81" s="296">
        <v>68538365.535886824</v>
      </c>
      <c r="I81" s="296">
        <v>28249279.155850001</v>
      </c>
      <c r="J81" s="296">
        <v>63507146.035747878</v>
      </c>
      <c r="K81" s="335">
        <v>91756425.191597879</v>
      </c>
      <c r="L81" s="334">
        <v>36.746611258082666</v>
      </c>
      <c r="M81" s="334">
        <v>1.9095725747794383E-2</v>
      </c>
      <c r="N81" s="296">
        <v>24123220.574192926</v>
      </c>
      <c r="O81" s="296">
        <v>24340364.14159558</v>
      </c>
      <c r="P81" s="296">
        <v>99435731.839804351</v>
      </c>
      <c r="Q81" s="296">
        <v>68538365.535886824</v>
      </c>
      <c r="R81" s="296">
        <v>28249279.155850001</v>
      </c>
      <c r="S81" s="296">
        <v>63507146.035747878</v>
      </c>
      <c r="T81" s="335">
        <v>91756425.191597879</v>
      </c>
      <c r="U81" s="336" t="s">
        <v>316</v>
      </c>
      <c r="V81" s="14">
        <v>4283233.9222739991</v>
      </c>
      <c r="W81" s="14">
        <v>4296288.5454000002</v>
      </c>
      <c r="X81" s="14">
        <v>336596.89</v>
      </c>
      <c r="Y81" s="14">
        <v>183630</v>
      </c>
      <c r="Z81" s="14">
        <v>7715540.5401368421</v>
      </c>
      <c r="AA81" s="14">
        <v>0</v>
      </c>
      <c r="AB81" s="14">
        <v>1806778.3842004999</v>
      </c>
      <c r="AC81" s="14">
        <v>609205.1253500001</v>
      </c>
      <c r="AD81" s="14">
        <v>1511563.2903800393</v>
      </c>
      <c r="AE81" s="14">
        <v>3380383.8764515468</v>
      </c>
      <c r="AF81" s="14">
        <v>11908209.611354603</v>
      </c>
      <c r="AG81" s="14">
        <v>85825411.282965615</v>
      </c>
      <c r="AH81" s="14">
        <v>1702110.9454841337</v>
      </c>
      <c r="AI81" s="337">
        <v>0.81408663840756301</v>
      </c>
    </row>
    <row r="82" spans="1:35" x14ac:dyDescent="0.25">
      <c r="A82" s="49" t="s">
        <v>179</v>
      </c>
      <c r="B82" s="333" t="s">
        <v>180</v>
      </c>
      <c r="C82" s="334">
        <v>40.760946663001569</v>
      </c>
      <c r="D82" s="334">
        <v>4.1044926537630394E-2</v>
      </c>
      <c r="E82" s="296">
        <v>11673747.374622621</v>
      </c>
      <c r="F82" s="296">
        <v>12591279.687744103</v>
      </c>
      <c r="G82" s="296">
        <v>31696116.512298454</v>
      </c>
      <c r="H82" s="296">
        <v>21358399.907931831</v>
      </c>
      <c r="I82" s="296">
        <v>11831685.670000002</v>
      </c>
      <c r="J82" s="296">
        <v>23723685.066430356</v>
      </c>
      <c r="K82" s="335">
        <v>35555370.736430354</v>
      </c>
      <c r="L82" s="334">
        <v>40.760946663001569</v>
      </c>
      <c r="M82" s="334">
        <v>4.1044926537630394E-2</v>
      </c>
      <c r="N82" s="296">
        <v>11673747.374622621</v>
      </c>
      <c r="O82" s="296">
        <v>12591279.687744103</v>
      </c>
      <c r="P82" s="296">
        <v>30755242.770868644</v>
      </c>
      <c r="Q82" s="296">
        <v>20724392.974478874</v>
      </c>
      <c r="R82" s="296">
        <v>11831685.670000002</v>
      </c>
      <c r="S82" s="296">
        <v>23723685.066430356</v>
      </c>
      <c r="T82" s="335">
        <v>35555370.736430354</v>
      </c>
      <c r="U82" s="336" t="s">
        <v>316</v>
      </c>
      <c r="V82" s="14">
        <v>1820174.314206</v>
      </c>
      <c r="W82" s="14">
        <v>2062371.7519500002</v>
      </c>
      <c r="X82" s="14">
        <v>242001.98869999999</v>
      </c>
      <c r="Y82" s="14">
        <v>7161.5700000000006</v>
      </c>
      <c r="Z82" s="14">
        <v>3003963.6737847188</v>
      </c>
      <c r="AA82" s="14">
        <v>0</v>
      </c>
      <c r="AB82" s="14">
        <v>850867.34045000002</v>
      </c>
      <c r="AC82" s="14">
        <v>814152.43310000002</v>
      </c>
      <c r="AD82" s="14">
        <v>1103609.4890028336</v>
      </c>
      <c r="AE82" s="14">
        <v>1769444.8134290669</v>
      </c>
      <c r="AF82" s="14">
        <v>1898887.2375353095</v>
      </c>
      <c r="AG82" s="14">
        <v>28186568.866666667</v>
      </c>
      <c r="AH82" s="14">
        <v>669786.66666666674</v>
      </c>
      <c r="AI82" s="337">
        <v>0.86663116025750997</v>
      </c>
    </row>
    <row r="83" spans="1:35" x14ac:dyDescent="0.25">
      <c r="A83" s="49" t="s">
        <v>181</v>
      </c>
      <c r="B83" s="333" t="s">
        <v>182</v>
      </c>
      <c r="C83" s="334">
        <v>31.617443156366484</v>
      </c>
      <c r="D83" s="334">
        <v>0</v>
      </c>
      <c r="E83" s="296">
        <v>1915495.2779754915</v>
      </c>
      <c r="F83" s="296">
        <v>1799218.9240921696</v>
      </c>
      <c r="G83" s="296" t="e">
        <v>#N/A</v>
      </c>
      <c r="H83" s="296" t="e">
        <v>#N/A</v>
      </c>
      <c r="I83" s="296">
        <v>17012460.292800002</v>
      </c>
      <c r="J83" s="296">
        <v>40401641.126048177</v>
      </c>
      <c r="K83" s="335">
        <v>57414101.418848179</v>
      </c>
      <c r="L83" s="334">
        <v>31.617443156366484</v>
      </c>
      <c r="M83" s="334">
        <v>0</v>
      </c>
      <c r="N83" s="296">
        <v>1915495.2779754915</v>
      </c>
      <c r="O83" s="296">
        <v>1799218.9240921696</v>
      </c>
      <c r="P83" s="296" t="e">
        <v>#N/A</v>
      </c>
      <c r="Q83" s="296" t="e">
        <v>#N/A</v>
      </c>
      <c r="R83" s="296">
        <v>17012460.292800002</v>
      </c>
      <c r="S83" s="296">
        <v>40401641.126048177</v>
      </c>
      <c r="T83" s="335">
        <v>57414101.418848179</v>
      </c>
      <c r="U83" s="336" t="s">
        <v>316</v>
      </c>
      <c r="V83" s="14">
        <v>0</v>
      </c>
      <c r="W83" s="14">
        <v>0</v>
      </c>
      <c r="X83" s="14">
        <v>0</v>
      </c>
      <c r="Y83" s="14">
        <v>0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1915495.2779754915</v>
      </c>
      <c r="AF83" s="14" t="e">
        <v>#N/A</v>
      </c>
      <c r="AG83" s="14" t="e">
        <v>#N/A</v>
      </c>
      <c r="AH83" s="14" t="e">
        <v>#N/A</v>
      </c>
      <c r="AI83" s="337" t="e">
        <v>#VALUE!</v>
      </c>
    </row>
    <row r="84" spans="1:35" x14ac:dyDescent="0.25">
      <c r="A84" s="49" t="s">
        <v>183</v>
      </c>
      <c r="B84" s="333" t="s">
        <v>184</v>
      </c>
      <c r="C84" s="334">
        <v>29.983504580508686</v>
      </c>
      <c r="D84" s="334">
        <v>1.9571968550716697E-2</v>
      </c>
      <c r="E84" s="296">
        <v>16732611.404633749</v>
      </c>
      <c r="F84" s="296">
        <v>16267301.601191221</v>
      </c>
      <c r="G84" s="296">
        <v>48103292.624805428</v>
      </c>
      <c r="H84" s="296">
        <v>34906416.788738951</v>
      </c>
      <c r="I84" s="296">
        <v>14794835.59565</v>
      </c>
      <c r="J84" s="296">
        <v>41420203.618439622</v>
      </c>
      <c r="K84" s="335">
        <v>56215039.214089625</v>
      </c>
      <c r="L84" s="334">
        <v>29.983504580508686</v>
      </c>
      <c r="M84" s="334">
        <v>1.9571968550716697E-2</v>
      </c>
      <c r="N84" s="296">
        <v>16729656.00564529</v>
      </c>
      <c r="O84" s="296">
        <v>16264428.387588482</v>
      </c>
      <c r="P84" s="296">
        <v>46800658.554019168</v>
      </c>
      <c r="Q84" s="296">
        <v>33961153.266910315</v>
      </c>
      <c r="R84" s="296">
        <v>14794835.59565</v>
      </c>
      <c r="S84" s="296">
        <v>41420203.618439622</v>
      </c>
      <c r="T84" s="335">
        <v>56215039.214089625</v>
      </c>
      <c r="U84" s="336" t="s">
        <v>316</v>
      </c>
      <c r="V84" s="14">
        <v>1818149.903254</v>
      </c>
      <c r="W84" s="14">
        <v>5570201.4193000002</v>
      </c>
      <c r="X84" s="14">
        <v>198342.84284999999</v>
      </c>
      <c r="Y84" s="14">
        <v>43795.755000000005</v>
      </c>
      <c r="Z84" s="14">
        <v>4300814.4148659855</v>
      </c>
      <c r="AA84" s="14">
        <v>0</v>
      </c>
      <c r="AB84" s="14">
        <v>1202210.6455999999</v>
      </c>
      <c r="AC84" s="14">
        <v>710930.79634999996</v>
      </c>
      <c r="AD84" s="14">
        <v>1224817.9037875375</v>
      </c>
      <c r="AE84" s="14">
        <v>1660392.3246377665</v>
      </c>
      <c r="AF84" s="14">
        <v>6206591.3040191671</v>
      </c>
      <c r="AG84" s="14">
        <v>38966493.916666664</v>
      </c>
      <c r="AH84" s="14">
        <v>1627573.3333333335</v>
      </c>
      <c r="AI84" s="337">
        <v>0.76555452084754505</v>
      </c>
    </row>
    <row r="85" spans="1:35" x14ac:dyDescent="0.25">
      <c r="A85" s="49" t="s">
        <v>185</v>
      </c>
      <c r="B85" s="333" t="s">
        <v>186</v>
      </c>
      <c r="C85" s="334">
        <v>38.981153912413362</v>
      </c>
      <c r="D85" s="334">
        <v>3.0337229816611157E-2</v>
      </c>
      <c r="E85" s="296">
        <v>14725987.675497992</v>
      </c>
      <c r="F85" s="296">
        <v>15398153.07778676</v>
      </c>
      <c r="G85" s="296">
        <v>38645129.285110429</v>
      </c>
      <c r="H85" s="296">
        <v>26294780.42841221</v>
      </c>
      <c r="I85" s="296">
        <v>14208500.332699999</v>
      </c>
      <c r="J85" s="296">
        <v>24937476.350716196</v>
      </c>
      <c r="K85" s="335">
        <v>39145976.683416203</v>
      </c>
      <c r="L85" s="334">
        <v>38.981153912413362</v>
      </c>
      <c r="M85" s="334">
        <v>3.0337229816611157E-2</v>
      </c>
      <c r="N85" s="296">
        <v>14725987.675497992</v>
      </c>
      <c r="O85" s="296">
        <v>15398153.07778676</v>
      </c>
      <c r="P85" s="296">
        <v>38645129.285110429</v>
      </c>
      <c r="Q85" s="296">
        <v>26294780.42841221</v>
      </c>
      <c r="R85" s="296">
        <v>14208500.332699999</v>
      </c>
      <c r="S85" s="296">
        <v>24937476.350716196</v>
      </c>
      <c r="T85" s="335">
        <v>39145976.683416203</v>
      </c>
      <c r="U85" s="336" t="s">
        <v>316</v>
      </c>
      <c r="V85" s="14">
        <v>1805053.2424059999</v>
      </c>
      <c r="W85" s="14">
        <v>1983263.0329999998</v>
      </c>
      <c r="X85" s="14">
        <v>63872.639199999998</v>
      </c>
      <c r="Y85" s="14">
        <v>2968.6850000000004</v>
      </c>
      <c r="Z85" s="14">
        <v>6232956.0497744158</v>
      </c>
      <c r="AA85" s="14">
        <v>1431.6034999999999</v>
      </c>
      <c r="AB85" s="14">
        <v>850159.41021500004</v>
      </c>
      <c r="AC85" s="14">
        <v>997472.52143800003</v>
      </c>
      <c r="AD85" s="14">
        <v>1178632.2437788129</v>
      </c>
      <c r="AE85" s="14">
        <v>1610178.2471857646</v>
      </c>
      <c r="AF85" s="14">
        <v>4559420.8517770935</v>
      </c>
      <c r="AG85" s="14">
        <v>33963668.433333337</v>
      </c>
      <c r="AH85" s="14">
        <v>122040</v>
      </c>
      <c r="AI85" s="337">
        <v>0.96261170990007505</v>
      </c>
    </row>
    <row r="86" spans="1:35" x14ac:dyDescent="0.25">
      <c r="A86" s="49" t="s">
        <v>187</v>
      </c>
      <c r="B86" s="333" t="s">
        <v>188</v>
      </c>
      <c r="C86" s="334">
        <v>31.597699641974909</v>
      </c>
      <c r="D86" s="334">
        <v>3.4893829426857731E-2</v>
      </c>
      <c r="E86" s="296">
        <v>35259849.761732504</v>
      </c>
      <c r="F86" s="296">
        <v>35758001.24557621</v>
      </c>
      <c r="G86" s="296">
        <v>108865446.65691477</v>
      </c>
      <c r="H86" s="296">
        <v>78519923.297047749</v>
      </c>
      <c r="I86" s="296">
        <v>37217139.207550004</v>
      </c>
      <c r="J86" s="296">
        <v>84337424.139761299</v>
      </c>
      <c r="K86" s="335">
        <v>121554563.34731129</v>
      </c>
      <c r="L86" s="334">
        <v>31.597699641974909</v>
      </c>
      <c r="M86" s="334">
        <v>3.4893829426857731E-2</v>
      </c>
      <c r="N86" s="296">
        <v>35259849.761732504</v>
      </c>
      <c r="O86" s="296">
        <v>35758001.24557621</v>
      </c>
      <c r="P86" s="296">
        <v>108865446.65691477</v>
      </c>
      <c r="Q86" s="296">
        <v>78519923.297047749</v>
      </c>
      <c r="R86" s="296">
        <v>37217139.207550004</v>
      </c>
      <c r="S86" s="296">
        <v>84337424.139761299</v>
      </c>
      <c r="T86" s="335">
        <v>121554563.34731129</v>
      </c>
      <c r="U86" s="336" t="s">
        <v>316</v>
      </c>
      <c r="V86" s="14">
        <v>4350536.6110260002</v>
      </c>
      <c r="W86" s="14">
        <v>7732589.0040000007</v>
      </c>
      <c r="X86" s="14">
        <v>407979.43220000004</v>
      </c>
      <c r="Y86" s="14">
        <v>259775.24000000002</v>
      </c>
      <c r="Z86" s="14">
        <v>11836491.361698303</v>
      </c>
      <c r="AA86" s="14">
        <v>54400.932999999997</v>
      </c>
      <c r="AB86" s="14">
        <v>2314427.3078899998</v>
      </c>
      <c r="AC86" s="14">
        <v>1756610.8556000001</v>
      </c>
      <c r="AD86" s="14">
        <v>1680217.7722576146</v>
      </c>
      <c r="AE86" s="14">
        <v>4866821.2440605871</v>
      </c>
      <c r="AF86" s="14">
        <v>12044797.356914774</v>
      </c>
      <c r="AG86" s="14">
        <v>93104302.633333325</v>
      </c>
      <c r="AH86" s="14">
        <v>3716346.6666666665</v>
      </c>
      <c r="AI86" s="337">
        <v>0.79558740135259198</v>
      </c>
    </row>
    <row r="87" spans="1:35" x14ac:dyDescent="0.25">
      <c r="A87" s="49" t="s">
        <v>189</v>
      </c>
      <c r="B87" s="333" t="s">
        <v>190</v>
      </c>
      <c r="C87" s="334">
        <v>28.412790424895935</v>
      </c>
      <c r="D87" s="334">
        <v>2.5929372150487757E-2</v>
      </c>
      <c r="E87" s="296">
        <v>25254320.112320781</v>
      </c>
      <c r="F87" s="296">
        <v>24674952.223827593</v>
      </c>
      <c r="G87" s="296">
        <v>80970553.077254176</v>
      </c>
      <c r="H87" s="296">
        <v>59581311.495889358</v>
      </c>
      <c r="I87" s="296">
        <v>25539386.684789497</v>
      </c>
      <c r="J87" s="296">
        <v>54945700.352433071</v>
      </c>
      <c r="K87" s="335">
        <v>80485087.037222564</v>
      </c>
      <c r="L87" s="334">
        <v>28.412790424895935</v>
      </c>
      <c r="M87" s="334">
        <v>2.5929372150487757E-2</v>
      </c>
      <c r="N87" s="296">
        <v>25254320.112320781</v>
      </c>
      <c r="O87" s="296">
        <v>24674952.223827593</v>
      </c>
      <c r="P87" s="296">
        <v>80970553.077254176</v>
      </c>
      <c r="Q87" s="296">
        <v>59581311.495889358</v>
      </c>
      <c r="R87" s="296">
        <v>25539386.684789497</v>
      </c>
      <c r="S87" s="296">
        <v>54945700.352433071</v>
      </c>
      <c r="T87" s="335">
        <v>80485087.037222564</v>
      </c>
      <c r="U87" s="336" t="s">
        <v>316</v>
      </c>
      <c r="V87" s="14">
        <v>3724077.5521835</v>
      </c>
      <c r="W87" s="14">
        <v>7258480.0512000006</v>
      </c>
      <c r="X87" s="14">
        <v>536809.42369999993</v>
      </c>
      <c r="Y87" s="14">
        <v>92228.16750000001</v>
      </c>
      <c r="Z87" s="14">
        <v>6914350.8579531554</v>
      </c>
      <c r="AA87" s="14">
        <v>186108.45499999999</v>
      </c>
      <c r="AB87" s="14">
        <v>920549.8851500001</v>
      </c>
      <c r="AC87" s="14">
        <v>989180.42585</v>
      </c>
      <c r="AD87" s="14">
        <v>1557400.0697950881</v>
      </c>
      <c r="AE87" s="14">
        <v>3075135.2239890387</v>
      </c>
      <c r="AF87" s="14">
        <v>6118269.221702314</v>
      </c>
      <c r="AG87" s="14">
        <v>72944913.5</v>
      </c>
      <c r="AH87" s="14">
        <v>1907370.3555518701</v>
      </c>
      <c r="AI87" s="337">
        <v>0.86552986281764699</v>
      </c>
    </row>
    <row r="88" spans="1:35" x14ac:dyDescent="0.25">
      <c r="A88" s="49" t="s">
        <v>191</v>
      </c>
      <c r="B88" s="333" t="s">
        <v>192</v>
      </c>
      <c r="C88" s="334">
        <v>33.175113112783642</v>
      </c>
      <c r="D88" s="334">
        <v>3.0696359224440705E-2</v>
      </c>
      <c r="E88" s="296">
        <v>53864271.461992651</v>
      </c>
      <c r="F88" s="296">
        <v>54614986.079328761</v>
      </c>
      <c r="G88" s="296">
        <v>141649565.03842518</v>
      </c>
      <c r="H88" s="296">
        <v>100802999.01357295</v>
      </c>
      <c r="I88" s="296">
        <v>47352084.076729</v>
      </c>
      <c r="J88" s="296">
        <v>117236105.83519553</v>
      </c>
      <c r="K88" s="335">
        <v>164588189.91192454</v>
      </c>
      <c r="L88" s="334">
        <v>33.175113112783642</v>
      </c>
      <c r="M88" s="334">
        <v>3.0696359224440705E-2</v>
      </c>
      <c r="N88" s="296">
        <v>53864271.461992651</v>
      </c>
      <c r="O88" s="296">
        <v>54614986.079328761</v>
      </c>
      <c r="P88" s="296">
        <v>141649565.03842518</v>
      </c>
      <c r="Q88" s="296">
        <v>100802999.01357295</v>
      </c>
      <c r="R88" s="296">
        <v>47352084.076729</v>
      </c>
      <c r="S88" s="296">
        <v>117236105.83519553</v>
      </c>
      <c r="T88" s="335">
        <v>164588189.91192454</v>
      </c>
      <c r="U88" s="336" t="s">
        <v>316</v>
      </c>
      <c r="V88" s="14">
        <v>7112743.6295814998</v>
      </c>
      <c r="W88" s="14">
        <v>22920861.455000002</v>
      </c>
      <c r="X88" s="14">
        <v>398610.6312</v>
      </c>
      <c r="Y88" s="14">
        <v>131105.69900000002</v>
      </c>
      <c r="Z88" s="14">
        <v>11704129.644879177</v>
      </c>
      <c r="AA88" s="14">
        <v>157476.38499999998</v>
      </c>
      <c r="AB88" s="14">
        <v>1236064.6742000002</v>
      </c>
      <c r="AC88" s="14">
        <v>2122623.8091000002</v>
      </c>
      <c r="AD88" s="14">
        <v>2021698.0078837629</v>
      </c>
      <c r="AE88" s="14">
        <v>6058957.5261482112</v>
      </c>
      <c r="AF88" s="14">
        <v>12715438.246780626</v>
      </c>
      <c r="AG88" s="14">
        <v>121836140.12497789</v>
      </c>
      <c r="AH88" s="14">
        <v>7097986.666666667</v>
      </c>
      <c r="AI88" s="337">
        <v>0.85443364028628999</v>
      </c>
    </row>
    <row r="89" spans="1:35" x14ac:dyDescent="0.25">
      <c r="A89" s="49" t="s">
        <v>193</v>
      </c>
      <c r="B89" s="333" t="s">
        <v>194</v>
      </c>
      <c r="C89" s="334">
        <v>22.599199342387713</v>
      </c>
      <c r="D89" s="334">
        <v>0</v>
      </c>
      <c r="E89" s="296">
        <v>27348532.817401577</v>
      </c>
      <c r="F89" s="296">
        <v>24308713.888998318</v>
      </c>
      <c r="G89" s="296">
        <v>29308996.314856905</v>
      </c>
      <c r="H89" s="296">
        <v>22269042.562320247</v>
      </c>
      <c r="I89" s="296">
        <v>21774125.377350003</v>
      </c>
      <c r="J89" s="296">
        <v>14116081.382870283</v>
      </c>
      <c r="K89" s="335">
        <v>35890206.760220289</v>
      </c>
      <c r="L89" s="334">
        <v>22.599199342387713</v>
      </c>
      <c r="M89" s="334">
        <v>0</v>
      </c>
      <c r="N89" s="296">
        <v>27348532.817401577</v>
      </c>
      <c r="O89" s="296">
        <v>24308713.888998318</v>
      </c>
      <c r="P89" s="296">
        <v>29308996.314856905</v>
      </c>
      <c r="Q89" s="296">
        <v>22269042.562320247</v>
      </c>
      <c r="R89" s="296">
        <v>21774125.377350003</v>
      </c>
      <c r="S89" s="296">
        <v>14116081.382870283</v>
      </c>
      <c r="T89" s="335">
        <v>35890206.760220289</v>
      </c>
      <c r="U89" s="336" t="s">
        <v>317</v>
      </c>
      <c r="V89" s="14">
        <v>0</v>
      </c>
      <c r="W89" s="14">
        <v>0</v>
      </c>
      <c r="X89" s="14">
        <v>0</v>
      </c>
      <c r="Y89" s="14">
        <v>0</v>
      </c>
      <c r="Z89" s="14">
        <v>20111024.288965877</v>
      </c>
      <c r="AA89" s="14">
        <v>0</v>
      </c>
      <c r="AB89" s="14">
        <v>2327980.2816200005</v>
      </c>
      <c r="AC89" s="14">
        <v>2611117.4699400002</v>
      </c>
      <c r="AD89" s="14">
        <v>128320.21237797661</v>
      </c>
      <c r="AE89" s="14">
        <v>2170090.5644977232</v>
      </c>
      <c r="AF89" s="14">
        <v>26418896.314856905</v>
      </c>
      <c r="AG89" s="14">
        <v>0</v>
      </c>
      <c r="AH89" s="14">
        <v>2890100.0000000005</v>
      </c>
      <c r="AI89" s="337">
        <v>1</v>
      </c>
    </row>
    <row r="90" spans="1:35" x14ac:dyDescent="0.25">
      <c r="A90" s="49" t="s">
        <v>195</v>
      </c>
      <c r="B90" s="333" t="s">
        <v>196</v>
      </c>
      <c r="C90" s="334">
        <v>35.471287810499824</v>
      </c>
      <c r="D90" s="334">
        <v>2.7107648808767277E-2</v>
      </c>
      <c r="E90" s="296">
        <v>13721781.015044609</v>
      </c>
      <c r="F90" s="296">
        <v>13983516.871221846</v>
      </c>
      <c r="G90" s="296">
        <v>96278496.939999983</v>
      </c>
      <c r="H90" s="296">
        <v>67234431.470948264</v>
      </c>
      <c r="I90" s="296">
        <v>16028078.65755</v>
      </c>
      <c r="J90" s="296">
        <v>52702695.617062852</v>
      </c>
      <c r="K90" s="335">
        <v>68730774.274612844</v>
      </c>
      <c r="L90" s="334">
        <v>35.471287810499824</v>
      </c>
      <c r="M90" s="334">
        <v>2.7107648808767277E-2</v>
      </c>
      <c r="N90" s="296">
        <v>13721781.015044609</v>
      </c>
      <c r="O90" s="296">
        <v>13983516.871221846</v>
      </c>
      <c r="P90" s="296">
        <v>96278496.939999983</v>
      </c>
      <c r="Q90" s="296">
        <v>67234431.470948264</v>
      </c>
      <c r="R90" s="296">
        <v>16028078.65755</v>
      </c>
      <c r="S90" s="296">
        <v>52702695.617062852</v>
      </c>
      <c r="T90" s="335">
        <v>68730774.274612844</v>
      </c>
      <c r="U90" s="336" t="s">
        <v>315</v>
      </c>
      <c r="V90" s="14">
        <v>3391978.0469815</v>
      </c>
      <c r="W90" s="14">
        <v>5917800.8857999993</v>
      </c>
      <c r="X90" s="14">
        <v>167805.2335</v>
      </c>
      <c r="Y90" s="14">
        <v>118116.93700000001</v>
      </c>
      <c r="Z90" s="14">
        <v>0</v>
      </c>
      <c r="AA90" s="14">
        <v>0</v>
      </c>
      <c r="AB90" s="14">
        <v>0</v>
      </c>
      <c r="AC90" s="14">
        <v>0</v>
      </c>
      <c r="AD90" s="14">
        <v>1529643.970625275</v>
      </c>
      <c r="AE90" s="14">
        <v>2596435.9411378345</v>
      </c>
      <c r="AF90" s="14">
        <v>0</v>
      </c>
      <c r="AG90" s="14">
        <v>93983950.273333311</v>
      </c>
      <c r="AH90" s="14">
        <v>2294546.6666666665</v>
      </c>
      <c r="AI90" s="337">
        <v>1</v>
      </c>
    </row>
    <row r="91" spans="1:35" x14ac:dyDescent="0.25">
      <c r="A91" s="49" t="s">
        <v>197</v>
      </c>
      <c r="B91" s="333" t="s">
        <v>198</v>
      </c>
      <c r="C91" s="334">
        <v>36.080011003621706</v>
      </c>
      <c r="D91" s="334">
        <v>2.8720982509566645E-2</v>
      </c>
      <c r="E91" s="296">
        <v>28719522.236151107</v>
      </c>
      <c r="F91" s="296">
        <v>29464639.777760513</v>
      </c>
      <c r="G91" s="296">
        <v>117120510.34659715</v>
      </c>
      <c r="H91" s="296">
        <v>81459409.613400713</v>
      </c>
      <c r="I91" s="296">
        <v>33367089.479650002</v>
      </c>
      <c r="J91" s="296">
        <v>55412805.448550239</v>
      </c>
      <c r="K91" s="335">
        <v>88779894.928200245</v>
      </c>
      <c r="L91" s="334">
        <v>36.080011003621706</v>
      </c>
      <c r="M91" s="334">
        <v>2.8720982509566645E-2</v>
      </c>
      <c r="N91" s="296">
        <v>28719522.236151107</v>
      </c>
      <c r="O91" s="296">
        <v>29464639.777760513</v>
      </c>
      <c r="P91" s="296">
        <v>117120510.34659715</v>
      </c>
      <c r="Q91" s="296">
        <v>81459409.613400713</v>
      </c>
      <c r="R91" s="296">
        <v>33367089.479650002</v>
      </c>
      <c r="S91" s="296">
        <v>55412805.448550239</v>
      </c>
      <c r="T91" s="335">
        <v>88779894.928200245</v>
      </c>
      <c r="U91" s="336" t="s">
        <v>316</v>
      </c>
      <c r="V91" s="14">
        <v>3072382.1619500001</v>
      </c>
      <c r="W91" s="14">
        <v>6116585.2736999998</v>
      </c>
      <c r="X91" s="14">
        <v>349106.0428</v>
      </c>
      <c r="Y91" s="14">
        <v>41377.960000000006</v>
      </c>
      <c r="Z91" s="14">
        <v>10379060.868543694</v>
      </c>
      <c r="AA91" s="14">
        <v>8589.6209999999992</v>
      </c>
      <c r="AB91" s="14">
        <v>2153854.0551</v>
      </c>
      <c r="AC91" s="14">
        <v>1530669.9754999999</v>
      </c>
      <c r="AD91" s="14">
        <v>1652153.9178624626</v>
      </c>
      <c r="AE91" s="14">
        <v>3415742.3596949531</v>
      </c>
      <c r="AF91" s="14">
        <v>8100401.6652607638</v>
      </c>
      <c r="AG91" s="14">
        <v>107236588.68133639</v>
      </c>
      <c r="AH91" s="14">
        <v>1783520</v>
      </c>
      <c r="AI91" s="337">
        <v>1</v>
      </c>
    </row>
    <row r="92" spans="1:35" x14ac:dyDescent="0.25">
      <c r="A92" s="49" t="s">
        <v>199</v>
      </c>
      <c r="B92" s="333" t="s">
        <v>200</v>
      </c>
      <c r="C92" s="334">
        <v>35.949571017211987</v>
      </c>
      <c r="D92" s="334">
        <v>5.632549019607843E-2</v>
      </c>
      <c r="E92" s="296">
        <v>19532678.125926577</v>
      </c>
      <c r="F92" s="296">
        <v>21183211.998834882</v>
      </c>
      <c r="G92" s="296">
        <v>48335906.530651249</v>
      </c>
      <c r="H92" s="296">
        <v>34022671.177245125</v>
      </c>
      <c r="I92" s="296">
        <v>22507532.125799999</v>
      </c>
      <c r="J92" s="296">
        <v>32687843.509884104</v>
      </c>
      <c r="K92" s="335">
        <v>55195375.635684103</v>
      </c>
      <c r="L92" s="334">
        <v>35.949571017211987</v>
      </c>
      <c r="M92" s="334">
        <v>5.632549019607843E-2</v>
      </c>
      <c r="N92" s="296">
        <v>19532678.125926577</v>
      </c>
      <c r="O92" s="296">
        <v>21183211.998834882</v>
      </c>
      <c r="P92" s="296">
        <v>47314426.173339061</v>
      </c>
      <c r="Q92" s="296">
        <v>33303671.725175075</v>
      </c>
      <c r="R92" s="296">
        <v>22507532.125799999</v>
      </c>
      <c r="S92" s="296">
        <v>32687843.509884104</v>
      </c>
      <c r="T92" s="335">
        <v>55195375.635684103</v>
      </c>
      <c r="U92" s="336" t="s">
        <v>316</v>
      </c>
      <c r="V92" s="14">
        <v>2047100.2858000002</v>
      </c>
      <c r="W92" s="14">
        <v>3575893.4020499997</v>
      </c>
      <c r="X92" s="14">
        <v>125696.11439999999</v>
      </c>
      <c r="Y92" s="14">
        <v>80185.100000000006</v>
      </c>
      <c r="Z92" s="14">
        <v>5937283.7840228239</v>
      </c>
      <c r="AA92" s="14">
        <v>0</v>
      </c>
      <c r="AB92" s="14">
        <v>1078515.4944500001</v>
      </c>
      <c r="AC92" s="14">
        <v>1556650.10035</v>
      </c>
      <c r="AD92" s="14">
        <v>1227848.472295926</v>
      </c>
      <c r="AE92" s="14">
        <v>3903505.3725578263</v>
      </c>
      <c r="AF92" s="14">
        <v>7935092.9066723995</v>
      </c>
      <c r="AG92" s="14">
        <v>38066066.599999994</v>
      </c>
      <c r="AH92" s="14">
        <v>1313266.6666666667</v>
      </c>
      <c r="AI92" s="337">
        <v>0.93920146222962198</v>
      </c>
    </row>
    <row r="93" spans="1:35" x14ac:dyDescent="0.25">
      <c r="A93" s="49" t="s">
        <v>201</v>
      </c>
      <c r="B93" s="333" t="s">
        <v>202</v>
      </c>
      <c r="C93" s="334">
        <v>33.837579336585819</v>
      </c>
      <c r="D93" s="334">
        <v>6.6049855029807397E-2</v>
      </c>
      <c r="E93" s="296">
        <v>117164706.3003753</v>
      </c>
      <c r="F93" s="296">
        <v>128128006.16505593</v>
      </c>
      <c r="G93" s="296">
        <v>334974389.24164867</v>
      </c>
      <c r="H93" s="296">
        <v>240477964.02271745</v>
      </c>
      <c r="I93" s="296">
        <v>120250994.19845</v>
      </c>
      <c r="J93" s="296">
        <v>246816287.64462757</v>
      </c>
      <c r="K93" s="335">
        <v>367067281.84307754</v>
      </c>
      <c r="L93" s="334">
        <v>33.837579336585819</v>
      </c>
      <c r="M93" s="334">
        <v>6.6049855029807397E-2</v>
      </c>
      <c r="N93" s="296">
        <v>117164706.3003753</v>
      </c>
      <c r="O93" s="296">
        <v>128128006.16505593</v>
      </c>
      <c r="P93" s="296">
        <v>334974389.24164867</v>
      </c>
      <c r="Q93" s="296">
        <v>240477964.02271745</v>
      </c>
      <c r="R93" s="296">
        <v>120250994.19845</v>
      </c>
      <c r="S93" s="296">
        <v>246816287.64462757</v>
      </c>
      <c r="T93" s="335">
        <v>367067281.84307754</v>
      </c>
      <c r="U93" s="336" t="s">
        <v>316</v>
      </c>
      <c r="V93" s="14">
        <v>16065059.9133325</v>
      </c>
      <c r="W93" s="14">
        <v>17143062.038450003</v>
      </c>
      <c r="X93" s="14">
        <v>2079986.9366000001</v>
      </c>
      <c r="Y93" s="14">
        <v>252136.23200000002</v>
      </c>
      <c r="Z93" s="14">
        <v>35936839.682905175</v>
      </c>
      <c r="AA93" s="14">
        <v>340721.63299999997</v>
      </c>
      <c r="AB93" s="14">
        <v>8252827.9101499999</v>
      </c>
      <c r="AC93" s="14">
        <v>14068185.714249998</v>
      </c>
      <c r="AD93" s="14">
        <v>2832972.3493594467</v>
      </c>
      <c r="AE93" s="14">
        <v>20192913.890328176</v>
      </c>
      <c r="AF93" s="14">
        <v>52847899.941648692</v>
      </c>
      <c r="AG93" s="14">
        <v>271177049.29999995</v>
      </c>
      <c r="AH93" s="14">
        <v>10949440</v>
      </c>
      <c r="AI93" s="337">
        <v>0.92988899215828902</v>
      </c>
    </row>
    <row r="94" spans="1:35" x14ac:dyDescent="0.25">
      <c r="A94" s="49" t="s">
        <v>203</v>
      </c>
      <c r="B94" s="333" t="s">
        <v>204</v>
      </c>
      <c r="C94" s="334">
        <v>18.774899043184668</v>
      </c>
      <c r="D94" s="334">
        <v>0</v>
      </c>
      <c r="E94" s="296">
        <v>14884325.955669602</v>
      </c>
      <c r="F94" s="296">
        <v>12911494.659756238</v>
      </c>
      <c r="G94" s="296">
        <v>12254281.135074895</v>
      </c>
      <c r="H94" s="296">
        <v>9562022.2008400802</v>
      </c>
      <c r="I94" s="296">
        <v>11703221.735800002</v>
      </c>
      <c r="J94" s="296">
        <v>8950495.0950711779</v>
      </c>
      <c r="K94" s="335">
        <v>20653716.83087118</v>
      </c>
      <c r="L94" s="334">
        <v>18.774899043184668</v>
      </c>
      <c r="M94" s="334">
        <v>0</v>
      </c>
      <c r="N94" s="296">
        <v>14884325.955669602</v>
      </c>
      <c r="O94" s="296">
        <v>12911494.659756238</v>
      </c>
      <c r="P94" s="296">
        <v>12254281.135074895</v>
      </c>
      <c r="Q94" s="296">
        <v>9562022.2008400802</v>
      </c>
      <c r="R94" s="296">
        <v>11703221.735800002</v>
      </c>
      <c r="S94" s="296">
        <v>8950495.0950711779</v>
      </c>
      <c r="T94" s="335">
        <v>20653716.83087118</v>
      </c>
      <c r="U94" s="336" t="s">
        <v>317</v>
      </c>
      <c r="V94" s="14">
        <v>0</v>
      </c>
      <c r="W94" s="14">
        <v>0</v>
      </c>
      <c r="X94" s="14">
        <v>0</v>
      </c>
      <c r="Y94" s="14">
        <v>0</v>
      </c>
      <c r="Z94" s="14">
        <v>9194411.4189866446</v>
      </c>
      <c r="AA94" s="14">
        <v>0</v>
      </c>
      <c r="AB94" s="14">
        <v>1126171.7705500002</v>
      </c>
      <c r="AC94" s="14">
        <v>1426055.3645000001</v>
      </c>
      <c r="AD94" s="14">
        <v>1202118.9568710667</v>
      </c>
      <c r="AE94" s="14">
        <v>1935568.4447618907</v>
      </c>
      <c r="AF94" s="14">
        <v>8711267.6351569202</v>
      </c>
      <c r="AG94" s="14">
        <v>0</v>
      </c>
      <c r="AH94" s="14">
        <v>3543013.4999179747</v>
      </c>
      <c r="AI94" s="337">
        <v>1</v>
      </c>
    </row>
    <row r="95" spans="1:35" x14ac:dyDescent="0.25">
      <c r="A95" s="49" t="s">
        <v>205</v>
      </c>
      <c r="B95" s="333" t="s">
        <v>206</v>
      </c>
      <c r="C95" s="334">
        <v>33.256627797516259</v>
      </c>
      <c r="D95" s="334">
        <v>2.667379668407148E-2</v>
      </c>
      <c r="E95" s="296">
        <v>10870415.091338992</v>
      </c>
      <c r="F95" s="296">
        <v>10932962.253568146</v>
      </c>
      <c r="G95" s="296">
        <v>85622064.094047353</v>
      </c>
      <c r="H95" s="296">
        <v>60798766.50829152</v>
      </c>
      <c r="I95" s="296">
        <v>12572779.45215</v>
      </c>
      <c r="J95" s="296">
        <v>61964821.088722512</v>
      </c>
      <c r="K95" s="335">
        <v>74537600.540872514</v>
      </c>
      <c r="L95" s="334">
        <v>33.256627797516259</v>
      </c>
      <c r="M95" s="334">
        <v>2.667379668407148E-2</v>
      </c>
      <c r="N95" s="296">
        <v>10870415.091338992</v>
      </c>
      <c r="O95" s="296">
        <v>10932962.253568146</v>
      </c>
      <c r="P95" s="296">
        <v>85622064.094047353</v>
      </c>
      <c r="Q95" s="296">
        <v>60798766.50829152</v>
      </c>
      <c r="R95" s="296">
        <v>12572779.45215</v>
      </c>
      <c r="S95" s="296">
        <v>61964821.088722512</v>
      </c>
      <c r="T95" s="335">
        <v>74537600.540872514</v>
      </c>
      <c r="U95" s="336" t="s">
        <v>315</v>
      </c>
      <c r="V95" s="14">
        <v>3366115.4233379997</v>
      </c>
      <c r="W95" s="14">
        <v>3170306.9765500007</v>
      </c>
      <c r="X95" s="14">
        <v>381153.44150000002</v>
      </c>
      <c r="Y95" s="14">
        <v>228490.80900000001</v>
      </c>
      <c r="Z95" s="14">
        <v>0</v>
      </c>
      <c r="AA95" s="14">
        <v>0</v>
      </c>
      <c r="AB95" s="14">
        <v>0</v>
      </c>
      <c r="AC95" s="14">
        <v>0</v>
      </c>
      <c r="AD95" s="14">
        <v>1202118.9568710667</v>
      </c>
      <c r="AE95" s="14">
        <v>2522229.4840799253</v>
      </c>
      <c r="AF95" s="14">
        <v>0</v>
      </c>
      <c r="AG95" s="14">
        <v>82996857.427380681</v>
      </c>
      <c r="AH95" s="14">
        <v>2625206.6666666665</v>
      </c>
      <c r="AI95" s="337">
        <v>0.88898151121453695</v>
      </c>
    </row>
    <row r="96" spans="1:35" x14ac:dyDescent="0.25">
      <c r="A96" s="49" t="s">
        <v>207</v>
      </c>
      <c r="B96" s="333" t="s">
        <v>208</v>
      </c>
      <c r="C96" s="334">
        <v>34.51411053731033</v>
      </c>
      <c r="D96" s="334">
        <v>3.5579947742170506E-2</v>
      </c>
      <c r="E96" s="296">
        <v>61749203.689809501</v>
      </c>
      <c r="F96" s="296">
        <v>63719990.5406726</v>
      </c>
      <c r="G96" s="296">
        <v>241360160.98584154</v>
      </c>
      <c r="H96" s="296">
        <v>170355649.0473628</v>
      </c>
      <c r="I96" s="296">
        <v>62662365.826550007</v>
      </c>
      <c r="J96" s="296">
        <v>143691967.17451203</v>
      </c>
      <c r="K96" s="335">
        <v>206354333.00106204</v>
      </c>
      <c r="L96" s="334">
        <v>34.51411053731033</v>
      </c>
      <c r="M96" s="334">
        <v>3.5579947742170506E-2</v>
      </c>
      <c r="N96" s="296">
        <v>61749203.689809501</v>
      </c>
      <c r="O96" s="296">
        <v>63719990.5406726</v>
      </c>
      <c r="P96" s="296">
        <v>241360160.98584154</v>
      </c>
      <c r="Q96" s="296">
        <v>170355649.0473628</v>
      </c>
      <c r="R96" s="296">
        <v>62662365.826550007</v>
      </c>
      <c r="S96" s="296">
        <v>143691967.17451203</v>
      </c>
      <c r="T96" s="335">
        <v>206354333.00106204</v>
      </c>
      <c r="U96" s="336" t="s">
        <v>316</v>
      </c>
      <c r="V96" s="14">
        <v>10065960.981533</v>
      </c>
      <c r="W96" s="14">
        <v>10247804.64635</v>
      </c>
      <c r="X96" s="14">
        <v>1910400.4169999999</v>
      </c>
      <c r="Y96" s="14">
        <v>240647.11500000002</v>
      </c>
      <c r="Z96" s="14">
        <v>21906049.611658715</v>
      </c>
      <c r="AA96" s="14">
        <v>297773.52799999999</v>
      </c>
      <c r="AB96" s="14">
        <v>2144720.1653749999</v>
      </c>
      <c r="AC96" s="14">
        <v>3040149.4691000003</v>
      </c>
      <c r="AD96" s="14">
        <v>2056414.9885338391</v>
      </c>
      <c r="AE96" s="14">
        <v>9839282.7672589459</v>
      </c>
      <c r="AF96" s="14">
        <v>20532507.616086349</v>
      </c>
      <c r="AG96" s="14">
        <v>217404772.49500006</v>
      </c>
      <c r="AH96" s="14">
        <v>3422880.8747551218</v>
      </c>
      <c r="AI96" s="337">
        <v>0.91514192897725899</v>
      </c>
    </row>
    <row r="97" spans="1:35" x14ac:dyDescent="0.25">
      <c r="A97" s="49" t="s">
        <v>209</v>
      </c>
      <c r="B97" s="333" t="s">
        <v>210</v>
      </c>
      <c r="C97" s="334">
        <v>35.134416799962253</v>
      </c>
      <c r="D97" s="334">
        <v>2.430367327204204E-2</v>
      </c>
      <c r="E97" s="296">
        <v>48102094.688988753</v>
      </c>
      <c r="F97" s="296">
        <v>48639295.354925267</v>
      </c>
      <c r="G97" s="296">
        <v>146643744.81515256</v>
      </c>
      <c r="H97" s="296">
        <v>102556777.5165842</v>
      </c>
      <c r="I97" s="296">
        <v>51003546.710306503</v>
      </c>
      <c r="J97" s="296">
        <v>81778504.616944551</v>
      </c>
      <c r="K97" s="335">
        <v>132782051.32725105</v>
      </c>
      <c r="L97" s="334">
        <v>35.134416799962253</v>
      </c>
      <c r="M97" s="334">
        <v>2.430367327204204E-2</v>
      </c>
      <c r="N97" s="296">
        <v>48102094.688988753</v>
      </c>
      <c r="O97" s="296">
        <v>48639295.354925267</v>
      </c>
      <c r="P97" s="296">
        <v>146643744.81515256</v>
      </c>
      <c r="Q97" s="296">
        <v>102556777.5165842</v>
      </c>
      <c r="R97" s="296">
        <v>51003546.710306503</v>
      </c>
      <c r="S97" s="296">
        <v>81778504.616944551</v>
      </c>
      <c r="T97" s="335">
        <v>132782051.32725105</v>
      </c>
      <c r="U97" s="336" t="s">
        <v>316</v>
      </c>
      <c r="V97" s="14">
        <v>7746012.9161125012</v>
      </c>
      <c r="W97" s="14">
        <v>10494501.796300001</v>
      </c>
      <c r="X97" s="14">
        <v>1058503.6282000002</v>
      </c>
      <c r="Y97" s="14">
        <v>74177.338500000013</v>
      </c>
      <c r="Z97" s="14">
        <v>15862578.34628181</v>
      </c>
      <c r="AA97" s="14">
        <v>0</v>
      </c>
      <c r="AB97" s="14">
        <v>2334436.4962999998</v>
      </c>
      <c r="AC97" s="14">
        <v>2174727.4391000001</v>
      </c>
      <c r="AD97" s="14">
        <v>1685578.1482494187</v>
      </c>
      <c r="AE97" s="14">
        <v>6671578.5799450222</v>
      </c>
      <c r="AF97" s="14">
        <v>17038953.715152528</v>
      </c>
      <c r="AG97" s="14">
        <v>124462644.43333337</v>
      </c>
      <c r="AH97" s="14">
        <v>5142146.666666666</v>
      </c>
      <c r="AI97" s="337">
        <v>0.97515166963895605</v>
      </c>
    </row>
    <row r="98" spans="1:35" x14ac:dyDescent="0.25">
      <c r="A98" s="49" t="s">
        <v>211</v>
      </c>
      <c r="B98" s="333" t="s">
        <v>212</v>
      </c>
      <c r="C98" s="334">
        <v>35.391955096553275</v>
      </c>
      <c r="D98" s="334">
        <v>3.2757349461973673E-2</v>
      </c>
      <c r="E98" s="296">
        <v>31302076.670209073</v>
      </c>
      <c r="F98" s="296">
        <v>32265071.168659009</v>
      </c>
      <c r="G98" s="296">
        <v>102414211.10010791</v>
      </c>
      <c r="H98" s="296">
        <v>71723368.762593672</v>
      </c>
      <c r="I98" s="296">
        <v>29000213.5251</v>
      </c>
      <c r="J98" s="296">
        <v>60065016.874655843</v>
      </c>
      <c r="K98" s="335">
        <v>89065230.399755836</v>
      </c>
      <c r="L98" s="334">
        <v>35.391955096553275</v>
      </c>
      <c r="M98" s="334">
        <v>3.2757349461973673E-2</v>
      </c>
      <c r="N98" s="296">
        <v>31302076.670209073</v>
      </c>
      <c r="O98" s="296">
        <v>32265071.168659009</v>
      </c>
      <c r="P98" s="296">
        <v>102414211.10010791</v>
      </c>
      <c r="Q98" s="296">
        <v>71723368.762593672</v>
      </c>
      <c r="R98" s="296">
        <v>29000213.5251</v>
      </c>
      <c r="S98" s="296">
        <v>60065016.874655843</v>
      </c>
      <c r="T98" s="335">
        <v>89065230.399755836</v>
      </c>
      <c r="U98" s="336" t="s">
        <v>316</v>
      </c>
      <c r="V98" s="14">
        <v>4178942.757001</v>
      </c>
      <c r="W98" s="14">
        <v>3959020.0792500004</v>
      </c>
      <c r="X98" s="14">
        <v>778100.39</v>
      </c>
      <c r="Y98" s="14">
        <v>88815.71</v>
      </c>
      <c r="Z98" s="14">
        <v>13857609.955876615</v>
      </c>
      <c r="AA98" s="14">
        <v>0</v>
      </c>
      <c r="AB98" s="14">
        <v>1435536.3051499999</v>
      </c>
      <c r="AC98" s="14">
        <v>1731678.0930999999</v>
      </c>
      <c r="AD98" s="14">
        <v>1458557.2077440443</v>
      </c>
      <c r="AE98" s="14">
        <v>3813816.1720874114</v>
      </c>
      <c r="AF98" s="14">
        <v>19440683.42760792</v>
      </c>
      <c r="AG98" s="14">
        <v>81159974.339166656</v>
      </c>
      <c r="AH98" s="14">
        <v>1813553.3333333333</v>
      </c>
      <c r="AI98" s="337">
        <v>0.98505998312305099</v>
      </c>
    </row>
    <row r="99" spans="1:35" x14ac:dyDescent="0.25">
      <c r="A99" s="49" t="s">
        <v>213</v>
      </c>
      <c r="B99" s="333" t="s">
        <v>214</v>
      </c>
      <c r="C99" s="334">
        <v>34.990322570339778</v>
      </c>
      <c r="D99" s="334">
        <v>3.6431557526221979E-2</v>
      </c>
      <c r="E99" s="296">
        <v>37329279.500533968</v>
      </c>
      <c r="F99" s="296">
        <v>38688398.272339404</v>
      </c>
      <c r="G99" s="296">
        <v>95638543.858747214</v>
      </c>
      <c r="H99" s="296">
        <v>67281621.531817392</v>
      </c>
      <c r="I99" s="296">
        <v>33218863.581600003</v>
      </c>
      <c r="J99" s="296">
        <v>64861324.446397662</v>
      </c>
      <c r="K99" s="335">
        <v>98080188.027997658</v>
      </c>
      <c r="L99" s="334">
        <v>34.990322570339778</v>
      </c>
      <c r="M99" s="334">
        <v>3.6431557526221979E-2</v>
      </c>
      <c r="N99" s="296">
        <v>37329279.500533968</v>
      </c>
      <c r="O99" s="296">
        <v>38688398.272339404</v>
      </c>
      <c r="P99" s="296">
        <v>95638543.858747214</v>
      </c>
      <c r="Q99" s="296">
        <v>67281621.531817392</v>
      </c>
      <c r="R99" s="296">
        <v>33218863.581600003</v>
      </c>
      <c r="S99" s="296">
        <v>64861324.446397662</v>
      </c>
      <c r="T99" s="335">
        <v>98080188.027997658</v>
      </c>
      <c r="U99" s="336" t="s">
        <v>316</v>
      </c>
      <c r="V99" s="14">
        <v>2983353.5474757003</v>
      </c>
      <c r="W99" s="14">
        <v>9787170.8196500018</v>
      </c>
      <c r="X99" s="14">
        <v>464728.08290000004</v>
      </c>
      <c r="Y99" s="14">
        <v>1255888.4170000001</v>
      </c>
      <c r="Z99" s="14">
        <v>10086533.222892802</v>
      </c>
      <c r="AA99" s="14">
        <v>45811.311999999998</v>
      </c>
      <c r="AB99" s="14">
        <v>3271940.6200999999</v>
      </c>
      <c r="AC99" s="14">
        <v>4228444.92985</v>
      </c>
      <c r="AD99" s="14">
        <v>1639066.4709880147</v>
      </c>
      <c r="AE99" s="14">
        <v>3566342.0776774497</v>
      </c>
      <c r="AF99" s="14">
        <v>9209569.775413882</v>
      </c>
      <c r="AG99" s="14">
        <v>84673040.75</v>
      </c>
      <c r="AH99" s="14">
        <v>1755933.3333333333</v>
      </c>
      <c r="AI99" s="337">
        <v>0.99020173321171101</v>
      </c>
    </row>
    <row r="100" spans="1:35" x14ac:dyDescent="0.25">
      <c r="A100" s="49" t="s">
        <v>215</v>
      </c>
      <c r="B100" s="333" t="s">
        <v>216</v>
      </c>
      <c r="C100" s="334">
        <v>35.013272278411414</v>
      </c>
      <c r="D100" s="334">
        <v>8.3694952030221426E-2</v>
      </c>
      <c r="E100" s="296">
        <v>92857974.367848456</v>
      </c>
      <c r="F100" s="296">
        <v>105676543.55943833</v>
      </c>
      <c r="G100" s="296">
        <v>248221377.68937969</v>
      </c>
      <c r="H100" s="296">
        <v>177849622.5923169</v>
      </c>
      <c r="I100" s="296">
        <v>113657364.96940002</v>
      </c>
      <c r="J100" s="296">
        <v>190926500.73692733</v>
      </c>
      <c r="K100" s="335">
        <v>304583865.70632738</v>
      </c>
      <c r="L100" s="334">
        <v>35.013272278411414</v>
      </c>
      <c r="M100" s="334">
        <v>8.3694952030221426E-2</v>
      </c>
      <c r="N100" s="296">
        <v>92857974.367848456</v>
      </c>
      <c r="O100" s="296">
        <v>105676543.55943833</v>
      </c>
      <c r="P100" s="296">
        <v>248221377.68937969</v>
      </c>
      <c r="Q100" s="296">
        <v>177849622.5923169</v>
      </c>
      <c r="R100" s="296">
        <v>113657364.96940002</v>
      </c>
      <c r="S100" s="296">
        <v>190926500.73692733</v>
      </c>
      <c r="T100" s="335">
        <v>304583865.70632738</v>
      </c>
      <c r="U100" s="336" t="s">
        <v>316</v>
      </c>
      <c r="V100" s="14">
        <v>17373698.474018998</v>
      </c>
      <c r="W100" s="14">
        <v>7123436.6682500001</v>
      </c>
      <c r="X100" s="14">
        <v>1835907.63405</v>
      </c>
      <c r="Y100" s="14">
        <v>142496.88</v>
      </c>
      <c r="Z100" s="14">
        <v>26688660.407209322</v>
      </c>
      <c r="AA100" s="14">
        <v>105938.659</v>
      </c>
      <c r="AB100" s="14">
        <v>7639509.9779000003</v>
      </c>
      <c r="AC100" s="14">
        <v>8902437.2315835003</v>
      </c>
      <c r="AD100" s="14">
        <v>2423618.2877813396</v>
      </c>
      <c r="AE100" s="14">
        <v>20622270.148055304</v>
      </c>
      <c r="AF100" s="14">
        <v>39502366.34854643</v>
      </c>
      <c r="AG100" s="14">
        <v>208719011.34083325</v>
      </c>
      <c r="AH100" s="14">
        <v>0</v>
      </c>
      <c r="AI100" s="337">
        <v>0.90565979577925004</v>
      </c>
    </row>
    <row r="101" spans="1:35" x14ac:dyDescent="0.25">
      <c r="A101" s="49" t="s">
        <v>217</v>
      </c>
      <c r="B101" s="333" t="s">
        <v>218</v>
      </c>
      <c r="C101" s="334">
        <v>34.384735629576056</v>
      </c>
      <c r="D101" s="334">
        <v>8.9082379518277188E-2</v>
      </c>
      <c r="E101" s="296">
        <v>125420438.06327665</v>
      </c>
      <c r="F101" s="296">
        <v>143744293.52827489</v>
      </c>
      <c r="G101" s="296">
        <v>409202320.62590724</v>
      </c>
      <c r="H101" s="296">
        <v>295182375.05944079</v>
      </c>
      <c r="I101" s="296">
        <v>130068897.80865</v>
      </c>
      <c r="J101" s="296">
        <v>285752161.50467962</v>
      </c>
      <c r="K101" s="335">
        <v>415821059.31332958</v>
      </c>
      <c r="L101" s="334">
        <v>34.384735629576056</v>
      </c>
      <c r="M101" s="334">
        <v>8.9082379518277188E-2</v>
      </c>
      <c r="N101" s="296">
        <v>125420438.06327665</v>
      </c>
      <c r="O101" s="296">
        <v>143744293.52827489</v>
      </c>
      <c r="P101" s="296">
        <v>409202320.62590724</v>
      </c>
      <c r="Q101" s="296">
        <v>295182375.05944079</v>
      </c>
      <c r="R101" s="296">
        <v>130068897.80865</v>
      </c>
      <c r="S101" s="296">
        <v>285752161.50467962</v>
      </c>
      <c r="T101" s="335">
        <v>415821059.31332958</v>
      </c>
      <c r="U101" s="336" t="s">
        <v>316</v>
      </c>
      <c r="V101" s="14">
        <v>21548994.376249999</v>
      </c>
      <c r="W101" s="14">
        <v>7427235.9808999998</v>
      </c>
      <c r="X101" s="14">
        <v>5612874.1735999994</v>
      </c>
      <c r="Y101" s="14">
        <v>646711.19449999998</v>
      </c>
      <c r="Z101" s="14">
        <v>36608310.711909302</v>
      </c>
      <c r="AA101" s="14">
        <v>635631.95399999991</v>
      </c>
      <c r="AB101" s="14">
        <v>9865786.0182499997</v>
      </c>
      <c r="AC101" s="14">
        <v>11845596.096449999</v>
      </c>
      <c r="AD101" s="14">
        <v>2968645.9342441531</v>
      </c>
      <c r="AE101" s="14">
        <v>28260651.623173177</v>
      </c>
      <c r="AF101" s="14">
        <v>45616064.109240741</v>
      </c>
      <c r="AG101" s="14">
        <v>355429123.18333316</v>
      </c>
      <c r="AH101" s="14">
        <v>8157133.333333333</v>
      </c>
      <c r="AI101" s="337">
        <v>0.93656327953615004</v>
      </c>
    </row>
    <row r="102" spans="1:35" x14ac:dyDescent="0.25">
      <c r="A102" s="49" t="s">
        <v>219</v>
      </c>
      <c r="B102" s="333" t="s">
        <v>220</v>
      </c>
      <c r="C102" s="334">
        <v>21.271561786505053</v>
      </c>
      <c r="D102" s="334">
        <v>0</v>
      </c>
      <c r="E102" s="296">
        <v>22884646.062756069</v>
      </c>
      <c r="F102" s="296">
        <v>20171033.171047736</v>
      </c>
      <c r="G102" s="296">
        <v>14777824.133139642</v>
      </c>
      <c r="H102" s="296">
        <v>11333385.665629763</v>
      </c>
      <c r="I102" s="296">
        <v>16925984.493950002</v>
      </c>
      <c r="J102" s="296">
        <v>13334038.505873222</v>
      </c>
      <c r="K102" s="335">
        <v>30260022.99982322</v>
      </c>
      <c r="L102" s="334">
        <v>21.271561786505053</v>
      </c>
      <c r="M102" s="334">
        <v>0</v>
      </c>
      <c r="N102" s="296">
        <v>22884646.062756069</v>
      </c>
      <c r="O102" s="296">
        <v>20171033.171047736</v>
      </c>
      <c r="P102" s="296">
        <v>14777824.133139642</v>
      </c>
      <c r="Q102" s="296">
        <v>11333385.665629763</v>
      </c>
      <c r="R102" s="296">
        <v>16925984.493950002</v>
      </c>
      <c r="S102" s="296">
        <v>13334038.505873222</v>
      </c>
      <c r="T102" s="335">
        <v>30260022.99982322</v>
      </c>
      <c r="U102" s="336" t="s">
        <v>317</v>
      </c>
      <c r="V102" s="14">
        <v>0</v>
      </c>
      <c r="W102" s="14">
        <v>0</v>
      </c>
      <c r="X102" s="14">
        <v>0</v>
      </c>
      <c r="Y102" s="14">
        <v>0</v>
      </c>
      <c r="Z102" s="14">
        <v>16240724.514652757</v>
      </c>
      <c r="AA102" s="14">
        <v>0</v>
      </c>
      <c r="AB102" s="14">
        <v>2282043.4489500001</v>
      </c>
      <c r="AC102" s="14">
        <v>2081235.4233500001</v>
      </c>
      <c r="AD102" s="14">
        <v>50787.322169710002</v>
      </c>
      <c r="AE102" s="14">
        <v>2229855.3536335994</v>
      </c>
      <c r="AF102" s="14">
        <v>13950397.466472976</v>
      </c>
      <c r="AG102" s="14">
        <v>0</v>
      </c>
      <c r="AH102" s="14">
        <v>827426.66666666663</v>
      </c>
      <c r="AI102" s="337">
        <v>1</v>
      </c>
    </row>
    <row r="103" spans="1:35" ht="15.75" thickBot="1" x14ac:dyDescent="0.3">
      <c r="A103" s="62" t="s">
        <v>221</v>
      </c>
      <c r="B103" s="338" t="s">
        <v>222</v>
      </c>
      <c r="C103" s="339">
        <v>23.271373890883716</v>
      </c>
      <c r="D103" s="339">
        <v>0</v>
      </c>
      <c r="E103" s="340">
        <v>12040410.286754727</v>
      </c>
      <c r="F103" s="340">
        <v>10747379.37484581</v>
      </c>
      <c r="G103" s="340">
        <v>18220289.883641876</v>
      </c>
      <c r="H103" s="340">
        <v>13778172.932761885</v>
      </c>
      <c r="I103" s="340">
        <v>18763030.124300003</v>
      </c>
      <c r="J103" s="340">
        <v>9738067.3339994904</v>
      </c>
      <c r="K103" s="341">
        <v>28501097.458299492</v>
      </c>
      <c r="L103" s="339">
        <v>23.271373890883716</v>
      </c>
      <c r="M103" s="339">
        <v>0</v>
      </c>
      <c r="N103" s="340">
        <v>12040410.286754727</v>
      </c>
      <c r="O103" s="340">
        <v>10747379.37484581</v>
      </c>
      <c r="P103" s="340">
        <v>18220289.883641876</v>
      </c>
      <c r="Q103" s="340">
        <v>13778172.932761885</v>
      </c>
      <c r="R103" s="340">
        <v>18763030.124300003</v>
      </c>
      <c r="S103" s="340">
        <v>9738067.3339994904</v>
      </c>
      <c r="T103" s="341">
        <v>28501097.458299492</v>
      </c>
      <c r="U103" s="342" t="s">
        <v>317</v>
      </c>
      <c r="V103" s="152">
        <v>0</v>
      </c>
      <c r="W103" s="152">
        <v>0</v>
      </c>
      <c r="X103" s="152">
        <v>0</v>
      </c>
      <c r="Y103" s="152">
        <v>73452</v>
      </c>
      <c r="Z103" s="152">
        <v>6522620.8461249899</v>
      </c>
      <c r="AA103" s="152">
        <v>0</v>
      </c>
      <c r="AB103" s="152">
        <v>2236606.4602999999</v>
      </c>
      <c r="AC103" s="152">
        <v>1699265.5018500001</v>
      </c>
      <c r="AD103" s="152">
        <v>66745.399825033237</v>
      </c>
      <c r="AE103" s="152">
        <v>1441720.0786547058</v>
      </c>
      <c r="AF103" s="152">
        <v>15939229.883641876</v>
      </c>
      <c r="AG103" s="152">
        <v>1632000</v>
      </c>
      <c r="AH103" s="152">
        <v>649060</v>
      </c>
      <c r="AI103" s="343">
        <v>0.83600471433191104</v>
      </c>
    </row>
    <row r="104" spans="1:35" s="26" customFormat="1" x14ac:dyDescent="0.25">
      <c r="A104" s="73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  <c r="AI104" s="73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C8284-7DEE-4AD7-8FD7-00E4810A218E}">
  <sheetPr codeName="Ark12"/>
  <dimension ref="A1:N482"/>
  <sheetViews>
    <sheetView workbookViewId="0"/>
  </sheetViews>
  <sheetFormatPr defaultRowHeight="15" x14ac:dyDescent="0.25"/>
  <cols>
    <col min="1" max="1" width="40.28515625" bestFit="1" customWidth="1"/>
    <col min="2" max="2" width="10.85546875" bestFit="1" customWidth="1"/>
    <col min="3" max="3" width="9.42578125" customWidth="1"/>
    <col min="4" max="4" width="14" customWidth="1"/>
    <col min="5" max="5" width="11" customWidth="1"/>
    <col min="6" max="6" width="12.5703125" bestFit="1" customWidth="1"/>
    <col min="7" max="7" width="10.42578125" customWidth="1"/>
    <col min="8" max="8" width="11.140625" customWidth="1"/>
    <col min="9" max="9" width="18.42578125" bestFit="1" customWidth="1"/>
    <col min="10" max="10" width="18.42578125" customWidth="1"/>
    <col min="11" max="11" width="46.28515625" customWidth="1"/>
    <col min="12" max="12" width="17" customWidth="1"/>
    <col min="13" max="13" width="18.85546875" style="182" bestFit="1" customWidth="1"/>
    <col min="14" max="14" width="10" bestFit="1" customWidth="1"/>
  </cols>
  <sheetData>
    <row r="1" spans="1:14" ht="60.75" thickBot="1" x14ac:dyDescent="0.3">
      <c r="A1" s="297" t="s">
        <v>0</v>
      </c>
      <c r="B1" s="298" t="s">
        <v>1</v>
      </c>
      <c r="C1" s="299" t="s">
        <v>320</v>
      </c>
      <c r="D1" s="297" t="s">
        <v>321</v>
      </c>
      <c r="E1" s="300" t="s">
        <v>322</v>
      </c>
      <c r="F1" s="301" t="s">
        <v>323</v>
      </c>
      <c r="G1" s="301" t="s">
        <v>324</v>
      </c>
      <c r="H1" s="302" t="s">
        <v>325</v>
      </c>
      <c r="I1" s="178" t="s">
        <v>326</v>
      </c>
      <c r="J1" s="179"/>
      <c r="K1" s="180" t="s">
        <v>327</v>
      </c>
      <c r="L1" s="180"/>
      <c r="M1" s="181"/>
      <c r="N1" s="48"/>
    </row>
    <row r="2" spans="1:14" ht="15.75" thickBot="1" x14ac:dyDescent="0.3">
      <c r="A2" s="303" t="s">
        <v>21</v>
      </c>
      <c r="B2" s="303" t="s">
        <v>22</v>
      </c>
      <c r="C2" s="304" t="s">
        <v>443</v>
      </c>
      <c r="D2" s="304" t="s">
        <v>444</v>
      </c>
      <c r="E2" s="304">
        <v>16210</v>
      </c>
      <c r="F2" s="304">
        <v>31111</v>
      </c>
      <c r="G2" s="304">
        <v>15170</v>
      </c>
      <c r="H2" s="304">
        <v>16298</v>
      </c>
      <c r="I2" s="304">
        <f>IF(D2="M",(AVERAGE(E2,MAX(F2:H2))^0.519)*3203.7913,IF(OR(D2="MB",D2="MK",D2="MBK",D2="MBN"),(AVERAGE(E2,MAX(F2:H2))^0.6289)*3234.9142,IF(AND(C2="Landzone og sommerhusområde",OR(D2="MBNKD",D2="MBNK/MBND")),(AVERAGE(E2,MAX(F2:H2))^0.736)*1583.1635,IF(AND(C2="Byzone",OR(D2="MBNKD",D2="MBNK/MBND")),(AVERAGE(E2,MAX(F2:H2))^0.736)*1812.7138,0))))</f>
        <v>2623054.8510108367</v>
      </c>
      <c r="J2" s="305"/>
      <c r="K2" s="306" t="s">
        <v>0</v>
      </c>
      <c r="L2" s="307" t="s">
        <v>1</v>
      </c>
      <c r="M2" s="308" t="s">
        <v>326</v>
      </c>
      <c r="N2" s="48"/>
    </row>
    <row r="3" spans="1:14" x14ac:dyDescent="0.25">
      <c r="A3" s="303" t="s">
        <v>21</v>
      </c>
      <c r="B3" s="303" t="s">
        <v>22</v>
      </c>
      <c r="C3" s="304" t="s">
        <v>443</v>
      </c>
      <c r="D3" s="304" t="s">
        <v>444</v>
      </c>
      <c r="E3" s="304">
        <v>4350</v>
      </c>
      <c r="F3" s="304">
        <v>2442</v>
      </c>
      <c r="G3" s="304">
        <v>3179</v>
      </c>
      <c r="H3" s="304">
        <v>2209</v>
      </c>
      <c r="I3" s="304">
        <f t="shared" ref="I3:I66" si="0">IF(D3="M",(AVERAGE(E3,MAX(F3:H3))^0.519)*3203.7913,IF(OR(D3="MB",D3="MK",D3="MBK",D3="MBN"),(AVERAGE(E3,MAX(F3:H3))^0.6289)*3234.9142,IF(AND(C3="Landzone og sommerhusområde",OR(D3="MBNKD",D3="MBNK/MBND")),(AVERAGE(E3,MAX(F3:H3))^0.736)*1583.1635,IF(AND(C3="Byzone",OR(D3="MBNKD",D3="MBNK/MBND")),(AVERAGE(E3,MAX(F3:H3))^0.736)*1812.7138,0))))</f>
        <v>678025.99154995801</v>
      </c>
      <c r="J3" s="305"/>
      <c r="K3" s="309" t="s">
        <v>19</v>
      </c>
      <c r="L3" s="309" t="s">
        <v>20</v>
      </c>
      <c r="M3" s="161">
        <f>SUMIF(B:B,L3,I:I)</f>
        <v>0</v>
      </c>
      <c r="N3" s="48"/>
    </row>
    <row r="4" spans="1:14" x14ac:dyDescent="0.25">
      <c r="A4" s="303" t="s">
        <v>21</v>
      </c>
      <c r="B4" s="303" t="s">
        <v>22</v>
      </c>
      <c r="C4" s="304" t="s">
        <v>443</v>
      </c>
      <c r="D4" s="304" t="s">
        <v>444</v>
      </c>
      <c r="E4" s="304">
        <v>7340</v>
      </c>
      <c r="F4" s="304">
        <v>2238</v>
      </c>
      <c r="G4" s="304">
        <v>3400</v>
      </c>
      <c r="H4" s="304">
        <v>3747</v>
      </c>
      <c r="I4" s="304">
        <f t="shared" si="0"/>
        <v>901469.07082680683</v>
      </c>
      <c r="J4" s="305"/>
      <c r="K4" s="304" t="s">
        <v>21</v>
      </c>
      <c r="L4" s="304" t="s">
        <v>22</v>
      </c>
      <c r="M4" s="88">
        <f t="shared" ref="M4:M67" si="1">SUMIF(B:B,L4,I:I)</f>
        <v>4202549.9133876013</v>
      </c>
      <c r="N4" s="203"/>
    </row>
    <row r="5" spans="1:14" x14ac:dyDescent="0.25">
      <c r="A5" s="303" t="s">
        <v>23</v>
      </c>
      <c r="B5" s="303" t="s">
        <v>24</v>
      </c>
      <c r="C5" s="304" t="s">
        <v>443</v>
      </c>
      <c r="D5" s="304" t="s">
        <v>444</v>
      </c>
      <c r="E5" s="304">
        <v>62000</v>
      </c>
      <c r="F5" s="304">
        <v>63787</v>
      </c>
      <c r="G5" s="304">
        <v>65406</v>
      </c>
      <c r="H5" s="304">
        <v>66542</v>
      </c>
      <c r="I5" s="304">
        <f t="shared" si="0"/>
        <v>5472992.4711247673</v>
      </c>
      <c r="J5" s="305"/>
      <c r="K5" s="304" t="s">
        <v>23</v>
      </c>
      <c r="L5" s="304" t="s">
        <v>24</v>
      </c>
      <c r="M5" s="88">
        <f t="shared" si="1"/>
        <v>5683562.9296778869</v>
      </c>
      <c r="N5" s="48"/>
    </row>
    <row r="6" spans="1:14" x14ac:dyDescent="0.25">
      <c r="A6" s="303" t="s">
        <v>23</v>
      </c>
      <c r="B6" s="303" t="s">
        <v>24</v>
      </c>
      <c r="C6" s="304" t="s">
        <v>443</v>
      </c>
      <c r="D6" s="304" t="s">
        <v>445</v>
      </c>
      <c r="E6" s="304">
        <v>1366</v>
      </c>
      <c r="F6" s="304">
        <v>164</v>
      </c>
      <c r="G6" s="304">
        <v>0</v>
      </c>
      <c r="H6" s="304">
        <v>0</v>
      </c>
      <c r="I6" s="304">
        <f t="shared" si="0"/>
        <v>210570.45855311956</v>
      </c>
      <c r="J6" s="305"/>
      <c r="K6" s="304" t="s">
        <v>25</v>
      </c>
      <c r="L6" s="304" t="s">
        <v>26</v>
      </c>
      <c r="M6" s="88">
        <f t="shared" si="1"/>
        <v>12400631.134070784</v>
      </c>
      <c r="N6" s="48"/>
    </row>
    <row r="7" spans="1:14" x14ac:dyDescent="0.25">
      <c r="A7" s="303" t="s">
        <v>25</v>
      </c>
      <c r="B7" s="303" t="s">
        <v>26</v>
      </c>
      <c r="C7" s="304" t="s">
        <v>443</v>
      </c>
      <c r="D7" s="304" t="s">
        <v>444</v>
      </c>
      <c r="E7" s="304">
        <v>4500</v>
      </c>
      <c r="F7" s="304">
        <v>2179</v>
      </c>
      <c r="G7" s="304">
        <v>2941</v>
      </c>
      <c r="H7" s="304">
        <v>4172</v>
      </c>
      <c r="I7" s="304">
        <f t="shared" si="0"/>
        <v>752356.14747583203</v>
      </c>
      <c r="J7" s="305"/>
      <c r="K7" s="304" t="s">
        <v>27</v>
      </c>
      <c r="L7" s="304" t="s">
        <v>28</v>
      </c>
      <c r="M7" s="88">
        <f t="shared" si="1"/>
        <v>10798754.247371387</v>
      </c>
      <c r="N7" s="48"/>
    </row>
    <row r="8" spans="1:14" x14ac:dyDescent="0.25">
      <c r="A8" s="303" t="s">
        <v>25</v>
      </c>
      <c r="B8" s="303" t="s">
        <v>26</v>
      </c>
      <c r="C8" s="304" t="s">
        <v>446</v>
      </c>
      <c r="D8" s="304" t="s">
        <v>444</v>
      </c>
      <c r="E8" s="304">
        <v>83000</v>
      </c>
      <c r="F8" s="304">
        <v>39522</v>
      </c>
      <c r="G8" s="304">
        <v>50943</v>
      </c>
      <c r="H8" s="304">
        <v>36047</v>
      </c>
      <c r="I8" s="304">
        <f t="shared" si="0"/>
        <v>6459282.8157569952</v>
      </c>
      <c r="J8" s="305"/>
      <c r="K8" s="304" t="s">
        <v>29</v>
      </c>
      <c r="L8" s="304" t="s">
        <v>30</v>
      </c>
      <c r="M8" s="88">
        <f t="shared" si="1"/>
        <v>0</v>
      </c>
      <c r="N8" s="48"/>
    </row>
    <row r="9" spans="1:14" x14ac:dyDescent="0.25">
      <c r="A9" s="303" t="s">
        <v>25</v>
      </c>
      <c r="B9" s="303" t="s">
        <v>26</v>
      </c>
      <c r="C9" s="304" t="s">
        <v>443</v>
      </c>
      <c r="D9" s="304" t="s">
        <v>447</v>
      </c>
      <c r="E9" s="304">
        <v>10500</v>
      </c>
      <c r="F9" s="304">
        <v>1631</v>
      </c>
      <c r="G9" s="304">
        <v>2132</v>
      </c>
      <c r="H9" s="304">
        <v>908</v>
      </c>
      <c r="I9" s="304">
        <f t="shared" si="0"/>
        <v>794256.57086859539</v>
      </c>
      <c r="J9" s="305"/>
      <c r="K9" s="304" t="s">
        <v>31</v>
      </c>
      <c r="L9" s="304" t="s">
        <v>32</v>
      </c>
      <c r="M9" s="88">
        <f t="shared" si="1"/>
        <v>2024579.3844727706</v>
      </c>
      <c r="N9" s="48"/>
    </row>
    <row r="10" spans="1:14" x14ac:dyDescent="0.25">
      <c r="A10" s="303" t="s">
        <v>25</v>
      </c>
      <c r="B10" s="303" t="s">
        <v>26</v>
      </c>
      <c r="C10" s="304" t="s">
        <v>443</v>
      </c>
      <c r="D10" s="304" t="s">
        <v>448</v>
      </c>
      <c r="E10" s="304">
        <v>15000</v>
      </c>
      <c r="F10" s="304">
        <v>14292</v>
      </c>
      <c r="G10" s="304">
        <v>15247</v>
      </c>
      <c r="H10" s="304">
        <v>2326</v>
      </c>
      <c r="I10" s="304">
        <f t="shared" si="0"/>
        <v>1886904.2786114849</v>
      </c>
      <c r="J10" s="305"/>
      <c r="K10" s="304" t="s">
        <v>33</v>
      </c>
      <c r="L10" s="304" t="s">
        <v>34</v>
      </c>
      <c r="M10" s="88">
        <f t="shared" si="1"/>
        <v>63049477.549688086</v>
      </c>
      <c r="N10" s="48"/>
    </row>
    <row r="11" spans="1:14" x14ac:dyDescent="0.25">
      <c r="A11" s="303" t="s">
        <v>25</v>
      </c>
      <c r="B11" s="303" t="s">
        <v>26</v>
      </c>
      <c r="C11" s="304" t="s">
        <v>443</v>
      </c>
      <c r="D11" s="304" t="s">
        <v>445</v>
      </c>
      <c r="E11" s="304">
        <v>1500</v>
      </c>
      <c r="F11" s="304">
        <v>1148</v>
      </c>
      <c r="G11" s="304">
        <v>1233</v>
      </c>
      <c r="H11" s="304">
        <v>999</v>
      </c>
      <c r="I11" s="304">
        <f t="shared" si="0"/>
        <v>303282.71999645029</v>
      </c>
      <c r="J11" s="305"/>
      <c r="K11" s="304" t="s">
        <v>35</v>
      </c>
      <c r="L11" s="304" t="s">
        <v>36</v>
      </c>
      <c r="M11" s="88">
        <f t="shared" si="1"/>
        <v>24788550.460950483</v>
      </c>
      <c r="N11" s="48"/>
    </row>
    <row r="12" spans="1:14" x14ac:dyDescent="0.25">
      <c r="A12" s="303" t="s">
        <v>25</v>
      </c>
      <c r="B12" s="303" t="s">
        <v>26</v>
      </c>
      <c r="C12" s="304" t="s">
        <v>443</v>
      </c>
      <c r="D12" s="304" t="s">
        <v>449</v>
      </c>
      <c r="E12" s="304">
        <v>4650</v>
      </c>
      <c r="F12" s="304">
        <v>1558</v>
      </c>
      <c r="G12" s="304">
        <v>1879</v>
      </c>
      <c r="H12" s="304">
        <v>1987</v>
      </c>
      <c r="I12" s="304">
        <f t="shared" si="0"/>
        <v>529886.77219330566</v>
      </c>
      <c r="J12" s="305"/>
      <c r="K12" s="304" t="s">
        <v>37</v>
      </c>
      <c r="L12" s="304" t="s">
        <v>38</v>
      </c>
      <c r="M12" s="88">
        <f t="shared" si="1"/>
        <v>10898116.426397683</v>
      </c>
      <c r="N12" s="48"/>
    </row>
    <row r="13" spans="1:14" x14ac:dyDescent="0.25">
      <c r="A13" s="303" t="s">
        <v>25</v>
      </c>
      <c r="B13" s="303" t="s">
        <v>26</v>
      </c>
      <c r="C13" s="304" t="s">
        <v>443</v>
      </c>
      <c r="D13" s="304" t="s">
        <v>444</v>
      </c>
      <c r="E13" s="304">
        <v>19000</v>
      </c>
      <c r="F13" s="304">
        <v>4755</v>
      </c>
      <c r="G13" s="304">
        <v>6720</v>
      </c>
      <c r="H13" s="304">
        <v>6398</v>
      </c>
      <c r="I13" s="304">
        <f t="shared" si="0"/>
        <v>1674661.8291681197</v>
      </c>
      <c r="J13" s="305"/>
      <c r="K13" s="304" t="s">
        <v>39</v>
      </c>
      <c r="L13" s="304" t="s">
        <v>40</v>
      </c>
      <c r="M13" s="88">
        <f t="shared" si="1"/>
        <v>0</v>
      </c>
      <c r="N13" s="48"/>
    </row>
    <row r="14" spans="1:14" x14ac:dyDescent="0.25">
      <c r="A14" s="303" t="s">
        <v>27</v>
      </c>
      <c r="B14" s="303" t="s">
        <v>28</v>
      </c>
      <c r="C14" s="304" t="s">
        <v>443</v>
      </c>
      <c r="D14" s="304" t="s">
        <v>444</v>
      </c>
      <c r="E14" s="304">
        <v>6000</v>
      </c>
      <c r="F14" s="304">
        <v>6373</v>
      </c>
      <c r="G14" s="304">
        <v>5290</v>
      </c>
      <c r="H14" s="304">
        <v>6356</v>
      </c>
      <c r="I14" s="304">
        <f t="shared" si="0"/>
        <v>977303.15617200849</v>
      </c>
      <c r="J14" s="305"/>
      <c r="K14" s="304" t="s">
        <v>41</v>
      </c>
      <c r="L14" s="304" t="s">
        <v>42</v>
      </c>
      <c r="M14" s="88">
        <f t="shared" si="1"/>
        <v>5471610.7915883772</v>
      </c>
      <c r="N14" s="48"/>
    </row>
    <row r="15" spans="1:14" x14ac:dyDescent="0.25">
      <c r="A15" s="303" t="s">
        <v>27</v>
      </c>
      <c r="B15" s="303" t="s">
        <v>28</v>
      </c>
      <c r="C15" s="304" t="s">
        <v>446</v>
      </c>
      <c r="D15" s="304" t="s">
        <v>444</v>
      </c>
      <c r="E15" s="304">
        <v>35000</v>
      </c>
      <c r="F15" s="304">
        <v>28289</v>
      </c>
      <c r="G15" s="304">
        <v>20209</v>
      </c>
      <c r="H15" s="304">
        <v>10791</v>
      </c>
      <c r="I15" s="304">
        <f t="shared" si="0"/>
        <v>3720049.7174944286</v>
      </c>
      <c r="J15" s="305"/>
      <c r="K15" s="304" t="s">
        <v>43</v>
      </c>
      <c r="L15" s="304" t="s">
        <v>44</v>
      </c>
      <c r="M15" s="88">
        <f t="shared" si="1"/>
        <v>4474107.0611170176</v>
      </c>
      <c r="N15" s="48"/>
    </row>
    <row r="16" spans="1:14" x14ac:dyDescent="0.25">
      <c r="A16" s="303" t="s">
        <v>27</v>
      </c>
      <c r="B16" s="303" t="s">
        <v>28</v>
      </c>
      <c r="C16" s="304" t="s">
        <v>446</v>
      </c>
      <c r="D16" s="304" t="s">
        <v>444</v>
      </c>
      <c r="E16" s="304">
        <v>7800</v>
      </c>
      <c r="F16" s="304">
        <v>3296</v>
      </c>
      <c r="G16" s="304">
        <v>2388</v>
      </c>
      <c r="H16" s="304">
        <v>3569</v>
      </c>
      <c r="I16" s="304">
        <f t="shared" si="0"/>
        <v>1051435.7812021549</v>
      </c>
      <c r="J16" s="305"/>
      <c r="K16" s="304" t="s">
        <v>45</v>
      </c>
      <c r="L16" s="304" t="s">
        <v>46</v>
      </c>
      <c r="M16" s="88">
        <f t="shared" si="1"/>
        <v>18467869.94842371</v>
      </c>
      <c r="N16" s="48"/>
    </row>
    <row r="17" spans="1:14" x14ac:dyDescent="0.25">
      <c r="A17" s="303" t="s">
        <v>27</v>
      </c>
      <c r="B17" s="303" t="s">
        <v>28</v>
      </c>
      <c r="C17" s="304" t="s">
        <v>446</v>
      </c>
      <c r="D17" s="304" t="s">
        <v>444</v>
      </c>
      <c r="E17" s="304">
        <v>3200</v>
      </c>
      <c r="F17" s="304">
        <v>3663</v>
      </c>
      <c r="G17" s="304">
        <v>720</v>
      </c>
      <c r="H17" s="304">
        <v>2877</v>
      </c>
      <c r="I17" s="304">
        <f t="shared" si="0"/>
        <v>725179.41448849393</v>
      </c>
      <c r="J17" s="305"/>
      <c r="K17" s="304" t="s">
        <v>47</v>
      </c>
      <c r="L17" s="304" t="s">
        <v>48</v>
      </c>
      <c r="M17" s="88">
        <f t="shared" si="1"/>
        <v>38806002.655303091</v>
      </c>
      <c r="N17" s="48"/>
    </row>
    <row r="18" spans="1:14" x14ac:dyDescent="0.25">
      <c r="A18" s="303" t="s">
        <v>27</v>
      </c>
      <c r="B18" s="303" t="s">
        <v>28</v>
      </c>
      <c r="C18" s="304" t="s">
        <v>446</v>
      </c>
      <c r="D18" s="304" t="s">
        <v>444</v>
      </c>
      <c r="E18" s="304">
        <v>8000</v>
      </c>
      <c r="F18" s="304">
        <v>4925</v>
      </c>
      <c r="G18" s="304">
        <v>2772</v>
      </c>
      <c r="H18" s="304">
        <v>5380</v>
      </c>
      <c r="I18" s="304">
        <f t="shared" si="0"/>
        <v>1185339.7912165707</v>
      </c>
      <c r="J18" s="305"/>
      <c r="K18" s="304" t="s">
        <v>49</v>
      </c>
      <c r="L18" s="304" t="s">
        <v>50</v>
      </c>
      <c r="M18" s="88">
        <f t="shared" si="1"/>
        <v>10013226.718691131</v>
      </c>
      <c r="N18" s="48"/>
    </row>
    <row r="19" spans="1:14" x14ac:dyDescent="0.25">
      <c r="A19" s="303" t="s">
        <v>27</v>
      </c>
      <c r="B19" s="303" t="s">
        <v>28</v>
      </c>
      <c r="C19" s="304" t="s">
        <v>443</v>
      </c>
      <c r="D19" s="304" t="s">
        <v>444</v>
      </c>
      <c r="E19" s="304">
        <v>6500</v>
      </c>
      <c r="F19" s="304">
        <v>5891</v>
      </c>
      <c r="G19" s="304">
        <v>3400</v>
      </c>
      <c r="H19" s="304">
        <v>6039</v>
      </c>
      <c r="I19" s="304">
        <f t="shared" si="0"/>
        <v>986936.44798903668</v>
      </c>
      <c r="J19" s="305"/>
      <c r="K19" s="304" t="s">
        <v>51</v>
      </c>
      <c r="L19" s="304" t="s">
        <v>52</v>
      </c>
      <c r="M19" s="88">
        <f t="shared" si="1"/>
        <v>0</v>
      </c>
      <c r="N19" s="48"/>
    </row>
    <row r="20" spans="1:14" x14ac:dyDescent="0.25">
      <c r="A20" s="303" t="s">
        <v>27</v>
      </c>
      <c r="B20" s="303" t="s">
        <v>28</v>
      </c>
      <c r="C20" s="304" t="s">
        <v>446</v>
      </c>
      <c r="D20" s="304" t="s">
        <v>444</v>
      </c>
      <c r="E20" s="304">
        <v>6000</v>
      </c>
      <c r="F20" s="304">
        <v>5265</v>
      </c>
      <c r="G20" s="304">
        <v>3582</v>
      </c>
      <c r="H20" s="304">
        <v>5484</v>
      </c>
      <c r="I20" s="304">
        <f t="shared" si="0"/>
        <v>1059253.1092903269</v>
      </c>
      <c r="J20" s="305"/>
      <c r="K20" s="304" t="s">
        <v>53</v>
      </c>
      <c r="L20" s="304" t="s">
        <v>54</v>
      </c>
      <c r="M20" s="88">
        <f t="shared" si="1"/>
        <v>21562579.511673544</v>
      </c>
      <c r="N20" s="48"/>
    </row>
    <row r="21" spans="1:14" x14ac:dyDescent="0.25">
      <c r="A21" s="303" t="s">
        <v>27</v>
      </c>
      <c r="B21" s="303" t="s">
        <v>28</v>
      </c>
      <c r="C21" s="304" t="s">
        <v>443</v>
      </c>
      <c r="D21" s="304" t="s">
        <v>444</v>
      </c>
      <c r="E21" s="304">
        <v>9130</v>
      </c>
      <c r="F21" s="304">
        <v>5279</v>
      </c>
      <c r="G21" s="304">
        <v>3140</v>
      </c>
      <c r="H21" s="304">
        <v>4852</v>
      </c>
      <c r="I21" s="304">
        <f t="shared" si="0"/>
        <v>1093256.8295183659</v>
      </c>
      <c r="J21" s="305"/>
      <c r="K21" s="304" t="s">
        <v>55</v>
      </c>
      <c r="L21" s="304" t="s">
        <v>56</v>
      </c>
      <c r="M21" s="88">
        <f t="shared" si="1"/>
        <v>10669921.172782529</v>
      </c>
      <c r="N21" s="48"/>
    </row>
    <row r="22" spans="1:14" x14ac:dyDescent="0.25">
      <c r="A22" s="303" t="s">
        <v>450</v>
      </c>
      <c r="B22" s="303" t="s">
        <v>32</v>
      </c>
      <c r="C22" s="304" t="s">
        <v>443</v>
      </c>
      <c r="D22" s="304" t="s">
        <v>444</v>
      </c>
      <c r="E22" s="304">
        <v>2000</v>
      </c>
      <c r="F22" s="304">
        <v>1343</v>
      </c>
      <c r="G22" s="304">
        <v>1252</v>
      </c>
      <c r="H22" s="304">
        <v>1416</v>
      </c>
      <c r="I22" s="304">
        <f t="shared" si="0"/>
        <v>378997.93025084451</v>
      </c>
      <c r="J22" s="305"/>
      <c r="K22" s="304" t="s">
        <v>57</v>
      </c>
      <c r="L22" s="304" t="s">
        <v>58</v>
      </c>
      <c r="M22" s="88">
        <f t="shared" si="1"/>
        <v>11127561.034141377</v>
      </c>
      <c r="N22" s="48"/>
    </row>
    <row r="23" spans="1:14" x14ac:dyDescent="0.25">
      <c r="A23" s="303" t="s">
        <v>450</v>
      </c>
      <c r="B23" s="303" t="s">
        <v>32</v>
      </c>
      <c r="C23" s="304" t="s">
        <v>443</v>
      </c>
      <c r="D23" s="304" t="s">
        <v>449</v>
      </c>
      <c r="E23" s="304">
        <v>300</v>
      </c>
      <c r="F23" s="304">
        <v>75</v>
      </c>
      <c r="G23" s="304">
        <v>75</v>
      </c>
      <c r="H23" s="304">
        <v>75</v>
      </c>
      <c r="I23" s="304">
        <f t="shared" si="0"/>
        <v>86966.755163476759</v>
      </c>
      <c r="J23" s="305"/>
      <c r="K23" s="304" t="s">
        <v>59</v>
      </c>
      <c r="L23" s="304" t="s">
        <v>60</v>
      </c>
      <c r="M23" s="88">
        <f t="shared" si="1"/>
        <v>4685115.5157179832</v>
      </c>
      <c r="N23" s="48"/>
    </row>
    <row r="24" spans="1:14" x14ac:dyDescent="0.25">
      <c r="A24" s="303" t="s">
        <v>450</v>
      </c>
      <c r="B24" s="303" t="s">
        <v>32</v>
      </c>
      <c r="C24" s="304" t="s">
        <v>443</v>
      </c>
      <c r="D24" s="304" t="s">
        <v>444</v>
      </c>
      <c r="E24" s="304">
        <v>5000</v>
      </c>
      <c r="F24" s="304">
        <v>3404</v>
      </c>
      <c r="G24" s="304">
        <v>3510</v>
      </c>
      <c r="H24" s="304">
        <v>3666</v>
      </c>
      <c r="I24" s="304">
        <f t="shared" si="0"/>
        <v>751972.99384740752</v>
      </c>
      <c r="J24" s="305"/>
      <c r="K24" s="304" t="s">
        <v>61</v>
      </c>
      <c r="L24" s="304" t="s">
        <v>62</v>
      </c>
      <c r="M24" s="88">
        <f t="shared" si="1"/>
        <v>18863559.680566125</v>
      </c>
      <c r="N24" s="48"/>
    </row>
    <row r="25" spans="1:14" x14ac:dyDescent="0.25">
      <c r="A25" s="303" t="s">
        <v>450</v>
      </c>
      <c r="B25" s="303" t="s">
        <v>32</v>
      </c>
      <c r="C25" s="304" t="s">
        <v>443</v>
      </c>
      <c r="D25" s="304" t="s">
        <v>444</v>
      </c>
      <c r="E25" s="304">
        <v>5000</v>
      </c>
      <c r="F25" s="304">
        <v>4186</v>
      </c>
      <c r="G25" s="304">
        <v>4533</v>
      </c>
      <c r="H25" s="304">
        <v>2083</v>
      </c>
      <c r="I25" s="304">
        <f t="shared" si="0"/>
        <v>806641.70521104196</v>
      </c>
      <c r="J25" s="305"/>
      <c r="K25" s="304" t="s">
        <v>63</v>
      </c>
      <c r="L25" s="304" t="s">
        <v>64</v>
      </c>
      <c r="M25" s="88">
        <f t="shared" si="1"/>
        <v>0</v>
      </c>
      <c r="N25" s="48"/>
    </row>
    <row r="26" spans="1:14" x14ac:dyDescent="0.25">
      <c r="A26" s="303" t="s">
        <v>451</v>
      </c>
      <c r="B26" s="303" t="s">
        <v>34</v>
      </c>
      <c r="C26" s="304" t="s">
        <v>446</v>
      </c>
      <c r="D26" s="304" t="s">
        <v>444</v>
      </c>
      <c r="E26" s="304">
        <v>1670000</v>
      </c>
      <c r="F26" s="304">
        <v>1209635</v>
      </c>
      <c r="G26" s="304">
        <v>1290367</v>
      </c>
      <c r="H26" s="304">
        <v>1076484</v>
      </c>
      <c r="I26" s="304">
        <f t="shared" si="0"/>
        <v>63049477.549688086</v>
      </c>
      <c r="J26" s="305"/>
      <c r="K26" s="304" t="s">
        <v>65</v>
      </c>
      <c r="L26" s="304" t="s">
        <v>66</v>
      </c>
      <c r="M26" s="88">
        <f t="shared" si="1"/>
        <v>32960227.464230631</v>
      </c>
      <c r="N26" s="48"/>
    </row>
    <row r="27" spans="1:14" x14ac:dyDescent="0.25">
      <c r="A27" s="303" t="s">
        <v>452</v>
      </c>
      <c r="B27" s="303" t="s">
        <v>36</v>
      </c>
      <c r="C27" s="304" t="s">
        <v>446</v>
      </c>
      <c r="D27" s="304" t="s">
        <v>444</v>
      </c>
      <c r="E27" s="304">
        <v>400000</v>
      </c>
      <c r="F27" s="304">
        <v>389726</v>
      </c>
      <c r="G27" s="304">
        <v>432701</v>
      </c>
      <c r="H27" s="304">
        <v>320776</v>
      </c>
      <c r="I27" s="304">
        <f t="shared" si="0"/>
        <v>24788550.460950483</v>
      </c>
      <c r="J27" s="305"/>
      <c r="K27" s="304" t="s">
        <v>67</v>
      </c>
      <c r="L27" s="304" t="s">
        <v>68</v>
      </c>
      <c r="M27" s="88">
        <f t="shared" si="1"/>
        <v>9344819.8060714826</v>
      </c>
      <c r="N27" s="48"/>
    </row>
    <row r="28" spans="1:14" x14ac:dyDescent="0.25">
      <c r="A28" s="303" t="s">
        <v>453</v>
      </c>
      <c r="B28" s="303" t="s">
        <v>38</v>
      </c>
      <c r="C28" s="304" t="s">
        <v>443</v>
      </c>
      <c r="D28" s="304" t="s">
        <v>445</v>
      </c>
      <c r="E28" s="304">
        <v>400</v>
      </c>
      <c r="F28" s="304">
        <v>247</v>
      </c>
      <c r="G28" s="304">
        <v>277</v>
      </c>
      <c r="H28" s="304">
        <v>368</v>
      </c>
      <c r="I28" s="304">
        <f t="shared" si="0"/>
        <v>136505.03583552263</v>
      </c>
      <c r="J28" s="305"/>
      <c r="K28" s="304" t="s">
        <v>69</v>
      </c>
      <c r="L28" s="304" t="s">
        <v>70</v>
      </c>
      <c r="M28" s="88">
        <f t="shared" si="1"/>
        <v>3623471.175699099</v>
      </c>
      <c r="N28" s="48"/>
    </row>
    <row r="29" spans="1:14" x14ac:dyDescent="0.25">
      <c r="A29" s="303" t="s">
        <v>453</v>
      </c>
      <c r="B29" s="303" t="s">
        <v>38</v>
      </c>
      <c r="C29" s="304" t="s">
        <v>443</v>
      </c>
      <c r="D29" s="304" t="s">
        <v>444</v>
      </c>
      <c r="E29" s="304">
        <v>14000</v>
      </c>
      <c r="F29" s="304">
        <v>3423</v>
      </c>
      <c r="G29" s="304">
        <v>5099</v>
      </c>
      <c r="H29" s="304">
        <v>4982</v>
      </c>
      <c r="I29" s="304">
        <f t="shared" si="0"/>
        <v>1345214.4214264974</v>
      </c>
      <c r="J29" s="305"/>
      <c r="K29" s="304" t="s">
        <v>71</v>
      </c>
      <c r="L29" s="304" t="s">
        <v>72</v>
      </c>
      <c r="M29" s="88">
        <f t="shared" si="1"/>
        <v>0</v>
      </c>
      <c r="N29" s="48"/>
    </row>
    <row r="30" spans="1:14" x14ac:dyDescent="0.25">
      <c r="A30" s="303" t="s">
        <v>453</v>
      </c>
      <c r="B30" s="303" t="s">
        <v>38</v>
      </c>
      <c r="C30" s="304" t="s">
        <v>443</v>
      </c>
      <c r="D30" s="304" t="s">
        <v>444</v>
      </c>
      <c r="E30" s="304">
        <v>4500</v>
      </c>
      <c r="F30" s="304">
        <v>5881</v>
      </c>
      <c r="G30" s="304">
        <v>5255</v>
      </c>
      <c r="H30" s="304">
        <v>3203</v>
      </c>
      <c r="I30" s="304">
        <f t="shared" si="0"/>
        <v>858854.77866372606</v>
      </c>
      <c r="J30" s="305"/>
      <c r="K30" s="304" t="s">
        <v>73</v>
      </c>
      <c r="L30" s="304" t="s">
        <v>74</v>
      </c>
      <c r="M30" s="88">
        <f t="shared" si="1"/>
        <v>0</v>
      </c>
      <c r="N30" s="48"/>
    </row>
    <row r="31" spans="1:14" x14ac:dyDescent="0.25">
      <c r="A31" s="303" t="s">
        <v>453</v>
      </c>
      <c r="B31" s="303" t="s">
        <v>38</v>
      </c>
      <c r="C31" s="304" t="s">
        <v>446</v>
      </c>
      <c r="D31" s="304" t="s">
        <v>444</v>
      </c>
      <c r="E31" s="304">
        <v>62500</v>
      </c>
      <c r="F31" s="304">
        <v>45305</v>
      </c>
      <c r="G31" s="304">
        <v>54501</v>
      </c>
      <c r="H31" s="304">
        <v>32740</v>
      </c>
      <c r="I31" s="304">
        <f t="shared" si="0"/>
        <v>5847344.6221409598</v>
      </c>
      <c r="J31" s="305"/>
      <c r="K31" s="304" t="s">
        <v>75</v>
      </c>
      <c r="L31" s="304" t="s">
        <v>76</v>
      </c>
      <c r="M31" s="88">
        <f t="shared" si="1"/>
        <v>0</v>
      </c>
      <c r="N31" s="48"/>
    </row>
    <row r="32" spans="1:14" x14ac:dyDescent="0.25">
      <c r="A32" s="303" t="s">
        <v>453</v>
      </c>
      <c r="B32" s="303" t="s">
        <v>38</v>
      </c>
      <c r="C32" s="304" t="s">
        <v>446</v>
      </c>
      <c r="D32" s="304" t="s">
        <v>444</v>
      </c>
      <c r="E32" s="304">
        <v>10000</v>
      </c>
      <c r="F32" s="304">
        <v>4976</v>
      </c>
      <c r="G32" s="304">
        <v>8549</v>
      </c>
      <c r="H32" s="304">
        <v>6219</v>
      </c>
      <c r="I32" s="304">
        <f t="shared" si="0"/>
        <v>1507492.1284166225</v>
      </c>
      <c r="J32" s="305"/>
      <c r="K32" s="304" t="s">
        <v>77</v>
      </c>
      <c r="L32" s="304" t="s">
        <v>78</v>
      </c>
      <c r="M32" s="88">
        <f t="shared" si="1"/>
        <v>6274941.3859684439</v>
      </c>
      <c r="N32" s="48"/>
    </row>
    <row r="33" spans="1:14" x14ac:dyDescent="0.25">
      <c r="A33" s="303" t="s">
        <v>453</v>
      </c>
      <c r="B33" s="303" t="s">
        <v>38</v>
      </c>
      <c r="C33" s="304" t="s">
        <v>443</v>
      </c>
      <c r="D33" s="304" t="s">
        <v>444</v>
      </c>
      <c r="E33" s="304">
        <v>2200</v>
      </c>
      <c r="F33" s="304">
        <v>1303</v>
      </c>
      <c r="G33" s="304">
        <v>1643</v>
      </c>
      <c r="H33" s="304">
        <v>1131</v>
      </c>
      <c r="I33" s="304">
        <f t="shared" si="0"/>
        <v>413318.73808839003</v>
      </c>
      <c r="J33" s="305"/>
      <c r="K33" s="304" t="s">
        <v>79</v>
      </c>
      <c r="L33" s="304" t="s">
        <v>80</v>
      </c>
      <c r="M33" s="88">
        <f t="shared" si="1"/>
        <v>11821580.550236523</v>
      </c>
      <c r="N33" s="48"/>
    </row>
    <row r="34" spans="1:14" x14ac:dyDescent="0.25">
      <c r="A34" s="303" t="s">
        <v>453</v>
      </c>
      <c r="B34" s="303" t="s">
        <v>38</v>
      </c>
      <c r="C34" s="304" t="s">
        <v>443</v>
      </c>
      <c r="D34" s="304" t="s">
        <v>444</v>
      </c>
      <c r="E34" s="304">
        <v>5500</v>
      </c>
      <c r="F34" s="304">
        <v>2170</v>
      </c>
      <c r="G34" s="304">
        <v>3352</v>
      </c>
      <c r="H34" s="304">
        <v>3757</v>
      </c>
      <c r="I34" s="304">
        <f t="shared" si="0"/>
        <v>789386.70182596555</v>
      </c>
      <c r="J34" s="305"/>
      <c r="K34" s="304" t="s">
        <v>81</v>
      </c>
      <c r="L34" s="304" t="s">
        <v>82</v>
      </c>
      <c r="M34" s="88">
        <f t="shared" si="1"/>
        <v>12307700.726013087</v>
      </c>
      <c r="N34" s="48"/>
    </row>
    <row r="35" spans="1:14" x14ac:dyDescent="0.25">
      <c r="A35" s="303" t="s">
        <v>454</v>
      </c>
      <c r="B35" s="303" t="s">
        <v>42</v>
      </c>
      <c r="C35" s="304" t="s">
        <v>443</v>
      </c>
      <c r="D35" s="304" t="s">
        <v>444</v>
      </c>
      <c r="E35" s="304">
        <v>10000</v>
      </c>
      <c r="F35" s="304">
        <v>6853</v>
      </c>
      <c r="G35" s="304">
        <v>7000</v>
      </c>
      <c r="H35" s="304">
        <v>6647</v>
      </c>
      <c r="I35" s="304">
        <f t="shared" si="0"/>
        <v>1234747.3362900531</v>
      </c>
      <c r="J35" s="305"/>
      <c r="K35" s="304" t="s">
        <v>83</v>
      </c>
      <c r="L35" s="304" t="s">
        <v>84</v>
      </c>
      <c r="M35" s="88">
        <f t="shared" si="1"/>
        <v>12935154.45585979</v>
      </c>
      <c r="N35" s="48"/>
    </row>
    <row r="36" spans="1:14" x14ac:dyDescent="0.25">
      <c r="A36" s="303" t="s">
        <v>454</v>
      </c>
      <c r="B36" s="303" t="s">
        <v>42</v>
      </c>
      <c r="C36" s="304" t="s">
        <v>443</v>
      </c>
      <c r="D36" s="304" t="s">
        <v>444</v>
      </c>
      <c r="E36" s="304">
        <v>36000</v>
      </c>
      <c r="F36" s="304">
        <v>28696</v>
      </c>
      <c r="G36" s="304">
        <v>29717</v>
      </c>
      <c r="H36" s="304">
        <v>26030</v>
      </c>
      <c r="I36" s="304">
        <f t="shared" si="0"/>
        <v>3340246.3703668825</v>
      </c>
      <c r="J36" s="305"/>
      <c r="K36" s="304" t="s">
        <v>85</v>
      </c>
      <c r="L36" s="304" t="s">
        <v>86</v>
      </c>
      <c r="M36" s="88">
        <f t="shared" si="1"/>
        <v>3611490.7872680537</v>
      </c>
      <c r="N36" s="48"/>
    </row>
    <row r="37" spans="1:14" x14ac:dyDescent="0.25">
      <c r="A37" s="303" t="s">
        <v>454</v>
      </c>
      <c r="B37" s="303" t="s">
        <v>42</v>
      </c>
      <c r="C37" s="304" t="s">
        <v>443</v>
      </c>
      <c r="D37" s="304" t="s">
        <v>444</v>
      </c>
      <c r="E37" s="304">
        <v>6800</v>
      </c>
      <c r="F37" s="304">
        <v>3522</v>
      </c>
      <c r="G37" s="304">
        <v>3558</v>
      </c>
      <c r="H37" s="304">
        <v>4206</v>
      </c>
      <c r="I37" s="304">
        <f t="shared" si="0"/>
        <v>896617.0849314417</v>
      </c>
      <c r="J37" s="305"/>
      <c r="K37" s="304" t="s">
        <v>87</v>
      </c>
      <c r="L37" s="304" t="s">
        <v>88</v>
      </c>
      <c r="M37" s="88">
        <f t="shared" si="1"/>
        <v>8291399.8929441702</v>
      </c>
      <c r="N37" s="48"/>
    </row>
    <row r="38" spans="1:14" x14ac:dyDescent="0.25">
      <c r="A38" s="303" t="s">
        <v>43</v>
      </c>
      <c r="B38" s="303" t="s">
        <v>44</v>
      </c>
      <c r="C38" s="304" t="s">
        <v>443</v>
      </c>
      <c r="D38" s="304" t="s">
        <v>444</v>
      </c>
      <c r="E38" s="304">
        <v>16000</v>
      </c>
      <c r="F38" s="304">
        <v>8938</v>
      </c>
      <c r="G38" s="304">
        <v>12062</v>
      </c>
      <c r="H38" s="304">
        <v>11987</v>
      </c>
      <c r="I38" s="304">
        <f t="shared" si="0"/>
        <v>1785595.1446502772</v>
      </c>
      <c r="J38" s="305"/>
      <c r="K38" s="304" t="s">
        <v>89</v>
      </c>
      <c r="L38" s="304" t="s">
        <v>90</v>
      </c>
      <c r="M38" s="88">
        <f t="shared" si="1"/>
        <v>17168980.188864954</v>
      </c>
      <c r="N38" s="48"/>
    </row>
    <row r="39" spans="1:14" x14ac:dyDescent="0.25">
      <c r="A39" s="303" t="s">
        <v>43</v>
      </c>
      <c r="B39" s="303" t="s">
        <v>44</v>
      </c>
      <c r="C39" s="304" t="s">
        <v>443</v>
      </c>
      <c r="D39" s="304" t="s">
        <v>444</v>
      </c>
      <c r="E39" s="304">
        <v>2400</v>
      </c>
      <c r="F39" s="304">
        <v>1115</v>
      </c>
      <c r="G39" s="304">
        <v>1196</v>
      </c>
      <c r="H39" s="304">
        <v>1258</v>
      </c>
      <c r="I39" s="304">
        <f t="shared" si="0"/>
        <v>398579.58977287193</v>
      </c>
      <c r="J39" s="305"/>
      <c r="K39" s="304" t="s">
        <v>91</v>
      </c>
      <c r="L39" s="304" t="s">
        <v>92</v>
      </c>
      <c r="M39" s="88">
        <f t="shared" si="1"/>
        <v>0</v>
      </c>
      <c r="N39" s="48"/>
    </row>
    <row r="40" spans="1:14" x14ac:dyDescent="0.25">
      <c r="A40" s="303" t="s">
        <v>43</v>
      </c>
      <c r="B40" s="303" t="s">
        <v>44</v>
      </c>
      <c r="C40" s="304" t="s">
        <v>443</v>
      </c>
      <c r="D40" s="304" t="s">
        <v>444</v>
      </c>
      <c r="E40" s="304">
        <v>24000</v>
      </c>
      <c r="F40" s="304">
        <v>13220</v>
      </c>
      <c r="G40" s="304">
        <v>15347</v>
      </c>
      <c r="H40" s="304">
        <v>11500</v>
      </c>
      <c r="I40" s="304">
        <f t="shared" si="0"/>
        <v>2289932.3266938678</v>
      </c>
      <c r="J40" s="305"/>
      <c r="K40" s="304" t="s">
        <v>93</v>
      </c>
      <c r="L40" s="304" t="s">
        <v>94</v>
      </c>
      <c r="M40" s="88">
        <f t="shared" si="1"/>
        <v>9882194.6014549956</v>
      </c>
      <c r="N40" s="48"/>
    </row>
    <row r="41" spans="1:14" x14ac:dyDescent="0.25">
      <c r="A41" s="303" t="s">
        <v>455</v>
      </c>
      <c r="B41" s="303" t="s">
        <v>46</v>
      </c>
      <c r="C41" s="304" t="s">
        <v>443</v>
      </c>
      <c r="D41" s="304" t="s">
        <v>448</v>
      </c>
      <c r="E41" s="304">
        <v>0</v>
      </c>
      <c r="F41" s="304">
        <v>0</v>
      </c>
      <c r="G41" s="304">
        <v>0</v>
      </c>
      <c r="H41" s="304">
        <v>0</v>
      </c>
      <c r="I41" s="304">
        <f t="shared" si="0"/>
        <v>0</v>
      </c>
      <c r="J41" s="305"/>
      <c r="K41" s="304" t="s">
        <v>95</v>
      </c>
      <c r="L41" s="304" t="s">
        <v>96</v>
      </c>
      <c r="M41" s="88">
        <f t="shared" si="1"/>
        <v>20408208.388432205</v>
      </c>
      <c r="N41" s="48"/>
    </row>
    <row r="42" spans="1:14" x14ac:dyDescent="0.25">
      <c r="A42" s="303" t="s">
        <v>455</v>
      </c>
      <c r="B42" s="303" t="s">
        <v>46</v>
      </c>
      <c r="C42" s="304" t="s">
        <v>443</v>
      </c>
      <c r="D42" s="304" t="s">
        <v>447</v>
      </c>
      <c r="E42" s="304">
        <v>0</v>
      </c>
      <c r="F42" s="304">
        <v>0</v>
      </c>
      <c r="G42" s="304">
        <v>0</v>
      </c>
      <c r="H42" s="304">
        <v>0</v>
      </c>
      <c r="I42" s="304">
        <f t="shared" si="0"/>
        <v>0</v>
      </c>
      <c r="J42" s="305"/>
      <c r="K42" s="304" t="s">
        <v>97</v>
      </c>
      <c r="L42" s="304" t="s">
        <v>98</v>
      </c>
      <c r="M42" s="88">
        <f t="shared" si="1"/>
        <v>0</v>
      </c>
      <c r="N42" s="48"/>
    </row>
    <row r="43" spans="1:14" x14ac:dyDescent="0.25">
      <c r="A43" s="303" t="s">
        <v>455</v>
      </c>
      <c r="B43" s="303" t="s">
        <v>46</v>
      </c>
      <c r="C43" s="304" t="s">
        <v>443</v>
      </c>
      <c r="D43" s="304" t="s">
        <v>444</v>
      </c>
      <c r="E43" s="304">
        <v>850</v>
      </c>
      <c r="F43" s="304">
        <v>827</v>
      </c>
      <c r="G43" s="304">
        <v>1273</v>
      </c>
      <c r="H43" s="304">
        <v>687</v>
      </c>
      <c r="I43" s="304">
        <f t="shared" si="0"/>
        <v>267056.33679864975</v>
      </c>
      <c r="J43" s="305"/>
      <c r="K43" s="304" t="s">
        <v>99</v>
      </c>
      <c r="L43" s="304" t="s">
        <v>100</v>
      </c>
      <c r="M43" s="88">
        <f t="shared" si="1"/>
        <v>0</v>
      </c>
      <c r="N43" s="48"/>
    </row>
    <row r="44" spans="1:14" x14ac:dyDescent="0.25">
      <c r="A44" s="303" t="s">
        <v>455</v>
      </c>
      <c r="B44" s="303" t="s">
        <v>46</v>
      </c>
      <c r="C44" s="304" t="s">
        <v>443</v>
      </c>
      <c r="D44" s="304" t="s">
        <v>449</v>
      </c>
      <c r="E44" s="304">
        <v>700</v>
      </c>
      <c r="F44" s="304">
        <v>306</v>
      </c>
      <c r="G44" s="304">
        <v>470</v>
      </c>
      <c r="H44" s="304">
        <v>495</v>
      </c>
      <c r="I44" s="304">
        <f t="shared" si="0"/>
        <v>180260.95919253374</v>
      </c>
      <c r="J44" s="305"/>
      <c r="K44" s="304" t="s">
        <v>101</v>
      </c>
      <c r="L44" s="304" t="s">
        <v>102</v>
      </c>
      <c r="M44" s="88">
        <f t="shared" si="1"/>
        <v>0</v>
      </c>
      <c r="N44" s="48"/>
    </row>
    <row r="45" spans="1:14" x14ac:dyDescent="0.25">
      <c r="A45" s="303" t="s">
        <v>455</v>
      </c>
      <c r="B45" s="303" t="s">
        <v>46</v>
      </c>
      <c r="C45" s="304" t="s">
        <v>443</v>
      </c>
      <c r="D45" s="304" t="s">
        <v>444</v>
      </c>
      <c r="E45" s="304">
        <v>3000</v>
      </c>
      <c r="F45" s="304">
        <v>1329</v>
      </c>
      <c r="G45" s="304">
        <v>1700</v>
      </c>
      <c r="H45" s="304">
        <v>2100</v>
      </c>
      <c r="I45" s="304">
        <f t="shared" si="0"/>
        <v>509025.26820011489</v>
      </c>
      <c r="J45" s="305"/>
      <c r="K45" s="304" t="s">
        <v>103</v>
      </c>
      <c r="L45" s="304" t="s">
        <v>104</v>
      </c>
      <c r="M45" s="88">
        <f t="shared" si="1"/>
        <v>0</v>
      </c>
      <c r="N45" s="48"/>
    </row>
    <row r="46" spans="1:14" x14ac:dyDescent="0.25">
      <c r="A46" s="303" t="s">
        <v>455</v>
      </c>
      <c r="B46" s="303" t="s">
        <v>46</v>
      </c>
      <c r="C46" s="304" t="s">
        <v>443</v>
      </c>
      <c r="D46" s="304" t="s">
        <v>447</v>
      </c>
      <c r="E46" s="304">
        <v>0</v>
      </c>
      <c r="F46" s="304">
        <v>0</v>
      </c>
      <c r="G46" s="304">
        <v>0</v>
      </c>
      <c r="H46" s="304">
        <v>0</v>
      </c>
      <c r="I46" s="304">
        <f t="shared" si="0"/>
        <v>0</v>
      </c>
      <c r="J46" s="305"/>
      <c r="K46" s="304" t="s">
        <v>105</v>
      </c>
      <c r="L46" s="304" t="s">
        <v>106</v>
      </c>
      <c r="M46" s="88">
        <f t="shared" si="1"/>
        <v>0</v>
      </c>
      <c r="N46" s="48"/>
    </row>
    <row r="47" spans="1:14" x14ac:dyDescent="0.25">
      <c r="A47" s="303" t="s">
        <v>455</v>
      </c>
      <c r="B47" s="303" t="s">
        <v>46</v>
      </c>
      <c r="C47" s="304" t="s">
        <v>446</v>
      </c>
      <c r="D47" s="304" t="s">
        <v>444</v>
      </c>
      <c r="E47" s="304">
        <v>6000</v>
      </c>
      <c r="F47" s="304">
        <v>4156</v>
      </c>
      <c r="G47" s="304">
        <v>6157</v>
      </c>
      <c r="H47" s="304">
        <v>4892</v>
      </c>
      <c r="I47" s="304">
        <f t="shared" si="0"/>
        <v>1104595.849102892</v>
      </c>
      <c r="J47" s="305"/>
      <c r="K47" s="304" t="s">
        <v>107</v>
      </c>
      <c r="L47" s="304" t="s">
        <v>108</v>
      </c>
      <c r="M47" s="88">
        <f t="shared" si="1"/>
        <v>11945752.45043646</v>
      </c>
      <c r="N47" s="48"/>
    </row>
    <row r="48" spans="1:14" x14ac:dyDescent="0.25">
      <c r="A48" s="303" t="s">
        <v>455</v>
      </c>
      <c r="B48" s="303" t="s">
        <v>46</v>
      </c>
      <c r="C48" s="304" t="s">
        <v>443</v>
      </c>
      <c r="D48" s="304" t="s">
        <v>444</v>
      </c>
      <c r="E48" s="304">
        <v>3500</v>
      </c>
      <c r="F48" s="304">
        <v>1985</v>
      </c>
      <c r="G48" s="304">
        <v>2372</v>
      </c>
      <c r="H48" s="304">
        <v>2468</v>
      </c>
      <c r="I48" s="304">
        <f t="shared" si="0"/>
        <v>571449.29234992643</v>
      </c>
      <c r="J48" s="305"/>
      <c r="K48" s="304" t="s">
        <v>109</v>
      </c>
      <c r="L48" s="304" t="s">
        <v>110</v>
      </c>
      <c r="M48" s="88">
        <f t="shared" si="1"/>
        <v>25238533.782581199</v>
      </c>
      <c r="N48" s="48"/>
    </row>
    <row r="49" spans="1:14" x14ac:dyDescent="0.25">
      <c r="A49" s="303" t="s">
        <v>455</v>
      </c>
      <c r="B49" s="303" t="s">
        <v>46</v>
      </c>
      <c r="C49" s="304" t="s">
        <v>443</v>
      </c>
      <c r="D49" s="304" t="s">
        <v>456</v>
      </c>
      <c r="E49" s="304">
        <v>0</v>
      </c>
      <c r="F49" s="304">
        <v>0</v>
      </c>
      <c r="G49" s="304">
        <v>0</v>
      </c>
      <c r="H49" s="304">
        <v>0</v>
      </c>
      <c r="I49" s="304">
        <f t="shared" si="0"/>
        <v>0</v>
      </c>
      <c r="J49" s="305"/>
      <c r="K49" s="304" t="s">
        <v>111</v>
      </c>
      <c r="L49" s="304" t="s">
        <v>112</v>
      </c>
      <c r="M49" s="88">
        <f t="shared" si="1"/>
        <v>1296372.3301353068</v>
      </c>
      <c r="N49" s="48"/>
    </row>
    <row r="50" spans="1:14" x14ac:dyDescent="0.25">
      <c r="A50" s="303" t="s">
        <v>455</v>
      </c>
      <c r="B50" s="303" t="s">
        <v>46</v>
      </c>
      <c r="C50" s="304" t="s">
        <v>443</v>
      </c>
      <c r="D50" s="304" t="s">
        <v>449</v>
      </c>
      <c r="E50" s="304">
        <v>0</v>
      </c>
      <c r="F50" s="304">
        <v>0</v>
      </c>
      <c r="G50" s="304">
        <v>0</v>
      </c>
      <c r="H50" s="304">
        <v>0</v>
      </c>
      <c r="I50" s="304">
        <f t="shared" si="0"/>
        <v>0</v>
      </c>
      <c r="J50" s="305"/>
      <c r="K50" s="304" t="s">
        <v>113</v>
      </c>
      <c r="L50" s="304" t="s">
        <v>114</v>
      </c>
      <c r="M50" s="88">
        <f t="shared" si="1"/>
        <v>4711467.5769842537</v>
      </c>
      <c r="N50" s="48"/>
    </row>
    <row r="51" spans="1:14" x14ac:dyDescent="0.25">
      <c r="A51" s="303" t="s">
        <v>455</v>
      </c>
      <c r="B51" s="303" t="s">
        <v>46</v>
      </c>
      <c r="C51" s="304" t="s">
        <v>443</v>
      </c>
      <c r="D51" s="304" t="s">
        <v>449</v>
      </c>
      <c r="E51" s="304">
        <v>0</v>
      </c>
      <c r="F51" s="304">
        <v>0</v>
      </c>
      <c r="G51" s="304">
        <v>0</v>
      </c>
      <c r="H51" s="304">
        <v>0</v>
      </c>
      <c r="I51" s="304">
        <f t="shared" si="0"/>
        <v>0</v>
      </c>
      <c r="J51" s="305"/>
      <c r="K51" s="304" t="s">
        <v>115</v>
      </c>
      <c r="L51" s="304" t="s">
        <v>116</v>
      </c>
      <c r="M51" s="88">
        <f t="shared" si="1"/>
        <v>6842079.4690800495</v>
      </c>
      <c r="N51" s="48"/>
    </row>
    <row r="52" spans="1:14" x14ac:dyDescent="0.25">
      <c r="A52" s="303" t="s">
        <v>455</v>
      </c>
      <c r="B52" s="303" t="s">
        <v>46</v>
      </c>
      <c r="C52" s="304" t="s">
        <v>443</v>
      </c>
      <c r="D52" s="304" t="s">
        <v>444</v>
      </c>
      <c r="E52" s="304">
        <v>850</v>
      </c>
      <c r="F52" s="304">
        <v>1093</v>
      </c>
      <c r="G52" s="304">
        <v>1861</v>
      </c>
      <c r="H52" s="304">
        <v>1199</v>
      </c>
      <c r="I52" s="304">
        <f t="shared" si="0"/>
        <v>319706.16922747472</v>
      </c>
      <c r="J52" s="305"/>
      <c r="K52" s="304" t="s">
        <v>117</v>
      </c>
      <c r="L52" s="304" t="s">
        <v>118</v>
      </c>
      <c r="M52" s="88">
        <f t="shared" si="1"/>
        <v>0</v>
      </c>
      <c r="N52" s="48"/>
    </row>
    <row r="53" spans="1:14" x14ac:dyDescent="0.25">
      <c r="A53" s="303" t="s">
        <v>455</v>
      </c>
      <c r="B53" s="303" t="s">
        <v>46</v>
      </c>
      <c r="C53" s="304" t="s">
        <v>443</v>
      </c>
      <c r="D53" s="304" t="s">
        <v>456</v>
      </c>
      <c r="E53" s="304">
        <v>70</v>
      </c>
      <c r="F53" s="304">
        <v>0</v>
      </c>
      <c r="G53" s="304">
        <v>0</v>
      </c>
      <c r="H53" s="304">
        <v>0</v>
      </c>
      <c r="I53" s="304">
        <f t="shared" si="0"/>
        <v>20278.486254807827</v>
      </c>
      <c r="J53" s="305"/>
      <c r="K53" s="304" t="s">
        <v>119</v>
      </c>
      <c r="L53" s="304" t="s">
        <v>120</v>
      </c>
      <c r="M53" s="88">
        <f t="shared" si="1"/>
        <v>9259982.2716479823</v>
      </c>
      <c r="N53" s="48"/>
    </row>
    <row r="54" spans="1:14" x14ac:dyDescent="0.25">
      <c r="A54" s="303" t="s">
        <v>455</v>
      </c>
      <c r="B54" s="303" t="s">
        <v>46</v>
      </c>
      <c r="C54" s="304" t="s">
        <v>443</v>
      </c>
      <c r="D54" s="304" t="s">
        <v>444</v>
      </c>
      <c r="E54" s="304">
        <v>0</v>
      </c>
      <c r="F54" s="304">
        <v>0</v>
      </c>
      <c r="G54" s="304">
        <v>0</v>
      </c>
      <c r="H54" s="304">
        <v>0</v>
      </c>
      <c r="I54" s="304">
        <f t="shared" si="0"/>
        <v>0</v>
      </c>
      <c r="J54" s="305"/>
      <c r="K54" s="304" t="s">
        <v>121</v>
      </c>
      <c r="L54" s="304" t="s">
        <v>122</v>
      </c>
      <c r="M54" s="88">
        <f t="shared" si="1"/>
        <v>6641051.1285171444</v>
      </c>
      <c r="N54" s="48"/>
    </row>
    <row r="55" spans="1:14" x14ac:dyDescent="0.25">
      <c r="A55" s="303" t="s">
        <v>455</v>
      </c>
      <c r="B55" s="303" t="s">
        <v>46</v>
      </c>
      <c r="C55" s="304" t="s">
        <v>443</v>
      </c>
      <c r="D55" s="304" t="s">
        <v>444</v>
      </c>
      <c r="E55" s="304">
        <v>15000</v>
      </c>
      <c r="F55" s="304">
        <v>10836</v>
      </c>
      <c r="G55" s="304">
        <v>12826</v>
      </c>
      <c r="H55" s="304">
        <v>8783</v>
      </c>
      <c r="I55" s="304">
        <f t="shared" si="0"/>
        <v>1774530.4927172521</v>
      </c>
      <c r="J55" s="305"/>
      <c r="K55" s="304" t="s">
        <v>123</v>
      </c>
      <c r="L55" s="304" t="s">
        <v>124</v>
      </c>
      <c r="M55" s="88">
        <f t="shared" si="1"/>
        <v>0</v>
      </c>
      <c r="N55" s="48"/>
    </row>
    <row r="56" spans="1:14" x14ac:dyDescent="0.25">
      <c r="A56" s="303" t="s">
        <v>455</v>
      </c>
      <c r="B56" s="303" t="s">
        <v>46</v>
      </c>
      <c r="C56" s="304" t="s">
        <v>443</v>
      </c>
      <c r="D56" s="304" t="s">
        <v>447</v>
      </c>
      <c r="E56" s="304">
        <v>3150</v>
      </c>
      <c r="F56" s="304">
        <v>848</v>
      </c>
      <c r="G56" s="304">
        <v>1116</v>
      </c>
      <c r="H56" s="304">
        <v>1346</v>
      </c>
      <c r="I56" s="304">
        <f t="shared" si="0"/>
        <v>414770.12134851312</v>
      </c>
      <c r="J56" s="305"/>
      <c r="K56" s="304" t="s">
        <v>125</v>
      </c>
      <c r="L56" s="304" t="s">
        <v>126</v>
      </c>
      <c r="M56" s="88">
        <f t="shared" si="1"/>
        <v>3587981.0905555654</v>
      </c>
      <c r="N56" s="48"/>
    </row>
    <row r="57" spans="1:14" x14ac:dyDescent="0.25">
      <c r="A57" s="303" t="s">
        <v>455</v>
      </c>
      <c r="B57" s="303" t="s">
        <v>46</v>
      </c>
      <c r="C57" s="304" t="s">
        <v>443</v>
      </c>
      <c r="D57" s="304" t="s">
        <v>444</v>
      </c>
      <c r="E57" s="304">
        <v>4400</v>
      </c>
      <c r="F57" s="304">
        <v>1488</v>
      </c>
      <c r="G57" s="304">
        <v>1841</v>
      </c>
      <c r="H57" s="304">
        <v>3205</v>
      </c>
      <c r="I57" s="304">
        <f t="shared" si="0"/>
        <v>683056.638524284</v>
      </c>
      <c r="J57" s="305"/>
      <c r="K57" s="304" t="s">
        <v>127</v>
      </c>
      <c r="L57" s="304" t="s">
        <v>128</v>
      </c>
      <c r="M57" s="88">
        <f t="shared" si="1"/>
        <v>15815616.397516036</v>
      </c>
      <c r="N57" s="48"/>
    </row>
    <row r="58" spans="1:14" x14ac:dyDescent="0.25">
      <c r="A58" s="303" t="s">
        <v>455</v>
      </c>
      <c r="B58" s="303" t="s">
        <v>46</v>
      </c>
      <c r="C58" s="304" t="s">
        <v>443</v>
      </c>
      <c r="D58" s="304" t="s">
        <v>456</v>
      </c>
      <c r="E58" s="304">
        <v>0</v>
      </c>
      <c r="F58" s="304">
        <v>0</v>
      </c>
      <c r="G58" s="304">
        <v>0</v>
      </c>
      <c r="H58" s="304">
        <v>0</v>
      </c>
      <c r="I58" s="304">
        <f t="shared" si="0"/>
        <v>0</v>
      </c>
      <c r="J58" s="305"/>
      <c r="K58" s="304" t="s">
        <v>129</v>
      </c>
      <c r="L58" s="304" t="s">
        <v>130</v>
      </c>
      <c r="M58" s="88">
        <f t="shared" si="1"/>
        <v>10753819.601891862</v>
      </c>
      <c r="N58" s="48"/>
    </row>
    <row r="59" spans="1:14" x14ac:dyDescent="0.25">
      <c r="A59" s="303" t="s">
        <v>455</v>
      </c>
      <c r="B59" s="303" t="s">
        <v>46</v>
      </c>
      <c r="C59" s="304" t="s">
        <v>443</v>
      </c>
      <c r="D59" s="304" t="s">
        <v>444</v>
      </c>
      <c r="E59" s="304">
        <v>80000</v>
      </c>
      <c r="F59" s="304">
        <v>66850</v>
      </c>
      <c r="G59" s="304">
        <v>82974</v>
      </c>
      <c r="H59" s="304">
        <v>66331</v>
      </c>
      <c r="I59" s="304">
        <f t="shared" si="0"/>
        <v>6517586.1277360953</v>
      </c>
      <c r="J59" s="305"/>
      <c r="K59" s="304" t="s">
        <v>131</v>
      </c>
      <c r="L59" s="304" t="s">
        <v>132</v>
      </c>
      <c r="M59" s="88">
        <f t="shared" si="1"/>
        <v>5794746.4365894897</v>
      </c>
      <c r="N59" s="48"/>
    </row>
    <row r="60" spans="1:14" x14ac:dyDescent="0.25">
      <c r="A60" s="303" t="s">
        <v>455</v>
      </c>
      <c r="B60" s="303" t="s">
        <v>46</v>
      </c>
      <c r="C60" s="304" t="s">
        <v>443</v>
      </c>
      <c r="D60" s="304" t="s">
        <v>456</v>
      </c>
      <c r="E60" s="304">
        <v>0</v>
      </c>
      <c r="F60" s="304">
        <v>0</v>
      </c>
      <c r="G60" s="304">
        <v>0</v>
      </c>
      <c r="H60" s="304">
        <v>0</v>
      </c>
      <c r="I60" s="304">
        <f t="shared" si="0"/>
        <v>0</v>
      </c>
      <c r="J60" s="305"/>
      <c r="K60" s="304" t="s">
        <v>133</v>
      </c>
      <c r="L60" s="304" t="s">
        <v>134</v>
      </c>
      <c r="M60" s="88">
        <f>SUMIF(B:B,L60,I:I)</f>
        <v>10441898.795867827</v>
      </c>
      <c r="N60" s="48"/>
    </row>
    <row r="61" spans="1:14" x14ac:dyDescent="0.25">
      <c r="A61" s="303" t="s">
        <v>455</v>
      </c>
      <c r="B61" s="303" t="s">
        <v>46</v>
      </c>
      <c r="C61" s="304" t="s">
        <v>446</v>
      </c>
      <c r="D61" s="304" t="s">
        <v>444</v>
      </c>
      <c r="E61" s="304">
        <v>80000</v>
      </c>
      <c r="F61" s="304">
        <v>17329</v>
      </c>
      <c r="G61" s="304">
        <v>17979</v>
      </c>
      <c r="H61" s="304">
        <v>14336</v>
      </c>
      <c r="I61" s="304">
        <f t="shared" si="0"/>
        <v>5131508.5176773313</v>
      </c>
      <c r="J61" s="305"/>
      <c r="K61" s="304" t="s">
        <v>135</v>
      </c>
      <c r="L61" s="304" t="s">
        <v>136</v>
      </c>
      <c r="M61" s="88">
        <f t="shared" si="1"/>
        <v>11008932.815890033</v>
      </c>
      <c r="N61" s="48"/>
    </row>
    <row r="62" spans="1:14" x14ac:dyDescent="0.25">
      <c r="A62" s="303" t="s">
        <v>455</v>
      </c>
      <c r="B62" s="303" t="s">
        <v>46</v>
      </c>
      <c r="C62" s="304" t="s">
        <v>443</v>
      </c>
      <c r="D62" s="304" t="s">
        <v>444</v>
      </c>
      <c r="E62" s="304">
        <v>7100</v>
      </c>
      <c r="F62" s="304">
        <v>5215</v>
      </c>
      <c r="G62" s="304">
        <v>4624</v>
      </c>
      <c r="H62" s="304">
        <v>5217</v>
      </c>
      <c r="I62" s="304">
        <f t="shared" si="0"/>
        <v>974045.68929383473</v>
      </c>
      <c r="J62" s="305"/>
      <c r="K62" s="304" t="s">
        <v>137</v>
      </c>
      <c r="L62" s="304" t="s">
        <v>138</v>
      </c>
      <c r="M62" s="88">
        <f t="shared" si="1"/>
        <v>0</v>
      </c>
      <c r="N62" s="48"/>
    </row>
    <row r="63" spans="1:14" x14ac:dyDescent="0.25">
      <c r="A63" s="303" t="s">
        <v>47</v>
      </c>
      <c r="B63" s="303" t="s">
        <v>48</v>
      </c>
      <c r="C63" s="304" t="s">
        <v>446</v>
      </c>
      <c r="D63" s="304" t="s">
        <v>444</v>
      </c>
      <c r="E63" s="304">
        <v>2000</v>
      </c>
      <c r="F63" s="304">
        <v>1362.98</v>
      </c>
      <c r="G63" s="304">
        <v>2852.56</v>
      </c>
      <c r="H63" s="304">
        <v>1860.08</v>
      </c>
      <c r="I63" s="304">
        <f t="shared" si="0"/>
        <v>561882.82448524341</v>
      </c>
      <c r="J63" s="305"/>
      <c r="K63" s="304" t="s">
        <v>139</v>
      </c>
      <c r="L63" s="304" t="s">
        <v>140</v>
      </c>
      <c r="M63" s="88">
        <f t="shared" si="1"/>
        <v>7560745.4550563265</v>
      </c>
      <c r="N63" s="48"/>
    </row>
    <row r="64" spans="1:14" x14ac:dyDescent="0.25">
      <c r="A64" s="303" t="s">
        <v>47</v>
      </c>
      <c r="B64" s="303" t="s">
        <v>48</v>
      </c>
      <c r="C64" s="304" t="s">
        <v>443</v>
      </c>
      <c r="D64" s="304" t="s">
        <v>444</v>
      </c>
      <c r="E64" s="304">
        <v>8000</v>
      </c>
      <c r="F64" s="304">
        <v>1453.4</v>
      </c>
      <c r="G64" s="304">
        <v>2814.6</v>
      </c>
      <c r="H64" s="304">
        <v>1744.81</v>
      </c>
      <c r="I64" s="304">
        <f t="shared" si="0"/>
        <v>885114.36856302584</v>
      </c>
      <c r="J64" s="305"/>
      <c r="K64" s="304" t="s">
        <v>141</v>
      </c>
      <c r="L64" s="304" t="s">
        <v>142</v>
      </c>
      <c r="M64" s="88">
        <f t="shared" si="1"/>
        <v>7573227.0398622863</v>
      </c>
      <c r="N64" s="48"/>
    </row>
    <row r="65" spans="1:14" x14ac:dyDescent="0.25">
      <c r="A65" s="303" t="s">
        <v>47</v>
      </c>
      <c r="B65" s="303" t="s">
        <v>48</v>
      </c>
      <c r="C65" s="304" t="s">
        <v>443</v>
      </c>
      <c r="D65" s="304" t="s">
        <v>445</v>
      </c>
      <c r="E65" s="304">
        <v>3000</v>
      </c>
      <c r="F65" s="304">
        <v>510.24</v>
      </c>
      <c r="G65" s="304">
        <v>734.48</v>
      </c>
      <c r="H65" s="304">
        <v>690.27</v>
      </c>
      <c r="I65" s="304">
        <f t="shared" si="0"/>
        <v>369080.02025963977</v>
      </c>
      <c r="J65" s="305"/>
      <c r="K65" s="304" t="s">
        <v>143</v>
      </c>
      <c r="L65" s="304" t="s">
        <v>144</v>
      </c>
      <c r="M65" s="88">
        <f t="shared" si="1"/>
        <v>9201006.9766087197</v>
      </c>
      <c r="N65" s="48"/>
    </row>
    <row r="66" spans="1:14" x14ac:dyDescent="0.25">
      <c r="A66" s="303" t="s">
        <v>47</v>
      </c>
      <c r="B66" s="303" t="s">
        <v>48</v>
      </c>
      <c r="C66" s="304" t="s">
        <v>443</v>
      </c>
      <c r="D66" s="304" t="s">
        <v>444</v>
      </c>
      <c r="E66" s="304">
        <v>23500</v>
      </c>
      <c r="F66" s="304">
        <v>14065.93</v>
      </c>
      <c r="G66" s="304">
        <v>12944.92</v>
      </c>
      <c r="H66" s="304">
        <v>10550.43</v>
      </c>
      <c r="I66" s="304">
        <f t="shared" si="0"/>
        <v>2213177.1743184072</v>
      </c>
      <c r="J66" s="305"/>
      <c r="K66" s="304" t="s">
        <v>145</v>
      </c>
      <c r="L66" s="304" t="s">
        <v>146</v>
      </c>
      <c r="M66" s="88">
        <f t="shared" si="1"/>
        <v>12604848.99862038</v>
      </c>
      <c r="N66" s="48"/>
    </row>
    <row r="67" spans="1:14" x14ac:dyDescent="0.25">
      <c r="A67" s="303" t="s">
        <v>47</v>
      </c>
      <c r="B67" s="303" t="s">
        <v>48</v>
      </c>
      <c r="C67" s="304" t="s">
        <v>443</v>
      </c>
      <c r="D67" s="304" t="s">
        <v>448</v>
      </c>
      <c r="E67" s="304">
        <v>4000</v>
      </c>
      <c r="F67" s="304">
        <v>991.14</v>
      </c>
      <c r="G67" s="304">
        <v>1296.1600000000001</v>
      </c>
      <c r="H67" s="304">
        <v>1303.18</v>
      </c>
      <c r="I67" s="304">
        <f t="shared" ref="I67:I130" si="2">IF(D67="M",(AVERAGE(E67,MAX(F67:H67))^0.519)*3203.7913,IF(OR(D67="MB",D67="MK",D67="MBK",D67="MBN"),(AVERAGE(E67,MAX(F67:H67))^0.6289)*3234.9142,IF(AND(C67="Landzone og sommerhusområde",OR(D67="MBNKD",D67="MBNK/MBND")),(AVERAGE(E67,MAX(F67:H67))^0.736)*1583.1635,IF(AND(C67="Byzone",OR(D67="MBNKD",D67="MBNK/MBND")),(AVERAGE(E67,MAX(F67:H67))^0.736)*1812.7138,0))))</f>
        <v>523873.53428605711</v>
      </c>
      <c r="J67" s="305"/>
      <c r="K67" s="304" t="s">
        <v>147</v>
      </c>
      <c r="L67" s="304" t="s">
        <v>148</v>
      </c>
      <c r="M67" s="88">
        <f t="shared" si="1"/>
        <v>5692149.90489545</v>
      </c>
      <c r="N67" s="48"/>
    </row>
    <row r="68" spans="1:14" x14ac:dyDescent="0.25">
      <c r="A68" s="303" t="s">
        <v>47</v>
      </c>
      <c r="B68" s="303" t="s">
        <v>48</v>
      </c>
      <c r="C68" s="304" t="s">
        <v>443</v>
      </c>
      <c r="D68" s="304" t="s">
        <v>456</v>
      </c>
      <c r="E68" s="304">
        <v>320</v>
      </c>
      <c r="F68" s="304">
        <v>33.270000000000003</v>
      </c>
      <c r="G68" s="304">
        <v>35.979999999999997</v>
      </c>
      <c r="H68" s="304">
        <v>65.59</v>
      </c>
      <c r="I68" s="304">
        <f t="shared" si="2"/>
        <v>49161.929601783719</v>
      </c>
      <c r="J68" s="305"/>
      <c r="K68" s="304" t="s">
        <v>149</v>
      </c>
      <c r="L68" s="304" t="s">
        <v>150</v>
      </c>
      <c r="M68" s="88">
        <f t="shared" ref="M68:M103" si="3">SUMIF(B:B,L68,I:I)</f>
        <v>9427208.0862832833</v>
      </c>
      <c r="N68" s="48"/>
    </row>
    <row r="69" spans="1:14" x14ac:dyDescent="0.25">
      <c r="A69" s="303" t="s">
        <v>47</v>
      </c>
      <c r="B69" s="303" t="s">
        <v>48</v>
      </c>
      <c r="C69" s="304" t="s">
        <v>446</v>
      </c>
      <c r="D69" s="304" t="s">
        <v>444</v>
      </c>
      <c r="E69" s="304">
        <v>290000</v>
      </c>
      <c r="F69" s="304">
        <v>161957.1</v>
      </c>
      <c r="G69" s="304">
        <v>148559.29999999999</v>
      </c>
      <c r="H69" s="304">
        <v>92288.81</v>
      </c>
      <c r="I69" s="304">
        <f t="shared" si="2"/>
        <v>15809666.662629345</v>
      </c>
      <c r="J69" s="305"/>
      <c r="K69" s="304" t="s">
        <v>151</v>
      </c>
      <c r="L69" s="304" t="s">
        <v>152</v>
      </c>
      <c r="M69" s="88">
        <f t="shared" si="3"/>
        <v>11608068.786383122</v>
      </c>
      <c r="N69" s="48"/>
    </row>
    <row r="70" spans="1:14" x14ac:dyDescent="0.25">
      <c r="A70" s="303" t="s">
        <v>47</v>
      </c>
      <c r="B70" s="303" t="s">
        <v>48</v>
      </c>
      <c r="C70" s="304" t="s">
        <v>443</v>
      </c>
      <c r="D70" s="304" t="s">
        <v>448</v>
      </c>
      <c r="E70" s="304">
        <v>4500</v>
      </c>
      <c r="F70" s="304">
        <v>1120.1099999999999</v>
      </c>
      <c r="G70" s="304">
        <v>1182.3</v>
      </c>
      <c r="H70" s="304">
        <v>1495.56</v>
      </c>
      <c r="I70" s="304">
        <f t="shared" si="2"/>
        <v>573390.36420433433</v>
      </c>
      <c r="J70" s="305"/>
      <c r="K70" s="304" t="s">
        <v>153</v>
      </c>
      <c r="L70" s="304" t="s">
        <v>154</v>
      </c>
      <c r="M70" s="88">
        <f t="shared" si="3"/>
        <v>3680286.7384799505</v>
      </c>
      <c r="N70" s="48"/>
    </row>
    <row r="71" spans="1:14" x14ac:dyDescent="0.25">
      <c r="A71" s="303" t="s">
        <v>47</v>
      </c>
      <c r="B71" s="303" t="s">
        <v>48</v>
      </c>
      <c r="C71" s="304" t="s">
        <v>443</v>
      </c>
      <c r="D71" s="304" t="s">
        <v>444</v>
      </c>
      <c r="E71" s="304">
        <v>9100</v>
      </c>
      <c r="F71" s="304">
        <v>4131.5</v>
      </c>
      <c r="G71" s="304">
        <v>4374.1499999999996</v>
      </c>
      <c r="H71" s="304">
        <v>4105.95</v>
      </c>
      <c r="I71" s="304">
        <f t="shared" si="2"/>
        <v>1040592.5345861423</v>
      </c>
      <c r="J71" s="305"/>
      <c r="K71" s="304" t="s">
        <v>155</v>
      </c>
      <c r="L71" s="304" t="s">
        <v>156</v>
      </c>
      <c r="M71" s="88">
        <f t="shared" si="3"/>
        <v>6213106.9140753169</v>
      </c>
      <c r="N71" s="48"/>
    </row>
    <row r="72" spans="1:14" x14ac:dyDescent="0.25">
      <c r="A72" s="303" t="s">
        <v>47</v>
      </c>
      <c r="B72" s="303" t="s">
        <v>48</v>
      </c>
      <c r="C72" s="304" t="s">
        <v>443</v>
      </c>
      <c r="D72" s="304" t="s">
        <v>444</v>
      </c>
      <c r="E72" s="304">
        <v>32000</v>
      </c>
      <c r="F72" s="304">
        <v>35896</v>
      </c>
      <c r="G72" s="304">
        <v>37387.269999999997</v>
      </c>
      <c r="H72" s="304">
        <v>29529.759999999998</v>
      </c>
      <c r="I72" s="304">
        <f t="shared" si="2"/>
        <v>3476559.1685815942</v>
      </c>
      <c r="J72" s="305"/>
      <c r="K72" s="304" t="s">
        <v>157</v>
      </c>
      <c r="L72" s="304" t="s">
        <v>158</v>
      </c>
      <c r="M72" s="88">
        <f t="shared" si="3"/>
        <v>15467496.765777569</v>
      </c>
      <c r="N72" s="48"/>
    </row>
    <row r="73" spans="1:14" x14ac:dyDescent="0.25">
      <c r="A73" s="303" t="s">
        <v>47</v>
      </c>
      <c r="B73" s="303" t="s">
        <v>48</v>
      </c>
      <c r="C73" s="304" t="s">
        <v>443</v>
      </c>
      <c r="D73" s="304" t="s">
        <v>445</v>
      </c>
      <c r="E73" s="304">
        <v>3000</v>
      </c>
      <c r="F73" s="304">
        <v>1942.46</v>
      </c>
      <c r="G73" s="304">
        <v>1764.02</v>
      </c>
      <c r="H73" s="304">
        <v>1191.45</v>
      </c>
      <c r="I73" s="304">
        <f t="shared" si="2"/>
        <v>440216.0345588224</v>
      </c>
      <c r="J73" s="305"/>
      <c r="K73" s="304" t="s">
        <v>159</v>
      </c>
      <c r="L73" s="304" t="s">
        <v>160</v>
      </c>
      <c r="M73" s="88">
        <f t="shared" si="3"/>
        <v>2210466.6871675509</v>
      </c>
      <c r="N73" s="48"/>
    </row>
    <row r="74" spans="1:14" x14ac:dyDescent="0.25">
      <c r="A74" s="303" t="s">
        <v>47</v>
      </c>
      <c r="B74" s="303" t="s">
        <v>48</v>
      </c>
      <c r="C74" s="304" t="s">
        <v>446</v>
      </c>
      <c r="D74" s="304" t="s">
        <v>444</v>
      </c>
      <c r="E74" s="304">
        <v>25000</v>
      </c>
      <c r="F74" s="304">
        <v>19494.89</v>
      </c>
      <c r="G74" s="304">
        <v>20021.73</v>
      </c>
      <c r="H74" s="304">
        <v>14530.39</v>
      </c>
      <c r="I74" s="304">
        <f t="shared" si="2"/>
        <v>2895275.4513715412</v>
      </c>
      <c r="J74" s="305"/>
      <c r="K74" s="304" t="s">
        <v>161</v>
      </c>
      <c r="L74" s="304" t="s">
        <v>162</v>
      </c>
      <c r="M74" s="88">
        <f t="shared" si="3"/>
        <v>0</v>
      </c>
      <c r="N74" s="48"/>
    </row>
    <row r="75" spans="1:14" x14ac:dyDescent="0.25">
      <c r="A75" s="303" t="s">
        <v>47</v>
      </c>
      <c r="B75" s="303" t="s">
        <v>48</v>
      </c>
      <c r="C75" s="304" t="s">
        <v>443</v>
      </c>
      <c r="D75" s="304" t="s">
        <v>444</v>
      </c>
      <c r="E75" s="304">
        <v>3150</v>
      </c>
      <c r="F75" s="304">
        <v>1300.3900000000001</v>
      </c>
      <c r="G75" s="304">
        <v>1663.96</v>
      </c>
      <c r="H75" s="304">
        <v>1945.02</v>
      </c>
      <c r="I75" s="304">
        <f t="shared" si="2"/>
        <v>508659.39355023816</v>
      </c>
      <c r="J75" s="305"/>
      <c r="K75" s="304" t="s">
        <v>163</v>
      </c>
      <c r="L75" s="304" t="s">
        <v>164</v>
      </c>
      <c r="M75" s="88">
        <f t="shared" si="3"/>
        <v>10268268.47354883</v>
      </c>
      <c r="N75" s="48"/>
    </row>
    <row r="76" spans="1:14" x14ac:dyDescent="0.25">
      <c r="A76" s="303" t="s">
        <v>47</v>
      </c>
      <c r="B76" s="303" t="s">
        <v>48</v>
      </c>
      <c r="C76" s="304" t="s">
        <v>446</v>
      </c>
      <c r="D76" s="304" t="s">
        <v>444</v>
      </c>
      <c r="E76" s="304">
        <v>125000</v>
      </c>
      <c r="F76" s="304">
        <v>49040.93</v>
      </c>
      <c r="G76" s="304">
        <v>53079.31</v>
      </c>
      <c r="H76" s="304">
        <v>47883.79</v>
      </c>
      <c r="I76" s="304">
        <f t="shared" si="2"/>
        <v>7965676.6632004604</v>
      </c>
      <c r="J76" s="305"/>
      <c r="K76" s="304" t="s">
        <v>165</v>
      </c>
      <c r="L76" s="304" t="s">
        <v>166</v>
      </c>
      <c r="M76" s="88">
        <f t="shared" si="3"/>
        <v>688661.72064747475</v>
      </c>
      <c r="N76" s="48"/>
    </row>
    <row r="77" spans="1:14" x14ac:dyDescent="0.25">
      <c r="A77" s="303" t="s">
        <v>47</v>
      </c>
      <c r="B77" s="303" t="s">
        <v>48</v>
      </c>
      <c r="C77" s="304" t="s">
        <v>443</v>
      </c>
      <c r="D77" s="304" t="s">
        <v>444</v>
      </c>
      <c r="E77" s="304">
        <v>16000</v>
      </c>
      <c r="F77" s="304">
        <v>5159.18</v>
      </c>
      <c r="G77" s="304">
        <v>6018.3</v>
      </c>
      <c r="H77" s="304">
        <v>3672.95</v>
      </c>
      <c r="I77" s="304">
        <f t="shared" si="2"/>
        <v>1493676.5311064501</v>
      </c>
      <c r="J77" s="305"/>
      <c r="K77" s="304" t="s">
        <v>167</v>
      </c>
      <c r="L77" s="304" t="s">
        <v>168</v>
      </c>
      <c r="M77" s="88">
        <f t="shared" si="3"/>
        <v>15107088.637224853</v>
      </c>
      <c r="N77" s="48"/>
    </row>
    <row r="78" spans="1:14" x14ac:dyDescent="0.25">
      <c r="A78" s="303" t="s">
        <v>457</v>
      </c>
      <c r="B78" s="303" t="s">
        <v>50</v>
      </c>
      <c r="C78" s="304" t="s">
        <v>443</v>
      </c>
      <c r="D78" s="304" t="s">
        <v>444</v>
      </c>
      <c r="E78" s="304">
        <v>2540</v>
      </c>
      <c r="F78" s="304">
        <v>863</v>
      </c>
      <c r="G78" s="304">
        <v>924</v>
      </c>
      <c r="H78" s="304">
        <v>941</v>
      </c>
      <c r="I78" s="304">
        <f t="shared" si="2"/>
        <v>384292.45066733932</v>
      </c>
      <c r="J78" s="305"/>
      <c r="K78" s="304" t="s">
        <v>169</v>
      </c>
      <c r="L78" s="304" t="s">
        <v>170</v>
      </c>
      <c r="M78" s="88">
        <f t="shared" si="3"/>
        <v>5269410.2678584568</v>
      </c>
      <c r="N78" s="48"/>
    </row>
    <row r="79" spans="1:14" x14ac:dyDescent="0.25">
      <c r="A79" s="303" t="s">
        <v>457</v>
      </c>
      <c r="B79" s="303" t="s">
        <v>50</v>
      </c>
      <c r="C79" s="304" t="s">
        <v>443</v>
      </c>
      <c r="D79" s="304" t="s">
        <v>444</v>
      </c>
      <c r="E79" s="304">
        <v>5400</v>
      </c>
      <c r="F79" s="304">
        <v>1469</v>
      </c>
      <c r="G79" s="304">
        <v>2018</v>
      </c>
      <c r="H79" s="304">
        <v>2064</v>
      </c>
      <c r="I79" s="304">
        <f t="shared" si="2"/>
        <v>673712.82070622849</v>
      </c>
      <c r="J79" s="305"/>
      <c r="K79" s="304" t="s">
        <v>171</v>
      </c>
      <c r="L79" s="304" t="s">
        <v>172</v>
      </c>
      <c r="M79" s="88">
        <f t="shared" si="3"/>
        <v>15703375.479757665</v>
      </c>
      <c r="N79" s="48"/>
    </row>
    <row r="80" spans="1:14" x14ac:dyDescent="0.25">
      <c r="A80" s="303" t="s">
        <v>457</v>
      </c>
      <c r="B80" s="303" t="s">
        <v>50</v>
      </c>
      <c r="C80" s="304" t="s">
        <v>443</v>
      </c>
      <c r="D80" s="304" t="s">
        <v>444</v>
      </c>
      <c r="E80" s="304">
        <v>25000</v>
      </c>
      <c r="F80" s="304">
        <v>13310</v>
      </c>
      <c r="G80" s="304">
        <v>14658</v>
      </c>
      <c r="H80" s="304">
        <v>13313</v>
      </c>
      <c r="I80" s="304">
        <f t="shared" si="2"/>
        <v>2303239.854425183</v>
      </c>
      <c r="J80" s="305"/>
      <c r="K80" s="304" t="s">
        <v>173</v>
      </c>
      <c r="L80" s="304" t="s">
        <v>174</v>
      </c>
      <c r="M80" s="88">
        <f t="shared" si="3"/>
        <v>20253243.907813054</v>
      </c>
      <c r="N80" s="48"/>
    </row>
    <row r="81" spans="1:14" x14ac:dyDescent="0.25">
      <c r="A81" s="303" t="s">
        <v>457</v>
      </c>
      <c r="B81" s="303" t="s">
        <v>50</v>
      </c>
      <c r="C81" s="304" t="s">
        <v>443</v>
      </c>
      <c r="D81" s="304" t="s">
        <v>444</v>
      </c>
      <c r="E81" s="304">
        <v>48000</v>
      </c>
      <c r="F81" s="304">
        <v>10468</v>
      </c>
      <c r="G81" s="304">
        <v>11447</v>
      </c>
      <c r="H81" s="304">
        <v>9831</v>
      </c>
      <c r="I81" s="304">
        <f t="shared" si="2"/>
        <v>3102611.0127395885</v>
      </c>
      <c r="J81" s="305"/>
      <c r="K81" s="304" t="s">
        <v>175</v>
      </c>
      <c r="L81" s="304" t="s">
        <v>176</v>
      </c>
      <c r="M81" s="88">
        <f t="shared" si="3"/>
        <v>11069042.241369957</v>
      </c>
      <c r="N81" s="48"/>
    </row>
    <row r="82" spans="1:14" x14ac:dyDescent="0.25">
      <c r="A82" s="303" t="s">
        <v>457</v>
      </c>
      <c r="B82" s="303" t="s">
        <v>50</v>
      </c>
      <c r="C82" s="304" t="s">
        <v>446</v>
      </c>
      <c r="D82" s="304" t="s">
        <v>444</v>
      </c>
      <c r="E82" s="304">
        <v>21560</v>
      </c>
      <c r="F82" s="304">
        <v>13250</v>
      </c>
      <c r="G82" s="304">
        <v>12691</v>
      </c>
      <c r="H82" s="304">
        <v>14895</v>
      </c>
      <c r="I82" s="304">
        <f t="shared" si="2"/>
        <v>2478702.4251477602</v>
      </c>
      <c r="J82" s="305"/>
      <c r="K82" s="304" t="s">
        <v>177</v>
      </c>
      <c r="L82" s="304" t="s">
        <v>178</v>
      </c>
      <c r="M82" s="88">
        <f t="shared" si="3"/>
        <v>7675424.1858186498</v>
      </c>
      <c r="N82" s="48"/>
    </row>
    <row r="83" spans="1:14" x14ac:dyDescent="0.25">
      <c r="A83" s="303" t="s">
        <v>457</v>
      </c>
      <c r="B83" s="303" t="s">
        <v>50</v>
      </c>
      <c r="C83" s="304" t="s">
        <v>443</v>
      </c>
      <c r="D83" s="304" t="s">
        <v>444</v>
      </c>
      <c r="E83" s="304">
        <v>10000</v>
      </c>
      <c r="F83" s="304">
        <v>3246</v>
      </c>
      <c r="G83" s="304">
        <v>4006</v>
      </c>
      <c r="H83" s="304">
        <v>2632</v>
      </c>
      <c r="I83" s="304">
        <f t="shared" si="2"/>
        <v>1070668.1550050315</v>
      </c>
      <c r="J83" s="305"/>
      <c r="K83" s="304" t="s">
        <v>179</v>
      </c>
      <c r="L83" s="304" t="s">
        <v>180</v>
      </c>
      <c r="M83" s="88">
        <f t="shared" si="3"/>
        <v>2982523.9982320392</v>
      </c>
      <c r="N83" s="48"/>
    </row>
    <row r="84" spans="1:14" x14ac:dyDescent="0.25">
      <c r="A84" s="303" t="s">
        <v>458</v>
      </c>
      <c r="B84" s="303" t="s">
        <v>54</v>
      </c>
      <c r="C84" s="304" t="s">
        <v>443</v>
      </c>
      <c r="D84" s="304" t="s">
        <v>444</v>
      </c>
      <c r="E84" s="304">
        <v>7700</v>
      </c>
      <c r="F84" s="304">
        <v>4296</v>
      </c>
      <c r="G84" s="304">
        <v>4298</v>
      </c>
      <c r="H84" s="304">
        <v>3198</v>
      </c>
      <c r="I84" s="304">
        <f t="shared" si="2"/>
        <v>955414.46228994615</v>
      </c>
      <c r="J84" s="305"/>
      <c r="K84" s="304" t="s">
        <v>181</v>
      </c>
      <c r="L84" s="304" t="s">
        <v>182</v>
      </c>
      <c r="M84" s="88">
        <f t="shared" si="3"/>
        <v>0</v>
      </c>
      <c r="N84" s="48"/>
    </row>
    <row r="85" spans="1:14" x14ac:dyDescent="0.25">
      <c r="A85" s="303" t="s">
        <v>458</v>
      </c>
      <c r="B85" s="303" t="s">
        <v>54</v>
      </c>
      <c r="C85" s="304" t="s">
        <v>446</v>
      </c>
      <c r="D85" s="304" t="s">
        <v>444</v>
      </c>
      <c r="E85" s="304">
        <v>3500</v>
      </c>
      <c r="F85" s="304">
        <v>2915</v>
      </c>
      <c r="G85" s="304">
        <v>5222</v>
      </c>
      <c r="H85" s="304">
        <v>3731</v>
      </c>
      <c r="I85" s="304">
        <f t="shared" si="2"/>
        <v>865096.59130228765</v>
      </c>
      <c r="J85" s="305"/>
      <c r="K85" s="304" t="s">
        <v>183</v>
      </c>
      <c r="L85" s="304" t="s">
        <v>184</v>
      </c>
      <c r="M85" s="88">
        <f t="shared" si="3"/>
        <v>4161339.7387472261</v>
      </c>
      <c r="N85" s="48"/>
    </row>
    <row r="86" spans="1:14" x14ac:dyDescent="0.25">
      <c r="A86" s="303" t="s">
        <v>458</v>
      </c>
      <c r="B86" s="303" t="s">
        <v>54</v>
      </c>
      <c r="C86" s="304" t="s">
        <v>443</v>
      </c>
      <c r="D86" s="304" t="s">
        <v>444</v>
      </c>
      <c r="E86" s="304">
        <v>23000</v>
      </c>
      <c r="F86" s="304">
        <v>18734</v>
      </c>
      <c r="G86" s="304">
        <v>23420</v>
      </c>
      <c r="H86" s="304">
        <v>16480</v>
      </c>
      <c r="I86" s="304">
        <f t="shared" si="2"/>
        <v>2586203.3622362209</v>
      </c>
      <c r="J86" s="305"/>
      <c r="K86" s="304" t="s">
        <v>185</v>
      </c>
      <c r="L86" s="304" t="s">
        <v>186</v>
      </c>
      <c r="M86" s="88">
        <f t="shared" si="3"/>
        <v>6796301.3069340941</v>
      </c>
      <c r="N86" s="48"/>
    </row>
    <row r="87" spans="1:14" x14ac:dyDescent="0.25">
      <c r="A87" s="303" t="s">
        <v>458</v>
      </c>
      <c r="B87" s="303" t="s">
        <v>54</v>
      </c>
      <c r="C87" s="304" t="s">
        <v>446</v>
      </c>
      <c r="D87" s="304" t="s">
        <v>444</v>
      </c>
      <c r="E87" s="304">
        <v>130000</v>
      </c>
      <c r="F87" s="304">
        <v>69034</v>
      </c>
      <c r="G87" s="304">
        <v>66127</v>
      </c>
      <c r="H87" s="304">
        <v>0</v>
      </c>
      <c r="I87" s="304">
        <f t="shared" si="2"/>
        <v>8645331.2026221268</v>
      </c>
      <c r="J87" s="305"/>
      <c r="K87" s="304" t="s">
        <v>187</v>
      </c>
      <c r="L87" s="304" t="s">
        <v>188</v>
      </c>
      <c r="M87" s="88">
        <f t="shared" si="3"/>
        <v>11975102.789697081</v>
      </c>
      <c r="N87" s="48"/>
    </row>
    <row r="88" spans="1:14" x14ac:dyDescent="0.25">
      <c r="A88" s="303" t="s">
        <v>458</v>
      </c>
      <c r="B88" s="303" t="s">
        <v>54</v>
      </c>
      <c r="C88" s="304" t="s">
        <v>446</v>
      </c>
      <c r="D88" s="304" t="s">
        <v>444</v>
      </c>
      <c r="E88" s="304">
        <v>7735</v>
      </c>
      <c r="F88" s="304">
        <v>2934</v>
      </c>
      <c r="G88" s="304">
        <v>3763</v>
      </c>
      <c r="H88" s="304">
        <v>2905</v>
      </c>
      <c r="I88" s="304">
        <f t="shared" si="2"/>
        <v>1060203.3695285926</v>
      </c>
      <c r="J88" s="305"/>
      <c r="K88" s="304" t="s">
        <v>189</v>
      </c>
      <c r="L88" s="304" t="s">
        <v>190</v>
      </c>
      <c r="M88" s="88">
        <f t="shared" si="3"/>
        <v>7227551.5566670895</v>
      </c>
      <c r="N88" s="48"/>
    </row>
    <row r="89" spans="1:14" x14ac:dyDescent="0.25">
      <c r="A89" s="303" t="s">
        <v>458</v>
      </c>
      <c r="B89" s="303" t="s">
        <v>54</v>
      </c>
      <c r="C89" s="304" t="s">
        <v>446</v>
      </c>
      <c r="D89" s="304" t="s">
        <v>444</v>
      </c>
      <c r="E89" s="304">
        <v>84000</v>
      </c>
      <c r="F89" s="304">
        <v>78610</v>
      </c>
      <c r="G89" s="304">
        <v>60859</v>
      </c>
      <c r="H89" s="304">
        <v>0</v>
      </c>
      <c r="I89" s="304">
        <f t="shared" si="2"/>
        <v>7450330.523694369</v>
      </c>
      <c r="J89" s="305"/>
      <c r="K89" s="304" t="s">
        <v>191</v>
      </c>
      <c r="L89" s="304" t="s">
        <v>192</v>
      </c>
      <c r="M89" s="88">
        <f t="shared" si="3"/>
        <v>11755737.562145719</v>
      </c>
      <c r="N89" s="48"/>
    </row>
    <row r="90" spans="1:14" x14ac:dyDescent="0.25">
      <c r="A90" s="303" t="s">
        <v>459</v>
      </c>
      <c r="B90" s="303" t="s">
        <v>56</v>
      </c>
      <c r="C90" s="304" t="s">
        <v>443</v>
      </c>
      <c r="D90" s="304" t="s">
        <v>444</v>
      </c>
      <c r="E90" s="304">
        <v>12000</v>
      </c>
      <c r="F90" s="304">
        <v>7575</v>
      </c>
      <c r="G90" s="304">
        <v>11705</v>
      </c>
      <c r="H90" s="304">
        <v>18125</v>
      </c>
      <c r="I90" s="304">
        <f t="shared" si="2"/>
        <v>1881299.7800042746</v>
      </c>
      <c r="J90" s="305"/>
      <c r="K90" s="304" t="s">
        <v>193</v>
      </c>
      <c r="L90" s="304" t="s">
        <v>194</v>
      </c>
      <c r="M90" s="88">
        <f t="shared" si="3"/>
        <v>20348651.631561764</v>
      </c>
      <c r="N90" s="48"/>
    </row>
    <row r="91" spans="1:14" x14ac:dyDescent="0.25">
      <c r="A91" s="303" t="s">
        <v>459</v>
      </c>
      <c r="B91" s="303" t="s">
        <v>56</v>
      </c>
      <c r="C91" s="304" t="s">
        <v>443</v>
      </c>
      <c r="D91" s="304" t="s">
        <v>444</v>
      </c>
      <c r="E91" s="304">
        <v>3500</v>
      </c>
      <c r="F91" s="304">
        <v>2152</v>
      </c>
      <c r="G91" s="304">
        <v>386</v>
      </c>
      <c r="H91" s="304">
        <v>2291</v>
      </c>
      <c r="I91" s="304">
        <f t="shared" si="2"/>
        <v>558926.00397394621</v>
      </c>
      <c r="J91" s="305"/>
      <c r="K91" s="304" t="s">
        <v>195</v>
      </c>
      <c r="L91" s="304" t="s">
        <v>196</v>
      </c>
      <c r="M91" s="88">
        <f t="shared" si="3"/>
        <v>0</v>
      </c>
      <c r="N91" s="48"/>
    </row>
    <row r="92" spans="1:14" x14ac:dyDescent="0.25">
      <c r="A92" s="303" t="s">
        <v>459</v>
      </c>
      <c r="B92" s="303" t="s">
        <v>56</v>
      </c>
      <c r="C92" s="304" t="s">
        <v>443</v>
      </c>
      <c r="D92" s="304" t="s">
        <v>444</v>
      </c>
      <c r="E92" s="304">
        <v>12000</v>
      </c>
      <c r="F92" s="304">
        <v>8473</v>
      </c>
      <c r="G92" s="304">
        <v>2775</v>
      </c>
      <c r="H92" s="304">
        <v>10609</v>
      </c>
      <c r="I92" s="304">
        <f t="shared" si="2"/>
        <v>1523066.1575601024</v>
      </c>
      <c r="J92" s="305"/>
      <c r="K92" s="304" t="s">
        <v>197</v>
      </c>
      <c r="L92" s="304" t="s">
        <v>198</v>
      </c>
      <c r="M92" s="88">
        <f t="shared" si="3"/>
        <v>10412787.471743852</v>
      </c>
      <c r="N92" s="48"/>
    </row>
    <row r="93" spans="1:14" x14ac:dyDescent="0.25">
      <c r="A93" s="303" t="s">
        <v>459</v>
      </c>
      <c r="B93" s="303" t="s">
        <v>56</v>
      </c>
      <c r="C93" s="304" t="s">
        <v>443</v>
      </c>
      <c r="D93" s="304" t="s">
        <v>445</v>
      </c>
      <c r="E93" s="304">
        <v>450</v>
      </c>
      <c r="F93" s="304">
        <v>76</v>
      </c>
      <c r="G93" s="304">
        <v>27</v>
      </c>
      <c r="H93" s="304">
        <v>135</v>
      </c>
      <c r="I93" s="304">
        <f t="shared" si="2"/>
        <v>115029.52494457204</v>
      </c>
      <c r="J93" s="305"/>
      <c r="K93" s="304" t="s">
        <v>199</v>
      </c>
      <c r="L93" s="304" t="s">
        <v>200</v>
      </c>
      <c r="M93" s="88">
        <f t="shared" si="3"/>
        <v>5950636.2673489321</v>
      </c>
      <c r="N93" s="48"/>
    </row>
    <row r="94" spans="1:14" x14ac:dyDescent="0.25">
      <c r="A94" s="303" t="s">
        <v>459</v>
      </c>
      <c r="B94" s="303" t="s">
        <v>56</v>
      </c>
      <c r="C94" s="304" t="s">
        <v>443</v>
      </c>
      <c r="D94" s="304" t="s">
        <v>444</v>
      </c>
      <c r="E94" s="304">
        <v>10000</v>
      </c>
      <c r="F94" s="304">
        <v>1080</v>
      </c>
      <c r="G94" s="304">
        <v>282</v>
      </c>
      <c r="H94" s="304">
        <v>1689</v>
      </c>
      <c r="I94" s="304">
        <f t="shared" si="2"/>
        <v>937242.18482840003</v>
      </c>
      <c r="J94" s="305"/>
      <c r="K94" s="304" t="s">
        <v>201</v>
      </c>
      <c r="L94" s="304" t="s">
        <v>202</v>
      </c>
      <c r="M94" s="88">
        <f t="shared" si="3"/>
        <v>35947880.298650347</v>
      </c>
      <c r="N94" s="48"/>
    </row>
    <row r="95" spans="1:14" x14ac:dyDescent="0.25">
      <c r="A95" s="303" t="s">
        <v>459</v>
      </c>
      <c r="B95" s="303" t="s">
        <v>56</v>
      </c>
      <c r="C95" s="304" t="s">
        <v>443</v>
      </c>
      <c r="D95" s="304" t="s">
        <v>444</v>
      </c>
      <c r="E95" s="304">
        <v>3500</v>
      </c>
      <c r="F95" s="304">
        <v>1187</v>
      </c>
      <c r="G95" s="304">
        <v>274</v>
      </c>
      <c r="H95" s="304">
        <v>1541</v>
      </c>
      <c r="I95" s="304">
        <f t="shared" si="2"/>
        <v>504684.51666426595</v>
      </c>
      <c r="J95" s="305"/>
      <c r="K95" s="304" t="s">
        <v>203</v>
      </c>
      <c r="L95" s="304" t="s">
        <v>204</v>
      </c>
      <c r="M95" s="88">
        <f t="shared" si="3"/>
        <v>9462296.1674089562</v>
      </c>
      <c r="N95" s="48"/>
    </row>
    <row r="96" spans="1:14" x14ac:dyDescent="0.25">
      <c r="A96" s="303" t="s">
        <v>459</v>
      </c>
      <c r="B96" s="303" t="s">
        <v>56</v>
      </c>
      <c r="C96" s="304" t="s">
        <v>443</v>
      </c>
      <c r="D96" s="304" t="s">
        <v>444</v>
      </c>
      <c r="E96" s="304">
        <v>70000</v>
      </c>
      <c r="F96" s="304">
        <v>25606</v>
      </c>
      <c r="G96" s="304">
        <v>6034</v>
      </c>
      <c r="H96" s="304">
        <v>27616</v>
      </c>
      <c r="I96" s="304">
        <f t="shared" si="2"/>
        <v>4469461.0144362859</v>
      </c>
      <c r="J96" s="305"/>
      <c r="K96" s="304" t="s">
        <v>205</v>
      </c>
      <c r="L96" s="304" t="s">
        <v>206</v>
      </c>
      <c r="M96" s="88">
        <f t="shared" si="3"/>
        <v>0</v>
      </c>
      <c r="N96" s="48"/>
    </row>
    <row r="97" spans="1:14" x14ac:dyDescent="0.25">
      <c r="A97" s="303" t="s">
        <v>459</v>
      </c>
      <c r="B97" s="303" t="s">
        <v>56</v>
      </c>
      <c r="C97" s="304" t="s">
        <v>443</v>
      </c>
      <c r="D97" s="304" t="s">
        <v>444</v>
      </c>
      <c r="E97" s="304">
        <v>4500</v>
      </c>
      <c r="F97" s="304">
        <v>2190</v>
      </c>
      <c r="G97" s="304">
        <v>504</v>
      </c>
      <c r="H97" s="304">
        <v>3062</v>
      </c>
      <c r="I97" s="304">
        <f t="shared" si="2"/>
        <v>680211.99037068128</v>
      </c>
      <c r="J97" s="305"/>
      <c r="K97" s="304" t="s">
        <v>207</v>
      </c>
      <c r="L97" s="304" t="s">
        <v>208</v>
      </c>
      <c r="M97" s="88">
        <f t="shared" si="3"/>
        <v>22076046.153175965</v>
      </c>
      <c r="N97" s="48"/>
    </row>
    <row r="98" spans="1:14" x14ac:dyDescent="0.25">
      <c r="A98" s="303" t="s">
        <v>460</v>
      </c>
      <c r="B98" s="303" t="s">
        <v>58</v>
      </c>
      <c r="C98" s="304" t="s">
        <v>443</v>
      </c>
      <c r="D98" s="304" t="s">
        <v>444</v>
      </c>
      <c r="E98" s="304">
        <v>25000</v>
      </c>
      <c r="F98" s="304">
        <v>10496</v>
      </c>
      <c r="G98" s="304">
        <v>14797</v>
      </c>
      <c r="H98" s="304">
        <v>16543</v>
      </c>
      <c r="I98" s="304">
        <f t="shared" si="2"/>
        <v>2383318.6614153939</v>
      </c>
      <c r="J98" s="305"/>
      <c r="K98" s="304" t="s">
        <v>209</v>
      </c>
      <c r="L98" s="304" t="s">
        <v>210</v>
      </c>
      <c r="M98" s="88">
        <f t="shared" si="3"/>
        <v>15480319.866517304</v>
      </c>
      <c r="N98" s="48"/>
    </row>
    <row r="99" spans="1:14" x14ac:dyDescent="0.25">
      <c r="A99" s="303" t="s">
        <v>460</v>
      </c>
      <c r="B99" s="303" t="s">
        <v>58</v>
      </c>
      <c r="C99" s="304" t="s">
        <v>446</v>
      </c>
      <c r="D99" s="304" t="s">
        <v>444</v>
      </c>
      <c r="E99" s="304">
        <v>76300</v>
      </c>
      <c r="F99" s="304">
        <v>23327</v>
      </c>
      <c r="G99" s="304">
        <v>24073</v>
      </c>
      <c r="H99" s="304">
        <v>35151</v>
      </c>
      <c r="I99" s="304">
        <f t="shared" si="2"/>
        <v>5641894.5641494272</v>
      </c>
      <c r="J99" s="305"/>
      <c r="K99" s="304" t="s">
        <v>211</v>
      </c>
      <c r="L99" s="304" t="s">
        <v>212</v>
      </c>
      <c r="M99" s="88">
        <f t="shared" si="3"/>
        <v>14137068.011790544</v>
      </c>
      <c r="N99" s="48"/>
    </row>
    <row r="100" spans="1:14" x14ac:dyDescent="0.25">
      <c r="A100" s="303" t="s">
        <v>460</v>
      </c>
      <c r="B100" s="303" t="s">
        <v>58</v>
      </c>
      <c r="C100" s="304" t="s">
        <v>446</v>
      </c>
      <c r="D100" s="304" t="s">
        <v>444</v>
      </c>
      <c r="E100" s="304">
        <v>26000</v>
      </c>
      <c r="F100" s="304">
        <v>18909</v>
      </c>
      <c r="G100" s="304">
        <v>18067</v>
      </c>
      <c r="H100" s="304">
        <v>23452</v>
      </c>
      <c r="I100" s="304">
        <f t="shared" si="2"/>
        <v>3102347.8085765564</v>
      </c>
      <c r="J100" s="305"/>
      <c r="K100" s="304" t="s">
        <v>213</v>
      </c>
      <c r="L100" s="304" t="s">
        <v>214</v>
      </c>
      <c r="M100" s="88">
        <f t="shared" si="3"/>
        <v>10101205.241357299</v>
      </c>
      <c r="N100" s="48"/>
    </row>
    <row r="101" spans="1:14" x14ac:dyDescent="0.25">
      <c r="A101" s="303" t="s">
        <v>461</v>
      </c>
      <c r="B101" s="303" t="s">
        <v>60</v>
      </c>
      <c r="C101" s="304" t="s">
        <v>443</v>
      </c>
      <c r="D101" s="304" t="s">
        <v>444</v>
      </c>
      <c r="E101" s="304">
        <v>25200</v>
      </c>
      <c r="F101" s="304">
        <v>9747</v>
      </c>
      <c r="G101" s="304">
        <v>14022</v>
      </c>
      <c r="H101" s="304">
        <v>16817</v>
      </c>
      <c r="I101" s="304">
        <f t="shared" si="2"/>
        <v>2403302.9622168108</v>
      </c>
      <c r="J101" s="305"/>
      <c r="K101" s="304" t="s">
        <v>215</v>
      </c>
      <c r="L101" s="304" t="s">
        <v>216</v>
      </c>
      <c r="M101" s="88">
        <f t="shared" si="3"/>
        <v>26674036.819015518</v>
      </c>
      <c r="N101" s="48"/>
    </row>
    <row r="102" spans="1:14" x14ac:dyDescent="0.25">
      <c r="A102" s="303" t="s">
        <v>461</v>
      </c>
      <c r="B102" s="303" t="s">
        <v>60</v>
      </c>
      <c r="C102" s="304" t="s">
        <v>446</v>
      </c>
      <c r="D102" s="304" t="s">
        <v>444</v>
      </c>
      <c r="E102" s="304">
        <v>12100</v>
      </c>
      <c r="F102" s="304">
        <v>12550</v>
      </c>
      <c r="G102" s="304">
        <v>16192</v>
      </c>
      <c r="H102" s="304">
        <v>11142</v>
      </c>
      <c r="I102" s="304">
        <f t="shared" si="2"/>
        <v>2056816.7962465016</v>
      </c>
      <c r="J102" s="305"/>
      <c r="K102" s="304" t="s">
        <v>217</v>
      </c>
      <c r="L102" s="304" t="s">
        <v>218</v>
      </c>
      <c r="M102" s="88">
        <f t="shared" si="3"/>
        <v>36793539.793740816</v>
      </c>
      <c r="N102" s="48"/>
    </row>
    <row r="103" spans="1:14" x14ac:dyDescent="0.25">
      <c r="A103" s="303" t="s">
        <v>461</v>
      </c>
      <c r="B103" s="303" t="s">
        <v>60</v>
      </c>
      <c r="C103" s="304" t="s">
        <v>443</v>
      </c>
      <c r="D103" s="304" t="s">
        <v>445</v>
      </c>
      <c r="E103" s="304">
        <v>1000</v>
      </c>
      <c r="F103" s="304">
        <v>342</v>
      </c>
      <c r="G103" s="304">
        <v>506</v>
      </c>
      <c r="H103" s="304">
        <v>700</v>
      </c>
      <c r="I103" s="304">
        <f t="shared" si="2"/>
        <v>224995.75725467125</v>
      </c>
      <c r="J103" s="305"/>
      <c r="K103" s="304" t="s">
        <v>219</v>
      </c>
      <c r="L103" s="304" t="s">
        <v>220</v>
      </c>
      <c r="M103" s="88">
        <f t="shared" si="3"/>
        <v>16063391.627710328</v>
      </c>
      <c r="N103" s="48"/>
    </row>
    <row r="104" spans="1:14" ht="15.75" thickBot="1" x14ac:dyDescent="0.3">
      <c r="A104" s="303" t="s">
        <v>61</v>
      </c>
      <c r="B104" s="303" t="s">
        <v>62</v>
      </c>
      <c r="C104" s="304" t="s">
        <v>446</v>
      </c>
      <c r="D104" s="304" t="s">
        <v>444</v>
      </c>
      <c r="E104" s="304">
        <v>420000</v>
      </c>
      <c r="F104" s="304">
        <v>154527</v>
      </c>
      <c r="G104" s="304">
        <v>141787</v>
      </c>
      <c r="H104" s="304">
        <v>94448</v>
      </c>
      <c r="I104" s="304">
        <f t="shared" si="2"/>
        <v>18863559.680566125</v>
      </c>
      <c r="J104" s="305"/>
      <c r="K104" s="310" t="s">
        <v>221</v>
      </c>
      <c r="L104" s="310" t="s">
        <v>222</v>
      </c>
      <c r="M104" s="88">
        <f>SUMIF(B:B,L104,I:I)</f>
        <v>6412052.7702424442</v>
      </c>
      <c r="N104" s="48"/>
    </row>
    <row r="105" spans="1:14" x14ac:dyDescent="0.25">
      <c r="A105" s="303" t="s">
        <v>462</v>
      </c>
      <c r="B105" s="303" t="s">
        <v>66</v>
      </c>
      <c r="C105" s="304" t="s">
        <v>443</v>
      </c>
      <c r="D105" s="304" t="s">
        <v>448</v>
      </c>
      <c r="E105" s="304">
        <v>500</v>
      </c>
      <c r="F105" s="304">
        <v>894</v>
      </c>
      <c r="G105" s="304">
        <v>1632</v>
      </c>
      <c r="H105" s="304">
        <v>1308</v>
      </c>
      <c r="I105" s="304">
        <f t="shared" si="2"/>
        <v>267889.1173180216</v>
      </c>
      <c r="J105" s="73"/>
      <c r="K105" s="48"/>
      <c r="L105" s="48"/>
      <c r="M105" s="91"/>
      <c r="N105" s="48"/>
    </row>
    <row r="106" spans="1:14" x14ac:dyDescent="0.25">
      <c r="A106" s="303" t="s">
        <v>462</v>
      </c>
      <c r="B106" s="303" t="s">
        <v>66</v>
      </c>
      <c r="C106" s="304" t="s">
        <v>446</v>
      </c>
      <c r="D106" s="304" t="s">
        <v>456</v>
      </c>
      <c r="E106" s="304">
        <v>60</v>
      </c>
      <c r="F106" s="304">
        <v>0</v>
      </c>
      <c r="G106" s="304">
        <v>0</v>
      </c>
      <c r="H106" s="304">
        <v>0</v>
      </c>
      <c r="I106" s="304">
        <f t="shared" si="2"/>
        <v>18719.323467483744</v>
      </c>
      <c r="J106" s="73"/>
      <c r="K106" s="48"/>
      <c r="L106" s="48"/>
      <c r="M106" s="14"/>
      <c r="N106" s="48"/>
    </row>
    <row r="107" spans="1:14" x14ac:dyDescent="0.25">
      <c r="A107" s="303" t="s">
        <v>462</v>
      </c>
      <c r="B107" s="303" t="s">
        <v>66</v>
      </c>
      <c r="C107" s="304" t="s">
        <v>443</v>
      </c>
      <c r="D107" s="304" t="s">
        <v>456</v>
      </c>
      <c r="E107" s="304">
        <v>40</v>
      </c>
      <c r="F107" s="304">
        <v>0</v>
      </c>
      <c r="G107" s="304">
        <v>0</v>
      </c>
      <c r="H107" s="304">
        <v>0</v>
      </c>
      <c r="I107" s="304">
        <f t="shared" si="2"/>
        <v>15166.968523373735</v>
      </c>
      <c r="J107" s="73"/>
      <c r="K107" s="48"/>
      <c r="L107" s="48"/>
      <c r="M107" s="14"/>
      <c r="N107" s="48"/>
    </row>
    <row r="108" spans="1:14" x14ac:dyDescent="0.25">
      <c r="A108" s="303" t="s">
        <v>462</v>
      </c>
      <c r="B108" s="303" t="s">
        <v>66</v>
      </c>
      <c r="C108" s="304" t="s">
        <v>446</v>
      </c>
      <c r="D108" s="304" t="s">
        <v>445</v>
      </c>
      <c r="E108" s="304">
        <v>690</v>
      </c>
      <c r="F108" s="304">
        <v>20</v>
      </c>
      <c r="G108" s="304">
        <v>24</v>
      </c>
      <c r="H108" s="304">
        <v>32</v>
      </c>
      <c r="I108" s="304">
        <f t="shared" si="2"/>
        <v>131304.32927879679</v>
      </c>
      <c r="J108" s="73"/>
      <c r="K108" s="48"/>
      <c r="L108" s="48"/>
      <c r="M108" s="14"/>
      <c r="N108" s="48"/>
    </row>
    <row r="109" spans="1:14" x14ac:dyDescent="0.25">
      <c r="A109" s="303" t="s">
        <v>462</v>
      </c>
      <c r="B109" s="303" t="s">
        <v>66</v>
      </c>
      <c r="C109" s="304" t="s">
        <v>446</v>
      </c>
      <c r="D109" s="304" t="s">
        <v>444</v>
      </c>
      <c r="E109" s="304">
        <v>260000</v>
      </c>
      <c r="F109" s="304">
        <v>198200</v>
      </c>
      <c r="G109" s="304">
        <v>149400</v>
      </c>
      <c r="H109" s="304">
        <v>94900</v>
      </c>
      <c r="I109" s="304">
        <f t="shared" si="2"/>
        <v>15970102.613564588</v>
      </c>
      <c r="J109" s="73"/>
      <c r="K109" s="48"/>
      <c r="L109" s="48"/>
      <c r="M109" s="14"/>
      <c r="N109" s="48"/>
    </row>
    <row r="110" spans="1:14" x14ac:dyDescent="0.25">
      <c r="A110" s="303" t="s">
        <v>462</v>
      </c>
      <c r="B110" s="303" t="s">
        <v>66</v>
      </c>
      <c r="C110" s="304" t="s">
        <v>446</v>
      </c>
      <c r="D110" s="304" t="s">
        <v>456</v>
      </c>
      <c r="E110" s="304">
        <v>45</v>
      </c>
      <c r="F110" s="304">
        <v>0</v>
      </c>
      <c r="G110" s="304">
        <v>0</v>
      </c>
      <c r="H110" s="304">
        <v>0</v>
      </c>
      <c r="I110" s="304">
        <f t="shared" si="2"/>
        <v>16123.040489012412</v>
      </c>
      <c r="J110" s="73"/>
      <c r="K110" s="48"/>
      <c r="L110" s="48"/>
      <c r="M110" s="14"/>
      <c r="N110" s="48"/>
    </row>
    <row r="111" spans="1:14" x14ac:dyDescent="0.25">
      <c r="A111" s="303" t="s">
        <v>462</v>
      </c>
      <c r="B111" s="303" t="s">
        <v>66</v>
      </c>
      <c r="C111" s="304" t="s">
        <v>443</v>
      </c>
      <c r="D111" s="304" t="s">
        <v>444</v>
      </c>
      <c r="E111" s="304">
        <v>92000</v>
      </c>
      <c r="F111" s="304">
        <v>110500</v>
      </c>
      <c r="G111" s="304">
        <v>104400</v>
      </c>
      <c r="H111" s="304">
        <v>68900</v>
      </c>
      <c r="I111" s="304">
        <f t="shared" si="2"/>
        <v>7647095.4684987022</v>
      </c>
      <c r="J111" s="73"/>
      <c r="K111" s="48"/>
      <c r="L111" s="48"/>
      <c r="M111" s="14"/>
      <c r="N111" s="48"/>
    </row>
    <row r="112" spans="1:14" x14ac:dyDescent="0.25">
      <c r="A112" s="303" t="s">
        <v>462</v>
      </c>
      <c r="B112" s="303" t="s">
        <v>66</v>
      </c>
      <c r="C112" s="304" t="s">
        <v>446</v>
      </c>
      <c r="D112" s="304" t="s">
        <v>444</v>
      </c>
      <c r="E112" s="304">
        <v>135000</v>
      </c>
      <c r="F112" s="304">
        <v>28000</v>
      </c>
      <c r="G112" s="304">
        <v>32300</v>
      </c>
      <c r="H112" s="304">
        <v>39900</v>
      </c>
      <c r="I112" s="304">
        <f t="shared" si="2"/>
        <v>7860758.680640623</v>
      </c>
      <c r="J112" s="73"/>
      <c r="K112" s="48"/>
      <c r="L112" s="48"/>
      <c r="M112" s="14"/>
      <c r="N112" s="48"/>
    </row>
    <row r="113" spans="1:14" x14ac:dyDescent="0.25">
      <c r="A113" s="303" t="s">
        <v>462</v>
      </c>
      <c r="B113" s="303" t="s">
        <v>66</v>
      </c>
      <c r="C113" s="304" t="s">
        <v>446</v>
      </c>
      <c r="D113" s="304" t="s">
        <v>444</v>
      </c>
      <c r="E113" s="304">
        <v>7500</v>
      </c>
      <c r="F113" s="304">
        <v>2800</v>
      </c>
      <c r="G113" s="304">
        <v>3600</v>
      </c>
      <c r="H113" s="304">
        <v>3600</v>
      </c>
      <c r="I113" s="304">
        <f t="shared" si="2"/>
        <v>1033067.9224500284</v>
      </c>
      <c r="J113" s="73"/>
      <c r="K113" s="48"/>
      <c r="L113" s="48"/>
      <c r="M113" s="14"/>
      <c r="N113" s="48"/>
    </row>
    <row r="114" spans="1:14" x14ac:dyDescent="0.25">
      <c r="A114" s="303" t="s">
        <v>67</v>
      </c>
      <c r="B114" s="303" t="s">
        <v>68</v>
      </c>
      <c r="C114" s="304" t="s">
        <v>443</v>
      </c>
      <c r="D114" s="304" t="s">
        <v>444</v>
      </c>
      <c r="E114" s="304">
        <v>7000</v>
      </c>
      <c r="F114" s="304">
        <v>1330</v>
      </c>
      <c r="G114" s="304">
        <v>1987</v>
      </c>
      <c r="H114" s="304">
        <v>1844</v>
      </c>
      <c r="I114" s="304">
        <f t="shared" si="2"/>
        <v>772374.88166500709</v>
      </c>
      <c r="J114" s="73"/>
      <c r="K114" s="48"/>
      <c r="L114" s="48"/>
      <c r="M114" s="14"/>
      <c r="N114" s="48"/>
    </row>
    <row r="115" spans="1:14" x14ac:dyDescent="0.25">
      <c r="A115" s="303" t="s">
        <v>67</v>
      </c>
      <c r="B115" s="303" t="s">
        <v>68</v>
      </c>
      <c r="C115" s="304" t="s">
        <v>443</v>
      </c>
      <c r="D115" s="304" t="s">
        <v>444</v>
      </c>
      <c r="E115" s="304">
        <v>6500</v>
      </c>
      <c r="F115" s="304">
        <v>3872</v>
      </c>
      <c r="G115" s="304">
        <v>4381</v>
      </c>
      <c r="H115" s="304">
        <v>4333</v>
      </c>
      <c r="I115" s="304">
        <f t="shared" si="2"/>
        <v>889110.90347373276</v>
      </c>
      <c r="J115" s="73"/>
      <c r="K115" s="48"/>
      <c r="L115" s="48"/>
      <c r="M115" s="14"/>
      <c r="N115" s="48"/>
    </row>
    <row r="116" spans="1:14" x14ac:dyDescent="0.25">
      <c r="A116" s="303" t="s">
        <v>67</v>
      </c>
      <c r="B116" s="303" t="s">
        <v>68</v>
      </c>
      <c r="C116" s="304" t="s">
        <v>446</v>
      </c>
      <c r="D116" s="304" t="s">
        <v>444</v>
      </c>
      <c r="E116" s="304">
        <v>48000</v>
      </c>
      <c r="F116" s="304">
        <v>30268</v>
      </c>
      <c r="G116" s="304">
        <v>30134</v>
      </c>
      <c r="H116" s="304">
        <v>20873</v>
      </c>
      <c r="I116" s="304">
        <f t="shared" si="2"/>
        <v>4349598.4189898502</v>
      </c>
      <c r="J116" s="73"/>
      <c r="K116" s="48"/>
      <c r="L116" s="48"/>
      <c r="M116" s="14"/>
      <c r="N116" s="48"/>
    </row>
    <row r="117" spans="1:14" x14ac:dyDescent="0.25">
      <c r="A117" s="303" t="s">
        <v>67</v>
      </c>
      <c r="B117" s="303" t="s">
        <v>68</v>
      </c>
      <c r="C117" s="304" t="s">
        <v>446</v>
      </c>
      <c r="D117" s="304" t="s">
        <v>444</v>
      </c>
      <c r="E117" s="304">
        <v>12000</v>
      </c>
      <c r="F117" s="304">
        <v>7252</v>
      </c>
      <c r="G117" s="304">
        <v>8239</v>
      </c>
      <c r="H117" s="304">
        <v>6137</v>
      </c>
      <c r="I117" s="304">
        <f t="shared" si="2"/>
        <v>1607408.665563053</v>
      </c>
      <c r="J117" s="73"/>
      <c r="K117" s="48"/>
      <c r="L117" s="48"/>
      <c r="M117" s="14"/>
      <c r="N117" s="48"/>
    </row>
    <row r="118" spans="1:14" x14ac:dyDescent="0.25">
      <c r="A118" s="303" t="s">
        <v>67</v>
      </c>
      <c r="B118" s="303" t="s">
        <v>68</v>
      </c>
      <c r="C118" s="304" t="s">
        <v>443</v>
      </c>
      <c r="D118" s="304" t="s">
        <v>444</v>
      </c>
      <c r="E118" s="304">
        <v>13000</v>
      </c>
      <c r="F118" s="304">
        <v>4596</v>
      </c>
      <c r="G118" s="304">
        <v>5729</v>
      </c>
      <c r="H118" s="304">
        <v>4307</v>
      </c>
      <c r="I118" s="304">
        <f t="shared" si="2"/>
        <v>1325984.4460776574</v>
      </c>
      <c r="J118" s="73"/>
      <c r="K118" s="48"/>
      <c r="L118" s="48"/>
      <c r="M118" s="14"/>
      <c r="N118" s="48"/>
    </row>
    <row r="119" spans="1:14" x14ac:dyDescent="0.25">
      <c r="A119" s="303" t="s">
        <v>67</v>
      </c>
      <c r="B119" s="303" t="s">
        <v>68</v>
      </c>
      <c r="C119" s="304" t="s">
        <v>443</v>
      </c>
      <c r="D119" s="304" t="s">
        <v>444</v>
      </c>
      <c r="E119" s="304">
        <v>2500</v>
      </c>
      <c r="F119" s="304">
        <v>843</v>
      </c>
      <c r="G119" s="304">
        <v>1045</v>
      </c>
      <c r="H119" s="304">
        <v>1180</v>
      </c>
      <c r="I119" s="304">
        <f t="shared" si="2"/>
        <v>400342.49030218297</v>
      </c>
      <c r="J119" s="73"/>
      <c r="K119" s="48"/>
      <c r="L119" s="48"/>
      <c r="M119" s="14"/>
      <c r="N119" s="48"/>
    </row>
    <row r="120" spans="1:14" x14ac:dyDescent="0.25">
      <c r="A120" s="303" t="s">
        <v>69</v>
      </c>
      <c r="B120" s="303" t="s">
        <v>70</v>
      </c>
      <c r="C120" s="304" t="s">
        <v>446</v>
      </c>
      <c r="D120" s="304" t="s">
        <v>444</v>
      </c>
      <c r="E120" s="304">
        <v>31696</v>
      </c>
      <c r="F120" s="304">
        <v>15210</v>
      </c>
      <c r="G120" s="304">
        <v>29371</v>
      </c>
      <c r="H120" s="304">
        <v>27415</v>
      </c>
      <c r="I120" s="304">
        <f t="shared" si="2"/>
        <v>3623471.175699099</v>
      </c>
      <c r="J120" s="73"/>
      <c r="K120" s="48"/>
      <c r="L120" s="48"/>
      <c r="M120" s="14"/>
      <c r="N120" s="48"/>
    </row>
    <row r="121" spans="1:14" x14ac:dyDescent="0.25">
      <c r="A121" s="303" t="s">
        <v>77</v>
      </c>
      <c r="B121" s="303" t="s">
        <v>78</v>
      </c>
      <c r="C121" s="304" t="s">
        <v>446</v>
      </c>
      <c r="D121" s="304" t="s">
        <v>444</v>
      </c>
      <c r="E121" s="304">
        <v>71000</v>
      </c>
      <c r="F121" s="304">
        <v>56065</v>
      </c>
      <c r="G121" s="304">
        <v>57776</v>
      </c>
      <c r="H121" s="304">
        <v>51203</v>
      </c>
      <c r="I121" s="304">
        <f t="shared" si="2"/>
        <v>6274941.3859684439</v>
      </c>
      <c r="J121" s="73"/>
      <c r="K121" s="48"/>
      <c r="L121" s="48"/>
      <c r="M121" s="14"/>
      <c r="N121" s="48"/>
    </row>
    <row r="122" spans="1:14" x14ac:dyDescent="0.25">
      <c r="A122" s="303" t="s">
        <v>463</v>
      </c>
      <c r="B122" s="303" t="s">
        <v>80</v>
      </c>
      <c r="C122" s="304" t="s">
        <v>443</v>
      </c>
      <c r="D122" s="304" t="s">
        <v>448</v>
      </c>
      <c r="E122" s="304">
        <v>9900</v>
      </c>
      <c r="F122" s="304">
        <v>2957</v>
      </c>
      <c r="G122" s="304">
        <v>4880.88</v>
      </c>
      <c r="H122" s="304">
        <v>3556.85</v>
      </c>
      <c r="I122" s="304">
        <f t="shared" si="2"/>
        <v>1113953.6121314701</v>
      </c>
      <c r="J122" s="73"/>
      <c r="K122" s="48"/>
      <c r="L122" s="48"/>
      <c r="M122" s="14"/>
      <c r="N122" s="48"/>
    </row>
    <row r="123" spans="1:14" x14ac:dyDescent="0.25">
      <c r="A123" s="303" t="s">
        <v>463</v>
      </c>
      <c r="B123" s="303" t="s">
        <v>80</v>
      </c>
      <c r="C123" s="304" t="s">
        <v>443</v>
      </c>
      <c r="D123" s="304" t="s">
        <v>444</v>
      </c>
      <c r="E123" s="304">
        <v>2200</v>
      </c>
      <c r="F123" s="304">
        <v>985</v>
      </c>
      <c r="G123" s="304">
        <v>1461.87</v>
      </c>
      <c r="H123" s="304">
        <v>1534.25</v>
      </c>
      <c r="I123" s="304">
        <f t="shared" si="2"/>
        <v>404677.80584789097</v>
      </c>
      <c r="J123" s="73"/>
      <c r="K123" s="48"/>
      <c r="L123" s="48"/>
      <c r="M123" s="14"/>
      <c r="N123" s="48"/>
    </row>
    <row r="124" spans="1:14" x14ac:dyDescent="0.25">
      <c r="A124" s="303" t="s">
        <v>463</v>
      </c>
      <c r="B124" s="303" t="s">
        <v>80</v>
      </c>
      <c r="C124" s="304" t="s">
        <v>443</v>
      </c>
      <c r="D124" s="304" t="s">
        <v>444</v>
      </c>
      <c r="E124" s="304">
        <v>48000</v>
      </c>
      <c r="F124" s="304">
        <v>9672</v>
      </c>
      <c r="G124" s="304">
        <v>13686.49</v>
      </c>
      <c r="H124" s="304">
        <v>11096.12</v>
      </c>
      <c r="I124" s="304">
        <f t="shared" si="2"/>
        <v>3188214.8144748323</v>
      </c>
      <c r="J124" s="73"/>
      <c r="K124" s="48"/>
      <c r="L124" s="48"/>
      <c r="M124" s="14"/>
      <c r="N124" s="48"/>
    </row>
    <row r="125" spans="1:14" x14ac:dyDescent="0.25">
      <c r="A125" s="303" t="s">
        <v>463</v>
      </c>
      <c r="B125" s="303" t="s">
        <v>80</v>
      </c>
      <c r="C125" s="304" t="s">
        <v>443</v>
      </c>
      <c r="D125" s="304" t="s">
        <v>445</v>
      </c>
      <c r="E125" s="304">
        <v>4200</v>
      </c>
      <c r="F125" s="304">
        <v>1426</v>
      </c>
      <c r="G125" s="304">
        <v>2014.23</v>
      </c>
      <c r="H125" s="304">
        <v>1626.26</v>
      </c>
      <c r="I125" s="304">
        <f t="shared" si="2"/>
        <v>508400.87534363451</v>
      </c>
      <c r="J125" s="73"/>
      <c r="K125" s="48"/>
      <c r="L125" s="48"/>
      <c r="M125" s="14"/>
      <c r="N125" s="48"/>
    </row>
    <row r="126" spans="1:14" x14ac:dyDescent="0.25">
      <c r="A126" s="303" t="s">
        <v>463</v>
      </c>
      <c r="B126" s="303" t="s">
        <v>80</v>
      </c>
      <c r="C126" s="304" t="s">
        <v>443</v>
      </c>
      <c r="D126" s="304" t="s">
        <v>448</v>
      </c>
      <c r="E126" s="304">
        <v>7000</v>
      </c>
      <c r="F126" s="304">
        <v>5209</v>
      </c>
      <c r="G126" s="304">
        <v>7681.18</v>
      </c>
      <c r="H126" s="304">
        <v>5641.1</v>
      </c>
      <c r="I126" s="304">
        <f t="shared" si="2"/>
        <v>1108418.4875655323</v>
      </c>
      <c r="J126" s="73"/>
      <c r="K126" s="48"/>
      <c r="L126" s="48"/>
      <c r="M126" s="14"/>
      <c r="N126" s="48"/>
    </row>
    <row r="127" spans="1:14" x14ac:dyDescent="0.25">
      <c r="A127" s="303" t="s">
        <v>463</v>
      </c>
      <c r="B127" s="303" t="s">
        <v>80</v>
      </c>
      <c r="C127" s="304" t="s">
        <v>443</v>
      </c>
      <c r="D127" s="304" t="s">
        <v>444</v>
      </c>
      <c r="E127" s="304">
        <v>27500</v>
      </c>
      <c r="F127" s="304">
        <v>19507</v>
      </c>
      <c r="G127" s="304">
        <v>27078.639999999999</v>
      </c>
      <c r="H127" s="304">
        <v>20269.63</v>
      </c>
      <c r="I127" s="304">
        <f t="shared" si="2"/>
        <v>2913509.2824908937</v>
      </c>
      <c r="J127" s="73"/>
      <c r="K127" s="48"/>
      <c r="L127" s="48"/>
      <c r="M127" s="14"/>
      <c r="N127" s="48"/>
    </row>
    <row r="128" spans="1:14" x14ac:dyDescent="0.25">
      <c r="A128" s="303" t="s">
        <v>463</v>
      </c>
      <c r="B128" s="303" t="s">
        <v>80</v>
      </c>
      <c r="C128" s="304" t="s">
        <v>443</v>
      </c>
      <c r="D128" s="304" t="s">
        <v>444</v>
      </c>
      <c r="E128" s="304">
        <v>13000</v>
      </c>
      <c r="F128" s="304">
        <v>5243</v>
      </c>
      <c r="G128" s="304">
        <v>10285.549999999999</v>
      </c>
      <c r="H128" s="304">
        <v>6053.42</v>
      </c>
      <c r="I128" s="304">
        <f t="shared" si="2"/>
        <v>1556479.3243029921</v>
      </c>
      <c r="J128" s="73"/>
      <c r="K128" s="48"/>
      <c r="L128" s="48"/>
      <c r="M128" s="14"/>
      <c r="N128" s="48"/>
    </row>
    <row r="129" spans="1:14" x14ac:dyDescent="0.25">
      <c r="A129" s="303" t="s">
        <v>463</v>
      </c>
      <c r="B129" s="303" t="s">
        <v>80</v>
      </c>
      <c r="C129" s="304" t="s">
        <v>443</v>
      </c>
      <c r="D129" s="304" t="s">
        <v>444</v>
      </c>
      <c r="E129" s="304">
        <v>7500</v>
      </c>
      <c r="F129" s="304">
        <v>4233</v>
      </c>
      <c r="G129" s="304">
        <v>5751.8</v>
      </c>
      <c r="H129" s="304">
        <v>4562.78</v>
      </c>
      <c r="I129" s="304">
        <f t="shared" si="2"/>
        <v>1027926.3480792763</v>
      </c>
      <c r="J129" s="73"/>
      <c r="K129" s="48"/>
      <c r="L129" s="48"/>
      <c r="M129" s="14"/>
      <c r="N129" s="48"/>
    </row>
    <row r="130" spans="1:14" x14ac:dyDescent="0.25">
      <c r="A130" s="303" t="s">
        <v>464</v>
      </c>
      <c r="B130" s="303" t="s">
        <v>82</v>
      </c>
      <c r="C130" s="304" t="s">
        <v>443</v>
      </c>
      <c r="D130" s="304" t="s">
        <v>444</v>
      </c>
      <c r="E130" s="304">
        <v>8198</v>
      </c>
      <c r="F130" s="304">
        <v>5150</v>
      </c>
      <c r="G130" s="304">
        <v>6111</v>
      </c>
      <c r="H130" s="304">
        <v>5493</v>
      </c>
      <c r="I130" s="304">
        <f t="shared" si="2"/>
        <v>1087667.4318246299</v>
      </c>
      <c r="J130" s="73"/>
      <c r="K130" s="48"/>
      <c r="L130" s="48"/>
      <c r="M130" s="14"/>
      <c r="N130" s="48"/>
    </row>
    <row r="131" spans="1:14" x14ac:dyDescent="0.25">
      <c r="A131" s="303" t="s">
        <v>464</v>
      </c>
      <c r="B131" s="303" t="s">
        <v>82</v>
      </c>
      <c r="C131" s="304" t="s">
        <v>446</v>
      </c>
      <c r="D131" s="304" t="s">
        <v>447</v>
      </c>
      <c r="E131" s="304">
        <v>6000</v>
      </c>
      <c r="F131" s="304">
        <v>2506</v>
      </c>
      <c r="G131" s="304">
        <v>3183</v>
      </c>
      <c r="H131" s="304">
        <v>2852</v>
      </c>
      <c r="I131" s="304">
        <f t="shared" ref="I131:I194" si="4">IF(D131="M",(AVERAGE(E131,MAX(F131:H131))^0.519)*3203.7913,IF(OR(D131="MB",D131="MK",D131="MBK",D131="MBN"),(AVERAGE(E131,MAX(F131:H131))^0.6289)*3234.9142,IF(AND(C131="Landzone og sommerhusområde",OR(D131="MBNKD",D131="MBNK/MBND")),(AVERAGE(E131,MAX(F131:H131))^0.736)*1583.1635,IF(AND(C131="Byzone",OR(D131="MBNKD",D131="MBNK/MBND")),(AVERAGE(E131,MAX(F131:H131))^0.736)*1812.7138,0))))</f>
        <v>649929.13676305802</v>
      </c>
      <c r="J131" s="73"/>
      <c r="K131" s="48"/>
      <c r="L131" s="48"/>
      <c r="M131" s="14"/>
      <c r="N131" s="48"/>
    </row>
    <row r="132" spans="1:14" x14ac:dyDescent="0.25">
      <c r="A132" s="303" t="s">
        <v>464</v>
      </c>
      <c r="B132" s="303" t="s">
        <v>82</v>
      </c>
      <c r="C132" s="304" t="s">
        <v>443</v>
      </c>
      <c r="D132" s="304" t="s">
        <v>444</v>
      </c>
      <c r="E132" s="304">
        <v>4000</v>
      </c>
      <c r="F132" s="304">
        <v>494</v>
      </c>
      <c r="G132" s="304">
        <v>623</v>
      </c>
      <c r="H132" s="304">
        <v>623</v>
      </c>
      <c r="I132" s="304">
        <f t="shared" si="4"/>
        <v>473534.55644075951</v>
      </c>
      <c r="J132" s="73"/>
      <c r="K132" s="48"/>
      <c r="L132" s="48"/>
      <c r="M132" s="14"/>
      <c r="N132" s="48"/>
    </row>
    <row r="133" spans="1:14" x14ac:dyDescent="0.25">
      <c r="A133" s="303" t="s">
        <v>464</v>
      </c>
      <c r="B133" s="303" t="s">
        <v>82</v>
      </c>
      <c r="C133" s="304" t="s">
        <v>446</v>
      </c>
      <c r="D133" s="304" t="s">
        <v>444</v>
      </c>
      <c r="E133" s="304">
        <v>57000</v>
      </c>
      <c r="F133" s="304">
        <v>27637</v>
      </c>
      <c r="G133" s="304">
        <v>36262</v>
      </c>
      <c r="H133" s="304">
        <v>29451</v>
      </c>
      <c r="I133" s="304">
        <f t="shared" si="4"/>
        <v>4948503.0414950978</v>
      </c>
      <c r="J133" s="73"/>
      <c r="K133" s="48"/>
      <c r="L133" s="48"/>
      <c r="M133" s="14"/>
      <c r="N133" s="48"/>
    </row>
    <row r="134" spans="1:14" x14ac:dyDescent="0.25">
      <c r="A134" s="303" t="s">
        <v>464</v>
      </c>
      <c r="B134" s="303" t="s">
        <v>82</v>
      </c>
      <c r="C134" s="304" t="s">
        <v>443</v>
      </c>
      <c r="D134" s="304" t="s">
        <v>456</v>
      </c>
      <c r="E134" s="304">
        <v>50</v>
      </c>
      <c r="F134" s="304">
        <v>50</v>
      </c>
      <c r="G134" s="304">
        <v>50</v>
      </c>
      <c r="H134" s="304">
        <v>50</v>
      </c>
      <c r="I134" s="304">
        <f t="shared" si="4"/>
        <v>24402.237516078338</v>
      </c>
      <c r="J134" s="73"/>
      <c r="K134" s="48"/>
      <c r="L134" s="48"/>
      <c r="M134" s="14"/>
      <c r="N134" s="48"/>
    </row>
    <row r="135" spans="1:14" x14ac:dyDescent="0.25">
      <c r="A135" s="303" t="s">
        <v>464</v>
      </c>
      <c r="B135" s="303" t="s">
        <v>82</v>
      </c>
      <c r="C135" s="304" t="s">
        <v>443</v>
      </c>
      <c r="D135" s="304" t="s">
        <v>444</v>
      </c>
      <c r="E135" s="304">
        <v>7000</v>
      </c>
      <c r="F135" s="304">
        <v>4229</v>
      </c>
      <c r="G135" s="304">
        <v>5509</v>
      </c>
      <c r="H135" s="304">
        <v>5283</v>
      </c>
      <c r="I135" s="304">
        <f t="shared" si="4"/>
        <v>985197.99629340007</v>
      </c>
      <c r="J135" s="73"/>
      <c r="K135" s="48"/>
      <c r="L135" s="48"/>
      <c r="M135" s="14"/>
      <c r="N135" s="48"/>
    </row>
    <row r="136" spans="1:14" x14ac:dyDescent="0.25">
      <c r="A136" s="303" t="s">
        <v>464</v>
      </c>
      <c r="B136" s="303" t="s">
        <v>82</v>
      </c>
      <c r="C136" s="304" t="s">
        <v>443</v>
      </c>
      <c r="D136" s="304" t="s">
        <v>444</v>
      </c>
      <c r="E136" s="304">
        <v>20000</v>
      </c>
      <c r="F136" s="304">
        <v>9851</v>
      </c>
      <c r="G136" s="304">
        <v>11967</v>
      </c>
      <c r="H136" s="304">
        <v>9230</v>
      </c>
      <c r="I136" s="304">
        <f t="shared" si="4"/>
        <v>1965297.3848402943</v>
      </c>
      <c r="J136" s="73"/>
      <c r="K136" s="48"/>
      <c r="L136" s="48"/>
      <c r="M136" s="14"/>
      <c r="N136" s="48"/>
    </row>
    <row r="137" spans="1:14" x14ac:dyDescent="0.25">
      <c r="A137" s="303" t="s">
        <v>464</v>
      </c>
      <c r="B137" s="303" t="s">
        <v>82</v>
      </c>
      <c r="C137" s="304" t="s">
        <v>443</v>
      </c>
      <c r="D137" s="304" t="s">
        <v>447</v>
      </c>
      <c r="E137" s="304">
        <v>1500</v>
      </c>
      <c r="F137" s="304">
        <v>1500</v>
      </c>
      <c r="G137" s="304">
        <v>1500</v>
      </c>
      <c r="H137" s="304">
        <v>550</v>
      </c>
      <c r="I137" s="304">
        <f t="shared" si="4"/>
        <v>321592.979331968</v>
      </c>
      <c r="J137" s="73"/>
      <c r="K137" s="48"/>
      <c r="L137" s="48"/>
      <c r="M137" s="14"/>
      <c r="N137" s="48"/>
    </row>
    <row r="138" spans="1:14" x14ac:dyDescent="0.25">
      <c r="A138" s="303" t="s">
        <v>464</v>
      </c>
      <c r="B138" s="303" t="s">
        <v>82</v>
      </c>
      <c r="C138" s="304" t="s">
        <v>443</v>
      </c>
      <c r="D138" s="304" t="s">
        <v>456</v>
      </c>
      <c r="E138" s="304">
        <v>75</v>
      </c>
      <c r="F138" s="304">
        <v>75</v>
      </c>
      <c r="G138" s="304">
        <v>75</v>
      </c>
      <c r="H138" s="304">
        <v>75</v>
      </c>
      <c r="I138" s="304">
        <f t="shared" si="4"/>
        <v>30117.645242678227</v>
      </c>
      <c r="J138" s="73"/>
      <c r="K138" s="48"/>
      <c r="L138" s="48"/>
      <c r="M138" s="14"/>
      <c r="N138" s="48"/>
    </row>
    <row r="139" spans="1:14" x14ac:dyDescent="0.25">
      <c r="A139" s="303" t="s">
        <v>464</v>
      </c>
      <c r="B139" s="303" t="s">
        <v>82</v>
      </c>
      <c r="C139" s="304" t="s">
        <v>446</v>
      </c>
      <c r="D139" s="304" t="s">
        <v>449</v>
      </c>
      <c r="E139" s="304">
        <v>120</v>
      </c>
      <c r="F139" s="304">
        <v>120</v>
      </c>
      <c r="G139" s="304">
        <v>120</v>
      </c>
      <c r="H139" s="304">
        <v>48</v>
      </c>
      <c r="I139" s="304">
        <f t="shared" si="4"/>
        <v>65684.039252510556</v>
      </c>
      <c r="J139" s="73"/>
      <c r="K139" s="48"/>
      <c r="L139" s="48"/>
      <c r="M139" s="14"/>
      <c r="N139" s="48"/>
    </row>
    <row r="140" spans="1:14" x14ac:dyDescent="0.25">
      <c r="A140" s="303" t="s">
        <v>464</v>
      </c>
      <c r="B140" s="303" t="s">
        <v>82</v>
      </c>
      <c r="C140" s="304" t="s">
        <v>443</v>
      </c>
      <c r="D140" s="304" t="s">
        <v>444</v>
      </c>
      <c r="E140" s="304">
        <v>11000</v>
      </c>
      <c r="F140" s="304">
        <v>2275</v>
      </c>
      <c r="G140" s="304">
        <v>3101</v>
      </c>
      <c r="H140" s="304">
        <v>3344</v>
      </c>
      <c r="I140" s="304">
        <f t="shared" si="4"/>
        <v>1089624.890485412</v>
      </c>
      <c r="J140" s="73"/>
      <c r="K140" s="48"/>
      <c r="L140" s="48"/>
      <c r="M140" s="14"/>
      <c r="N140" s="48"/>
    </row>
    <row r="141" spans="1:14" x14ac:dyDescent="0.25">
      <c r="A141" s="303" t="s">
        <v>464</v>
      </c>
      <c r="B141" s="303" t="s">
        <v>82</v>
      </c>
      <c r="C141" s="304" t="s">
        <v>443</v>
      </c>
      <c r="D141" s="304" t="s">
        <v>456</v>
      </c>
      <c r="E141" s="304">
        <v>85</v>
      </c>
      <c r="F141" s="304">
        <v>85</v>
      </c>
      <c r="G141" s="304">
        <v>85</v>
      </c>
      <c r="H141" s="304">
        <v>85</v>
      </c>
      <c r="I141" s="304">
        <f t="shared" si="4"/>
        <v>32139.020759428484</v>
      </c>
      <c r="J141" s="73"/>
      <c r="K141" s="48"/>
      <c r="L141" s="48"/>
      <c r="M141" s="14"/>
      <c r="N141" s="48"/>
    </row>
    <row r="142" spans="1:14" x14ac:dyDescent="0.25">
      <c r="A142" s="303" t="s">
        <v>464</v>
      </c>
      <c r="B142" s="303" t="s">
        <v>82</v>
      </c>
      <c r="C142" s="304" t="s">
        <v>443</v>
      </c>
      <c r="D142" s="304" t="s">
        <v>456</v>
      </c>
      <c r="E142" s="304">
        <v>135</v>
      </c>
      <c r="F142" s="304">
        <v>135</v>
      </c>
      <c r="G142" s="304">
        <v>135</v>
      </c>
      <c r="H142" s="304">
        <v>135</v>
      </c>
      <c r="I142" s="304">
        <f t="shared" si="4"/>
        <v>40860.854406909166</v>
      </c>
      <c r="J142" s="73"/>
      <c r="K142" s="48"/>
      <c r="L142" s="48"/>
      <c r="M142" s="14"/>
      <c r="N142" s="48"/>
    </row>
    <row r="143" spans="1:14" x14ac:dyDescent="0.25">
      <c r="A143" s="303" t="s">
        <v>464</v>
      </c>
      <c r="B143" s="303" t="s">
        <v>82</v>
      </c>
      <c r="C143" s="304" t="s">
        <v>443</v>
      </c>
      <c r="D143" s="304" t="s">
        <v>444</v>
      </c>
      <c r="E143" s="304">
        <v>4500</v>
      </c>
      <c r="F143" s="304">
        <v>1397</v>
      </c>
      <c r="G143" s="304">
        <v>1778</v>
      </c>
      <c r="H143" s="304">
        <v>1419</v>
      </c>
      <c r="I143" s="304">
        <f t="shared" si="4"/>
        <v>593149.51136086253</v>
      </c>
      <c r="J143" s="73"/>
      <c r="K143" s="48"/>
      <c r="L143" s="48"/>
      <c r="M143" s="14"/>
      <c r="N143" s="48"/>
    </row>
    <row r="144" spans="1:14" x14ac:dyDescent="0.25">
      <c r="A144" s="303" t="s">
        <v>465</v>
      </c>
      <c r="B144" s="303" t="s">
        <v>84</v>
      </c>
      <c r="C144" s="304" t="s">
        <v>443</v>
      </c>
      <c r="D144" s="304" t="s">
        <v>466</v>
      </c>
      <c r="E144" s="304">
        <v>1955</v>
      </c>
      <c r="F144" s="304">
        <v>776</v>
      </c>
      <c r="G144" s="304">
        <v>1037</v>
      </c>
      <c r="H144" s="304">
        <v>1438</v>
      </c>
      <c r="I144" s="304">
        <f t="shared" si="4"/>
        <v>347479.50276236329</v>
      </c>
      <c r="J144" s="73"/>
      <c r="K144" s="48"/>
      <c r="L144" s="48"/>
      <c r="M144" s="14"/>
      <c r="N144" s="48"/>
    </row>
    <row r="145" spans="1:14" x14ac:dyDescent="0.25">
      <c r="A145" s="303" t="s">
        <v>465</v>
      </c>
      <c r="B145" s="303" t="s">
        <v>84</v>
      </c>
      <c r="C145" s="304" t="s">
        <v>446</v>
      </c>
      <c r="D145" s="304" t="s">
        <v>444</v>
      </c>
      <c r="E145" s="304">
        <v>65000</v>
      </c>
      <c r="F145" s="304">
        <v>5599</v>
      </c>
      <c r="G145" s="304">
        <v>6773</v>
      </c>
      <c r="H145" s="304">
        <v>6580</v>
      </c>
      <c r="I145" s="304">
        <f t="shared" si="4"/>
        <v>4080924.2490408015</v>
      </c>
      <c r="J145" s="73"/>
      <c r="K145" s="48"/>
      <c r="L145" s="48"/>
      <c r="M145" s="14"/>
      <c r="N145" s="48"/>
    </row>
    <row r="146" spans="1:14" x14ac:dyDescent="0.25">
      <c r="A146" s="303" t="s">
        <v>465</v>
      </c>
      <c r="B146" s="303" t="s">
        <v>84</v>
      </c>
      <c r="C146" s="304" t="s">
        <v>443</v>
      </c>
      <c r="D146" s="304" t="s">
        <v>445</v>
      </c>
      <c r="E146" s="304">
        <v>2700</v>
      </c>
      <c r="F146" s="304">
        <v>579</v>
      </c>
      <c r="G146" s="304">
        <v>786</v>
      </c>
      <c r="H146" s="304">
        <v>1023</v>
      </c>
      <c r="I146" s="304">
        <f t="shared" si="4"/>
        <v>368366.07999451383</v>
      </c>
      <c r="J146" s="73"/>
      <c r="K146" s="48"/>
      <c r="L146" s="48"/>
      <c r="M146" s="14"/>
      <c r="N146" s="48"/>
    </row>
    <row r="147" spans="1:14" x14ac:dyDescent="0.25">
      <c r="A147" s="303" t="s">
        <v>465</v>
      </c>
      <c r="B147" s="303" t="s">
        <v>84</v>
      </c>
      <c r="C147" s="304" t="s">
        <v>443</v>
      </c>
      <c r="D147" s="304" t="s">
        <v>445</v>
      </c>
      <c r="E147" s="304">
        <v>2500</v>
      </c>
      <c r="F147" s="304">
        <v>355</v>
      </c>
      <c r="G147" s="304">
        <v>621</v>
      </c>
      <c r="H147" s="304">
        <v>820</v>
      </c>
      <c r="I147" s="304">
        <f t="shared" si="4"/>
        <v>342758.90195997962</v>
      </c>
      <c r="J147" s="73"/>
      <c r="K147" s="48"/>
      <c r="L147" s="48"/>
      <c r="M147" s="14"/>
      <c r="N147" s="48"/>
    </row>
    <row r="148" spans="1:14" x14ac:dyDescent="0.25">
      <c r="A148" s="303" t="s">
        <v>465</v>
      </c>
      <c r="B148" s="303" t="s">
        <v>84</v>
      </c>
      <c r="C148" s="304" t="s">
        <v>443</v>
      </c>
      <c r="D148" s="304" t="s">
        <v>448</v>
      </c>
      <c r="E148" s="304">
        <v>2000</v>
      </c>
      <c r="F148" s="304">
        <v>2078</v>
      </c>
      <c r="G148" s="304">
        <v>2307</v>
      </c>
      <c r="H148" s="304">
        <v>3348</v>
      </c>
      <c r="I148" s="304">
        <f t="shared" si="4"/>
        <v>527128.57710340212</v>
      </c>
      <c r="J148" s="73"/>
      <c r="K148" s="48"/>
      <c r="L148" s="48"/>
      <c r="M148" s="14"/>
      <c r="N148" s="48"/>
    </row>
    <row r="149" spans="1:14" x14ac:dyDescent="0.25">
      <c r="A149" s="303" t="s">
        <v>465</v>
      </c>
      <c r="B149" s="303" t="s">
        <v>84</v>
      </c>
      <c r="C149" s="304" t="s">
        <v>443</v>
      </c>
      <c r="D149" s="304" t="s">
        <v>445</v>
      </c>
      <c r="E149" s="304">
        <v>1200</v>
      </c>
      <c r="F149" s="304">
        <v>409</v>
      </c>
      <c r="G149" s="304">
        <v>561</v>
      </c>
      <c r="H149" s="304">
        <v>614</v>
      </c>
      <c r="I149" s="304">
        <f t="shared" si="4"/>
        <v>234369.98333714585</v>
      </c>
      <c r="J149" s="73"/>
      <c r="K149" s="48"/>
      <c r="L149" s="48"/>
      <c r="M149" s="14"/>
      <c r="N149" s="48"/>
    </row>
    <row r="150" spans="1:14" x14ac:dyDescent="0.25">
      <c r="A150" s="303" t="s">
        <v>465</v>
      </c>
      <c r="B150" s="303" t="s">
        <v>84</v>
      </c>
      <c r="C150" s="304" t="s">
        <v>443</v>
      </c>
      <c r="D150" s="304" t="s">
        <v>445</v>
      </c>
      <c r="E150" s="304">
        <v>633</v>
      </c>
      <c r="F150" s="304">
        <v>139</v>
      </c>
      <c r="G150" s="304">
        <v>186</v>
      </c>
      <c r="H150" s="304">
        <v>258</v>
      </c>
      <c r="I150" s="304">
        <f t="shared" si="4"/>
        <v>149872.89283594606</v>
      </c>
      <c r="J150" s="73"/>
      <c r="K150" s="48"/>
      <c r="L150" s="48"/>
      <c r="M150" s="14"/>
      <c r="N150" s="48"/>
    </row>
    <row r="151" spans="1:14" x14ac:dyDescent="0.25">
      <c r="A151" s="303" t="s">
        <v>465</v>
      </c>
      <c r="B151" s="303" t="s">
        <v>84</v>
      </c>
      <c r="C151" s="304" t="s">
        <v>443</v>
      </c>
      <c r="D151" s="304" t="s">
        <v>466</v>
      </c>
      <c r="E151" s="304">
        <v>2526</v>
      </c>
      <c r="F151" s="304">
        <v>1897</v>
      </c>
      <c r="G151" s="304">
        <v>2740</v>
      </c>
      <c r="H151" s="304">
        <v>1933</v>
      </c>
      <c r="I151" s="304">
        <f t="shared" si="4"/>
        <v>458125.33716011501</v>
      </c>
      <c r="J151" s="73"/>
      <c r="K151" s="48"/>
      <c r="L151" s="48"/>
      <c r="M151" s="14"/>
      <c r="N151" s="48"/>
    </row>
    <row r="152" spans="1:14" x14ac:dyDescent="0.25">
      <c r="A152" s="303" t="s">
        <v>465</v>
      </c>
      <c r="B152" s="303" t="s">
        <v>84</v>
      </c>
      <c r="C152" s="304" t="s">
        <v>446</v>
      </c>
      <c r="D152" s="304" t="s">
        <v>444</v>
      </c>
      <c r="E152" s="304">
        <v>38333</v>
      </c>
      <c r="F152" s="304">
        <v>30372</v>
      </c>
      <c r="G152" s="304">
        <v>38318</v>
      </c>
      <c r="H152" s="304">
        <v>30371</v>
      </c>
      <c r="I152" s="304">
        <f t="shared" si="4"/>
        <v>4283278.2060443535</v>
      </c>
      <c r="J152" s="73"/>
      <c r="K152" s="48"/>
      <c r="L152" s="48"/>
      <c r="M152" s="14"/>
      <c r="N152" s="48"/>
    </row>
    <row r="153" spans="1:14" x14ac:dyDescent="0.25">
      <c r="A153" s="303" t="s">
        <v>465</v>
      </c>
      <c r="B153" s="303" t="s">
        <v>84</v>
      </c>
      <c r="C153" s="304" t="s">
        <v>446</v>
      </c>
      <c r="D153" s="304" t="s">
        <v>444</v>
      </c>
      <c r="E153" s="304">
        <v>10223</v>
      </c>
      <c r="F153" s="304">
        <v>10696</v>
      </c>
      <c r="G153" s="304">
        <v>14579</v>
      </c>
      <c r="H153" s="304">
        <v>9178</v>
      </c>
      <c r="I153" s="304">
        <f t="shared" si="4"/>
        <v>1866866.994966333</v>
      </c>
      <c r="J153" s="73"/>
      <c r="K153" s="48"/>
      <c r="L153" s="48"/>
      <c r="M153" s="14"/>
      <c r="N153" s="48"/>
    </row>
    <row r="154" spans="1:14" x14ac:dyDescent="0.25">
      <c r="A154" s="303" t="s">
        <v>465</v>
      </c>
      <c r="B154" s="303" t="s">
        <v>84</v>
      </c>
      <c r="C154" s="304" t="s">
        <v>443</v>
      </c>
      <c r="D154" s="304" t="s">
        <v>448</v>
      </c>
      <c r="E154" s="304">
        <v>760</v>
      </c>
      <c r="F154" s="304">
        <v>1077</v>
      </c>
      <c r="G154" s="304">
        <v>1460</v>
      </c>
      <c r="H154" s="304">
        <v>940</v>
      </c>
      <c r="I154" s="304">
        <f t="shared" si="4"/>
        <v>275983.7306548339</v>
      </c>
      <c r="J154" s="73"/>
      <c r="K154" s="48"/>
      <c r="L154" s="48"/>
      <c r="M154" s="14"/>
      <c r="N154" s="48"/>
    </row>
    <row r="155" spans="1:14" x14ac:dyDescent="0.25">
      <c r="A155" s="303" t="s">
        <v>85</v>
      </c>
      <c r="B155" s="303" t="s">
        <v>86</v>
      </c>
      <c r="C155" s="304" t="s">
        <v>443</v>
      </c>
      <c r="D155" s="304" t="s">
        <v>449</v>
      </c>
      <c r="E155" s="304">
        <v>150</v>
      </c>
      <c r="F155" s="304">
        <v>13</v>
      </c>
      <c r="G155" s="304">
        <v>18</v>
      </c>
      <c r="H155" s="304">
        <v>40</v>
      </c>
      <c r="I155" s="304">
        <f t="shared" si="4"/>
        <v>56709.150507102269</v>
      </c>
      <c r="J155" s="73"/>
      <c r="K155" s="48"/>
      <c r="L155" s="48"/>
      <c r="M155" s="14"/>
      <c r="N155" s="48"/>
    </row>
    <row r="156" spans="1:14" x14ac:dyDescent="0.25">
      <c r="A156" s="303" t="s">
        <v>85</v>
      </c>
      <c r="B156" s="303" t="s">
        <v>86</v>
      </c>
      <c r="C156" s="304" t="s">
        <v>443</v>
      </c>
      <c r="D156" s="304" t="s">
        <v>444</v>
      </c>
      <c r="E156" s="304">
        <v>41600</v>
      </c>
      <c r="F156" s="304">
        <v>21458</v>
      </c>
      <c r="G156" s="304">
        <v>29917</v>
      </c>
      <c r="H156" s="304">
        <v>28858</v>
      </c>
      <c r="I156" s="304">
        <f t="shared" si="4"/>
        <v>3554781.6367609515</v>
      </c>
      <c r="J156" s="73"/>
      <c r="K156" s="48"/>
      <c r="L156" s="48"/>
      <c r="M156" s="14"/>
      <c r="N156" s="48"/>
    </row>
    <row r="157" spans="1:14" x14ac:dyDescent="0.25">
      <c r="A157" s="303" t="s">
        <v>467</v>
      </c>
      <c r="B157" s="303" t="s">
        <v>88</v>
      </c>
      <c r="C157" s="304" t="s">
        <v>443</v>
      </c>
      <c r="D157" s="304" t="s">
        <v>444</v>
      </c>
      <c r="E157" s="304">
        <v>1000</v>
      </c>
      <c r="F157" s="304">
        <v>320</v>
      </c>
      <c r="G157" s="304">
        <v>337</v>
      </c>
      <c r="H157" s="304">
        <v>413</v>
      </c>
      <c r="I157" s="304">
        <f t="shared" si="4"/>
        <v>197912.08901603808</v>
      </c>
      <c r="J157" s="73"/>
      <c r="K157" s="48"/>
      <c r="L157" s="48"/>
      <c r="M157" s="14"/>
      <c r="N157" s="48"/>
    </row>
    <row r="158" spans="1:14" x14ac:dyDescent="0.25">
      <c r="A158" s="303" t="s">
        <v>467</v>
      </c>
      <c r="B158" s="303" t="s">
        <v>88</v>
      </c>
      <c r="C158" s="304" t="s">
        <v>443</v>
      </c>
      <c r="D158" s="304" t="s">
        <v>444</v>
      </c>
      <c r="E158" s="304">
        <v>22000</v>
      </c>
      <c r="F158" s="304">
        <v>19985</v>
      </c>
      <c r="G158" s="304">
        <v>17676</v>
      </c>
      <c r="H158" s="304">
        <v>11246</v>
      </c>
      <c r="I158" s="304">
        <f t="shared" si="4"/>
        <v>2401955.6912671207</v>
      </c>
      <c r="J158" s="73"/>
      <c r="K158" s="48"/>
      <c r="L158" s="48"/>
      <c r="M158" s="14"/>
      <c r="N158" s="48"/>
    </row>
    <row r="159" spans="1:14" x14ac:dyDescent="0.25">
      <c r="A159" s="303" t="s">
        <v>467</v>
      </c>
      <c r="B159" s="303" t="s">
        <v>88</v>
      </c>
      <c r="C159" s="304" t="s">
        <v>443</v>
      </c>
      <c r="D159" s="304" t="s">
        <v>444</v>
      </c>
      <c r="E159" s="304">
        <v>45000</v>
      </c>
      <c r="F159" s="304">
        <v>26001</v>
      </c>
      <c r="G159" s="304">
        <v>30024</v>
      </c>
      <c r="H159" s="304">
        <v>23209</v>
      </c>
      <c r="I159" s="304">
        <f t="shared" si="4"/>
        <v>3682265.0877707419</v>
      </c>
      <c r="J159" s="73"/>
      <c r="K159" s="48"/>
      <c r="L159" s="48"/>
      <c r="M159" s="14"/>
      <c r="N159" s="48"/>
    </row>
    <row r="160" spans="1:14" x14ac:dyDescent="0.25">
      <c r="A160" s="303" t="s">
        <v>467</v>
      </c>
      <c r="B160" s="303" t="s">
        <v>88</v>
      </c>
      <c r="C160" s="304" t="s">
        <v>443</v>
      </c>
      <c r="D160" s="304" t="s">
        <v>444</v>
      </c>
      <c r="E160" s="304">
        <v>6000</v>
      </c>
      <c r="F160" s="304">
        <v>5433</v>
      </c>
      <c r="G160" s="304">
        <v>6461</v>
      </c>
      <c r="H160" s="304">
        <v>5175</v>
      </c>
      <c r="I160" s="304">
        <f t="shared" si="4"/>
        <v>982414.18202522397</v>
      </c>
      <c r="J160" s="73"/>
      <c r="K160" s="48"/>
      <c r="L160" s="48"/>
      <c r="M160" s="14"/>
      <c r="N160" s="48"/>
    </row>
    <row r="161" spans="1:14" x14ac:dyDescent="0.25">
      <c r="A161" s="303" t="s">
        <v>467</v>
      </c>
      <c r="B161" s="303" t="s">
        <v>88</v>
      </c>
      <c r="C161" s="304" t="s">
        <v>443</v>
      </c>
      <c r="D161" s="304" t="s">
        <v>444</v>
      </c>
      <c r="E161" s="304">
        <v>7500</v>
      </c>
      <c r="F161" s="304">
        <v>5134</v>
      </c>
      <c r="G161" s="304">
        <v>5733</v>
      </c>
      <c r="H161" s="304">
        <v>4345</v>
      </c>
      <c r="I161" s="304">
        <f t="shared" si="4"/>
        <v>1026852.8428650466</v>
      </c>
      <c r="J161" s="73"/>
      <c r="K161" s="48"/>
      <c r="L161" s="48"/>
      <c r="M161" s="14"/>
      <c r="N161" s="48"/>
    </row>
    <row r="162" spans="1:14" x14ac:dyDescent="0.25">
      <c r="A162" s="303" t="s">
        <v>468</v>
      </c>
      <c r="B162" s="303" t="s">
        <v>90</v>
      </c>
      <c r="C162" s="304" t="s">
        <v>443</v>
      </c>
      <c r="D162" s="304" t="s">
        <v>444</v>
      </c>
      <c r="E162" s="304">
        <v>7000</v>
      </c>
      <c r="F162" s="304">
        <v>9954</v>
      </c>
      <c r="G162" s="304">
        <v>8713</v>
      </c>
      <c r="H162" s="304">
        <v>6288</v>
      </c>
      <c r="I162" s="304">
        <f t="shared" si="4"/>
        <v>1232287.4213411852</v>
      </c>
      <c r="J162" s="73"/>
      <c r="K162" s="48"/>
      <c r="L162" s="48"/>
      <c r="M162" s="14"/>
      <c r="N162" s="48"/>
    </row>
    <row r="163" spans="1:14" x14ac:dyDescent="0.25">
      <c r="A163" s="303" t="s">
        <v>468</v>
      </c>
      <c r="B163" s="303" t="s">
        <v>90</v>
      </c>
      <c r="C163" s="304" t="s">
        <v>443</v>
      </c>
      <c r="D163" s="304" t="s">
        <v>448</v>
      </c>
      <c r="E163" s="304">
        <v>7000</v>
      </c>
      <c r="F163" s="304">
        <v>3551</v>
      </c>
      <c r="G163" s="304">
        <v>4098</v>
      </c>
      <c r="H163" s="304">
        <v>3636</v>
      </c>
      <c r="I163" s="304">
        <f t="shared" si="4"/>
        <v>902127.259532645</v>
      </c>
      <c r="J163" s="73"/>
      <c r="K163" s="48"/>
      <c r="L163" s="48"/>
      <c r="M163" s="14"/>
      <c r="N163" s="48"/>
    </row>
    <row r="164" spans="1:14" x14ac:dyDescent="0.25">
      <c r="A164" s="303" t="s">
        <v>468</v>
      </c>
      <c r="B164" s="303" t="s">
        <v>90</v>
      </c>
      <c r="C164" s="304" t="s">
        <v>443</v>
      </c>
      <c r="D164" s="304" t="s">
        <v>444</v>
      </c>
      <c r="E164" s="304">
        <v>480</v>
      </c>
      <c r="F164" s="304">
        <v>114</v>
      </c>
      <c r="G164" s="304">
        <v>153</v>
      </c>
      <c r="H164" s="304">
        <v>234</v>
      </c>
      <c r="I164" s="304">
        <f t="shared" si="4"/>
        <v>119753.87512075443</v>
      </c>
      <c r="J164" s="73"/>
      <c r="K164" s="48"/>
      <c r="L164" s="48"/>
      <c r="M164" s="14"/>
      <c r="N164" s="48"/>
    </row>
    <row r="165" spans="1:14" x14ac:dyDescent="0.25">
      <c r="A165" s="303" t="s">
        <v>468</v>
      </c>
      <c r="B165" s="303" t="s">
        <v>90</v>
      </c>
      <c r="C165" s="304" t="s">
        <v>443</v>
      </c>
      <c r="D165" s="304" t="s">
        <v>448</v>
      </c>
      <c r="E165" s="304">
        <v>480</v>
      </c>
      <c r="F165" s="304">
        <v>215</v>
      </c>
      <c r="G165" s="304">
        <v>241</v>
      </c>
      <c r="H165" s="304">
        <v>340</v>
      </c>
      <c r="I165" s="304">
        <f t="shared" si="4"/>
        <v>132597.30191628641</v>
      </c>
      <c r="J165" s="73"/>
      <c r="K165" s="48"/>
      <c r="L165" s="48"/>
      <c r="M165" s="14"/>
      <c r="N165" s="48"/>
    </row>
    <row r="166" spans="1:14" x14ac:dyDescent="0.25">
      <c r="A166" s="303" t="s">
        <v>468</v>
      </c>
      <c r="B166" s="303" t="s">
        <v>90</v>
      </c>
      <c r="C166" s="304" t="s">
        <v>443</v>
      </c>
      <c r="D166" s="304" t="s">
        <v>444</v>
      </c>
      <c r="E166" s="304">
        <v>2500</v>
      </c>
      <c r="F166" s="304">
        <v>1548</v>
      </c>
      <c r="G166" s="304">
        <v>1740</v>
      </c>
      <c r="H166" s="304">
        <v>1395</v>
      </c>
      <c r="I166" s="304">
        <f t="shared" si="4"/>
        <v>444333.40245341486</v>
      </c>
      <c r="J166" s="73"/>
      <c r="K166" s="48"/>
      <c r="L166" s="48"/>
      <c r="M166" s="14"/>
      <c r="N166" s="48"/>
    </row>
    <row r="167" spans="1:14" x14ac:dyDescent="0.25">
      <c r="A167" s="303" t="s">
        <v>468</v>
      </c>
      <c r="B167" s="303" t="s">
        <v>90</v>
      </c>
      <c r="C167" s="304" t="s">
        <v>443</v>
      </c>
      <c r="D167" s="304" t="s">
        <v>444</v>
      </c>
      <c r="E167" s="304">
        <v>4749</v>
      </c>
      <c r="F167" s="304">
        <v>3858</v>
      </c>
      <c r="G167" s="304">
        <v>2791</v>
      </c>
      <c r="H167" s="304">
        <v>2508</v>
      </c>
      <c r="I167" s="304">
        <f t="shared" si="4"/>
        <v>748201.57622209704</v>
      </c>
      <c r="J167" s="73"/>
      <c r="K167" s="48"/>
      <c r="L167" s="48"/>
      <c r="M167" s="14"/>
      <c r="N167" s="48"/>
    </row>
    <row r="168" spans="1:14" x14ac:dyDescent="0.25">
      <c r="A168" s="303" t="s">
        <v>468</v>
      </c>
      <c r="B168" s="303" t="s">
        <v>90</v>
      </c>
      <c r="C168" s="304" t="s">
        <v>443</v>
      </c>
      <c r="D168" s="304" t="s">
        <v>466</v>
      </c>
      <c r="E168" s="304">
        <v>199</v>
      </c>
      <c r="F168" s="304">
        <v>91</v>
      </c>
      <c r="G168" s="304">
        <v>88</v>
      </c>
      <c r="H168" s="304">
        <v>100</v>
      </c>
      <c r="I168" s="304">
        <f t="shared" si="4"/>
        <v>75421.403942116609</v>
      </c>
      <c r="J168" s="73"/>
      <c r="K168" s="48"/>
      <c r="L168" s="48"/>
      <c r="M168" s="14"/>
      <c r="N168" s="48"/>
    </row>
    <row r="169" spans="1:14" x14ac:dyDescent="0.25">
      <c r="A169" s="303" t="s">
        <v>468</v>
      </c>
      <c r="B169" s="303" t="s">
        <v>90</v>
      </c>
      <c r="C169" s="304" t="s">
        <v>443</v>
      </c>
      <c r="D169" s="304" t="s">
        <v>445</v>
      </c>
      <c r="E169" s="304">
        <v>480</v>
      </c>
      <c r="F169" s="304">
        <v>390</v>
      </c>
      <c r="G169" s="304">
        <v>455</v>
      </c>
      <c r="H169" s="304">
        <v>466</v>
      </c>
      <c r="I169" s="304">
        <f t="shared" si="4"/>
        <v>155626.28045564893</v>
      </c>
      <c r="J169" s="73"/>
      <c r="K169" s="48"/>
      <c r="L169" s="48"/>
      <c r="M169" s="14"/>
      <c r="N169" s="48"/>
    </row>
    <row r="170" spans="1:14" x14ac:dyDescent="0.25">
      <c r="A170" s="303" t="s">
        <v>468</v>
      </c>
      <c r="B170" s="303" t="s">
        <v>90</v>
      </c>
      <c r="C170" s="304" t="s">
        <v>446</v>
      </c>
      <c r="D170" s="304" t="s">
        <v>444</v>
      </c>
      <c r="E170" s="304">
        <v>150000</v>
      </c>
      <c r="F170" s="304">
        <v>160493</v>
      </c>
      <c r="G170" s="304">
        <v>144591</v>
      </c>
      <c r="H170" s="304">
        <v>100625</v>
      </c>
      <c r="I170" s="304">
        <f t="shared" si="4"/>
        <v>11992819.545674255</v>
      </c>
      <c r="J170" s="73"/>
      <c r="K170" s="48"/>
      <c r="L170" s="48"/>
      <c r="M170" s="14"/>
      <c r="N170" s="48"/>
    </row>
    <row r="171" spans="1:14" x14ac:dyDescent="0.25">
      <c r="A171" s="303" t="s">
        <v>468</v>
      </c>
      <c r="B171" s="303" t="s">
        <v>90</v>
      </c>
      <c r="C171" s="304" t="s">
        <v>446</v>
      </c>
      <c r="D171" s="304" t="s">
        <v>448</v>
      </c>
      <c r="E171" s="304">
        <v>7500</v>
      </c>
      <c r="F171" s="304">
        <v>7963</v>
      </c>
      <c r="G171" s="304">
        <v>7985</v>
      </c>
      <c r="H171" s="304">
        <v>5565</v>
      </c>
      <c r="I171" s="304">
        <f t="shared" si="4"/>
        <v>1319914.5445803332</v>
      </c>
      <c r="J171" s="73"/>
      <c r="K171" s="48"/>
      <c r="L171" s="48"/>
      <c r="M171" s="14"/>
      <c r="N171" s="48"/>
    </row>
    <row r="172" spans="1:14" x14ac:dyDescent="0.25">
      <c r="A172" s="303" t="s">
        <v>468</v>
      </c>
      <c r="B172" s="303" t="s">
        <v>90</v>
      </c>
      <c r="C172" s="304" t="s">
        <v>443</v>
      </c>
      <c r="D172" s="304" t="s">
        <v>448</v>
      </c>
      <c r="E172" s="304">
        <v>130</v>
      </c>
      <c r="F172" s="304">
        <v>64</v>
      </c>
      <c r="G172" s="304">
        <v>56</v>
      </c>
      <c r="H172" s="304">
        <v>50</v>
      </c>
      <c r="I172" s="304">
        <f t="shared" si="4"/>
        <v>45897.57762621859</v>
      </c>
      <c r="J172" s="73"/>
      <c r="K172" s="48"/>
      <c r="L172" s="48"/>
      <c r="M172" s="14"/>
      <c r="N172" s="48"/>
    </row>
    <row r="173" spans="1:14" x14ac:dyDescent="0.25">
      <c r="A173" s="303" t="s">
        <v>469</v>
      </c>
      <c r="B173" s="303" t="s">
        <v>94</v>
      </c>
      <c r="C173" s="304" t="s">
        <v>443</v>
      </c>
      <c r="D173" s="304" t="s">
        <v>444</v>
      </c>
      <c r="E173" s="304">
        <v>12000</v>
      </c>
      <c r="F173" s="304">
        <v>6363</v>
      </c>
      <c r="G173" s="304">
        <v>8322</v>
      </c>
      <c r="H173" s="304">
        <v>6849</v>
      </c>
      <c r="I173" s="304">
        <f t="shared" si="4"/>
        <v>1408091.8889136487</v>
      </c>
      <c r="J173" s="73"/>
      <c r="K173" s="48"/>
      <c r="L173" s="48"/>
      <c r="M173" s="14"/>
      <c r="N173" s="48"/>
    </row>
    <row r="174" spans="1:14" x14ac:dyDescent="0.25">
      <c r="A174" s="303" t="s">
        <v>469</v>
      </c>
      <c r="B174" s="303" t="s">
        <v>94</v>
      </c>
      <c r="C174" s="304" t="s">
        <v>446</v>
      </c>
      <c r="D174" s="304" t="s">
        <v>444</v>
      </c>
      <c r="E174" s="304">
        <v>100000</v>
      </c>
      <c r="F174" s="304">
        <v>38185</v>
      </c>
      <c r="G174" s="304">
        <v>55183</v>
      </c>
      <c r="H174" s="304">
        <v>49315</v>
      </c>
      <c r="I174" s="304">
        <f t="shared" si="4"/>
        <v>7198341.6218868094</v>
      </c>
      <c r="J174" s="73"/>
      <c r="K174" s="48"/>
      <c r="L174" s="48"/>
      <c r="M174" s="14"/>
      <c r="N174" s="48"/>
    </row>
    <row r="175" spans="1:14" x14ac:dyDescent="0.25">
      <c r="A175" s="303" t="s">
        <v>469</v>
      </c>
      <c r="B175" s="303" t="s">
        <v>94</v>
      </c>
      <c r="C175" s="304" t="s">
        <v>443</v>
      </c>
      <c r="D175" s="304" t="s">
        <v>448</v>
      </c>
      <c r="E175" s="304">
        <v>1200</v>
      </c>
      <c r="F175" s="304">
        <v>264</v>
      </c>
      <c r="G175" s="304">
        <v>401</v>
      </c>
      <c r="H175" s="304">
        <v>457</v>
      </c>
      <c r="I175" s="304">
        <f t="shared" si="4"/>
        <v>222530.25110816699</v>
      </c>
      <c r="J175" s="73"/>
      <c r="K175" s="48"/>
      <c r="L175" s="48"/>
      <c r="M175" s="14"/>
      <c r="N175" s="48"/>
    </row>
    <row r="176" spans="1:14" x14ac:dyDescent="0.25">
      <c r="A176" s="303" t="s">
        <v>469</v>
      </c>
      <c r="B176" s="303" t="s">
        <v>94</v>
      </c>
      <c r="C176" s="304" t="s">
        <v>446</v>
      </c>
      <c r="D176" s="304" t="s">
        <v>448</v>
      </c>
      <c r="E176" s="304">
        <v>2000</v>
      </c>
      <c r="F176" s="304">
        <v>773</v>
      </c>
      <c r="G176" s="304">
        <v>1126</v>
      </c>
      <c r="H176" s="304">
        <v>913</v>
      </c>
      <c r="I176" s="304">
        <f t="shared" si="4"/>
        <v>406521.05952724296</v>
      </c>
      <c r="J176" s="73"/>
      <c r="K176" s="48"/>
      <c r="L176" s="48"/>
      <c r="M176" s="14"/>
      <c r="N176" s="48"/>
    </row>
    <row r="177" spans="1:14" x14ac:dyDescent="0.25">
      <c r="A177" s="303" t="s">
        <v>469</v>
      </c>
      <c r="B177" s="303" t="s">
        <v>94</v>
      </c>
      <c r="C177" s="304" t="s">
        <v>443</v>
      </c>
      <c r="D177" s="304" t="s">
        <v>448</v>
      </c>
      <c r="E177" s="304">
        <v>1800</v>
      </c>
      <c r="F177" s="304">
        <v>901</v>
      </c>
      <c r="G177" s="304">
        <v>1171</v>
      </c>
      <c r="H177" s="304">
        <v>1598</v>
      </c>
      <c r="I177" s="304">
        <f t="shared" si="4"/>
        <v>377527.06822206371</v>
      </c>
      <c r="J177" s="73"/>
      <c r="K177" s="48"/>
      <c r="L177" s="48"/>
      <c r="M177" s="14"/>
      <c r="N177" s="48"/>
    </row>
    <row r="178" spans="1:14" x14ac:dyDescent="0.25">
      <c r="A178" s="303" t="s">
        <v>469</v>
      </c>
      <c r="B178" s="303" t="s">
        <v>94</v>
      </c>
      <c r="C178" s="304" t="s">
        <v>443</v>
      </c>
      <c r="D178" s="304" t="s">
        <v>448</v>
      </c>
      <c r="E178" s="304">
        <v>1233</v>
      </c>
      <c r="F178" s="304">
        <v>579</v>
      </c>
      <c r="G178" s="304">
        <v>707</v>
      </c>
      <c r="H178" s="304">
        <v>913</v>
      </c>
      <c r="I178" s="304">
        <f t="shared" si="4"/>
        <v>269182.71179706225</v>
      </c>
      <c r="J178" s="73"/>
      <c r="K178" s="48"/>
      <c r="L178" s="48"/>
      <c r="M178" s="14"/>
      <c r="N178" s="48"/>
    </row>
    <row r="179" spans="1:14" x14ac:dyDescent="0.25">
      <c r="A179" s="303" t="s">
        <v>470</v>
      </c>
      <c r="B179" s="303" t="s">
        <v>96</v>
      </c>
      <c r="C179" s="304" t="s">
        <v>443</v>
      </c>
      <c r="D179" s="304" t="s">
        <v>445</v>
      </c>
      <c r="E179" s="304">
        <v>7000</v>
      </c>
      <c r="F179" s="304">
        <v>71</v>
      </c>
      <c r="G179" s="304">
        <v>61</v>
      </c>
      <c r="H179" s="304">
        <v>89</v>
      </c>
      <c r="I179" s="304">
        <f t="shared" si="4"/>
        <v>552303.624974921</v>
      </c>
      <c r="J179" s="73"/>
      <c r="K179" s="48"/>
      <c r="L179" s="48"/>
      <c r="M179" s="14"/>
      <c r="N179" s="48"/>
    </row>
    <row r="180" spans="1:14" x14ac:dyDescent="0.25">
      <c r="A180" s="303" t="s">
        <v>470</v>
      </c>
      <c r="B180" s="303" t="s">
        <v>96</v>
      </c>
      <c r="C180" s="304" t="s">
        <v>443</v>
      </c>
      <c r="D180" s="304" t="s">
        <v>456</v>
      </c>
      <c r="E180" s="304">
        <v>150</v>
      </c>
      <c r="F180" s="304">
        <v>0</v>
      </c>
      <c r="G180" s="304">
        <v>0</v>
      </c>
      <c r="H180" s="304">
        <v>0</v>
      </c>
      <c r="I180" s="304">
        <f t="shared" si="4"/>
        <v>30117.645242678227</v>
      </c>
      <c r="J180" s="73"/>
      <c r="K180" s="48"/>
      <c r="L180" s="48"/>
      <c r="M180" s="14"/>
      <c r="N180" s="48"/>
    </row>
    <row r="181" spans="1:14" x14ac:dyDescent="0.25">
      <c r="A181" s="303" t="s">
        <v>470</v>
      </c>
      <c r="B181" s="303" t="s">
        <v>96</v>
      </c>
      <c r="C181" s="304" t="s">
        <v>443</v>
      </c>
      <c r="D181" s="304" t="s">
        <v>445</v>
      </c>
      <c r="E181" s="304">
        <v>400</v>
      </c>
      <c r="F181" s="304">
        <v>103</v>
      </c>
      <c r="G181" s="304">
        <v>105</v>
      </c>
      <c r="H181" s="304">
        <v>142</v>
      </c>
      <c r="I181" s="304">
        <f t="shared" si="4"/>
        <v>109637.00250603484</v>
      </c>
      <c r="J181" s="73"/>
      <c r="K181" s="48"/>
      <c r="L181" s="48"/>
      <c r="M181" s="14"/>
      <c r="N181" s="48"/>
    </row>
    <row r="182" spans="1:14" x14ac:dyDescent="0.25">
      <c r="A182" s="303" t="s">
        <v>470</v>
      </c>
      <c r="B182" s="303" t="s">
        <v>96</v>
      </c>
      <c r="C182" s="304" t="s">
        <v>443</v>
      </c>
      <c r="D182" s="304" t="s">
        <v>456</v>
      </c>
      <c r="E182" s="304">
        <v>250</v>
      </c>
      <c r="F182" s="304">
        <v>0</v>
      </c>
      <c r="G182" s="304">
        <v>0</v>
      </c>
      <c r="H182" s="304">
        <v>0</v>
      </c>
      <c r="I182" s="304">
        <f t="shared" si="4"/>
        <v>39260.923820961776</v>
      </c>
      <c r="J182" s="73"/>
      <c r="K182" s="48"/>
      <c r="L182" s="48"/>
      <c r="M182" s="14"/>
      <c r="N182" s="48"/>
    </row>
    <row r="183" spans="1:14" x14ac:dyDescent="0.25">
      <c r="A183" s="303" t="s">
        <v>470</v>
      </c>
      <c r="B183" s="303" t="s">
        <v>96</v>
      </c>
      <c r="C183" s="304" t="s">
        <v>443</v>
      </c>
      <c r="D183" s="304" t="s">
        <v>456</v>
      </c>
      <c r="E183" s="304">
        <v>260</v>
      </c>
      <c r="F183" s="304">
        <v>0</v>
      </c>
      <c r="G183" s="304">
        <v>0</v>
      </c>
      <c r="H183" s="304">
        <v>0</v>
      </c>
      <c r="I183" s="304">
        <f t="shared" si="4"/>
        <v>40068.290846380522</v>
      </c>
      <c r="J183" s="73"/>
      <c r="K183" s="48"/>
      <c r="L183" s="48"/>
      <c r="M183" s="14"/>
      <c r="N183" s="48"/>
    </row>
    <row r="184" spans="1:14" x14ac:dyDescent="0.25">
      <c r="A184" s="303" t="s">
        <v>470</v>
      </c>
      <c r="B184" s="303" t="s">
        <v>96</v>
      </c>
      <c r="C184" s="304" t="s">
        <v>443</v>
      </c>
      <c r="D184" s="304" t="s">
        <v>444</v>
      </c>
      <c r="E184" s="304">
        <v>10000</v>
      </c>
      <c r="F184" s="304">
        <v>5718</v>
      </c>
      <c r="G184" s="304">
        <v>5073</v>
      </c>
      <c r="H184" s="304">
        <v>5399</v>
      </c>
      <c r="I184" s="304">
        <f t="shared" si="4"/>
        <v>1165510.2389964317</v>
      </c>
      <c r="J184" s="73"/>
      <c r="K184" s="48"/>
      <c r="L184" s="48"/>
      <c r="M184" s="14"/>
      <c r="N184" s="48"/>
    </row>
    <row r="185" spans="1:14" x14ac:dyDescent="0.25">
      <c r="A185" s="303" t="s">
        <v>470</v>
      </c>
      <c r="B185" s="303" t="s">
        <v>96</v>
      </c>
      <c r="C185" s="304" t="s">
        <v>443</v>
      </c>
      <c r="D185" s="304" t="s">
        <v>444</v>
      </c>
      <c r="E185" s="304">
        <v>32000</v>
      </c>
      <c r="F185" s="304">
        <v>12289</v>
      </c>
      <c r="G185" s="304">
        <v>12996</v>
      </c>
      <c r="H185" s="304">
        <v>8225</v>
      </c>
      <c r="I185" s="304">
        <f t="shared" si="4"/>
        <v>2527572.8874592655</v>
      </c>
      <c r="J185" s="73"/>
      <c r="K185" s="48"/>
      <c r="L185" s="48"/>
      <c r="M185" s="14"/>
      <c r="N185" s="48"/>
    </row>
    <row r="186" spans="1:14" x14ac:dyDescent="0.25">
      <c r="A186" s="303" t="s">
        <v>470</v>
      </c>
      <c r="B186" s="303" t="s">
        <v>96</v>
      </c>
      <c r="C186" s="304" t="s">
        <v>443</v>
      </c>
      <c r="D186" s="304" t="s">
        <v>445</v>
      </c>
      <c r="E186" s="304">
        <v>100</v>
      </c>
      <c r="F186" s="304">
        <v>36</v>
      </c>
      <c r="G186" s="304">
        <v>41</v>
      </c>
      <c r="H186" s="304">
        <v>75</v>
      </c>
      <c r="I186" s="304">
        <f t="shared" si="4"/>
        <v>53850.734450832308</v>
      </c>
      <c r="J186" s="73"/>
      <c r="K186" s="48"/>
      <c r="L186" s="48"/>
      <c r="M186" s="14"/>
      <c r="N186" s="48"/>
    </row>
    <row r="187" spans="1:14" x14ac:dyDescent="0.25">
      <c r="A187" s="303" t="s">
        <v>470</v>
      </c>
      <c r="B187" s="303" t="s">
        <v>96</v>
      </c>
      <c r="C187" s="304" t="s">
        <v>443</v>
      </c>
      <c r="D187" s="304" t="s">
        <v>444</v>
      </c>
      <c r="E187" s="304">
        <v>153000</v>
      </c>
      <c r="F187" s="304">
        <v>76566</v>
      </c>
      <c r="G187" s="304">
        <v>80752</v>
      </c>
      <c r="H187" s="304">
        <v>49295</v>
      </c>
      <c r="I187" s="304">
        <f t="shared" si="4"/>
        <v>8499074.1581699494</v>
      </c>
      <c r="J187" s="73"/>
      <c r="K187" s="48"/>
      <c r="L187" s="48"/>
      <c r="M187" s="14"/>
      <c r="N187" s="48"/>
    </row>
    <row r="188" spans="1:14" x14ac:dyDescent="0.25">
      <c r="A188" s="303" t="s">
        <v>470</v>
      </c>
      <c r="B188" s="303" t="s">
        <v>96</v>
      </c>
      <c r="C188" s="304" t="s">
        <v>443</v>
      </c>
      <c r="D188" s="304" t="s">
        <v>444</v>
      </c>
      <c r="E188" s="304">
        <v>133000</v>
      </c>
      <c r="F188" s="304">
        <v>60335</v>
      </c>
      <c r="G188" s="304">
        <v>58508</v>
      </c>
      <c r="H188" s="304">
        <v>31379</v>
      </c>
      <c r="I188" s="304">
        <f t="shared" si="4"/>
        <v>7390812.8819647506</v>
      </c>
      <c r="J188" s="73"/>
      <c r="K188" s="48"/>
      <c r="L188" s="48"/>
      <c r="M188" s="14"/>
      <c r="N188" s="48"/>
    </row>
    <row r="189" spans="1:14" x14ac:dyDescent="0.25">
      <c r="A189" s="303" t="s">
        <v>107</v>
      </c>
      <c r="B189" s="303" t="s">
        <v>108</v>
      </c>
      <c r="C189" s="304" t="s">
        <v>443</v>
      </c>
      <c r="D189" s="304" t="s">
        <v>448</v>
      </c>
      <c r="E189" s="304">
        <v>17000</v>
      </c>
      <c r="F189" s="304">
        <v>6913</v>
      </c>
      <c r="G189" s="304">
        <v>8836</v>
      </c>
      <c r="H189" s="304">
        <v>7485</v>
      </c>
      <c r="I189" s="304">
        <f t="shared" si="4"/>
        <v>1680217.4656836076</v>
      </c>
      <c r="J189" s="73"/>
      <c r="K189" s="48"/>
      <c r="L189" s="48"/>
      <c r="M189" s="14"/>
      <c r="N189" s="48"/>
    </row>
    <row r="190" spans="1:14" x14ac:dyDescent="0.25">
      <c r="A190" s="303" t="s">
        <v>107</v>
      </c>
      <c r="B190" s="303" t="s">
        <v>108</v>
      </c>
      <c r="C190" s="304" t="s">
        <v>443</v>
      </c>
      <c r="D190" s="304" t="s">
        <v>444</v>
      </c>
      <c r="E190" s="304">
        <v>1900</v>
      </c>
      <c r="F190" s="304">
        <v>680</v>
      </c>
      <c r="G190" s="304">
        <v>936</v>
      </c>
      <c r="H190" s="304">
        <v>494</v>
      </c>
      <c r="I190" s="304">
        <f t="shared" si="4"/>
        <v>330490.87620923959</v>
      </c>
      <c r="J190" s="73"/>
      <c r="K190" s="48"/>
      <c r="L190" s="48"/>
      <c r="M190" s="14"/>
      <c r="N190" s="48"/>
    </row>
    <row r="191" spans="1:14" x14ac:dyDescent="0.25">
      <c r="A191" s="303" t="s">
        <v>107</v>
      </c>
      <c r="B191" s="303" t="s">
        <v>108</v>
      </c>
      <c r="C191" s="304" t="s">
        <v>446</v>
      </c>
      <c r="D191" s="304" t="s">
        <v>449</v>
      </c>
      <c r="E191" s="304">
        <v>200</v>
      </c>
      <c r="F191" s="304">
        <v>95</v>
      </c>
      <c r="G191" s="304">
        <v>115</v>
      </c>
      <c r="H191" s="304">
        <v>153</v>
      </c>
      <c r="I191" s="304">
        <f t="shared" si="4"/>
        <v>83722.177314545203</v>
      </c>
      <c r="J191" s="73"/>
      <c r="K191" s="48"/>
      <c r="L191" s="48"/>
      <c r="M191" s="14"/>
      <c r="N191" s="48"/>
    </row>
    <row r="192" spans="1:14" x14ac:dyDescent="0.25">
      <c r="A192" s="303" t="s">
        <v>107</v>
      </c>
      <c r="B192" s="303" t="s">
        <v>108</v>
      </c>
      <c r="C192" s="304" t="s">
        <v>446</v>
      </c>
      <c r="D192" s="304" t="s">
        <v>444</v>
      </c>
      <c r="E192" s="304">
        <v>60000</v>
      </c>
      <c r="F192" s="304">
        <v>45430</v>
      </c>
      <c r="G192" s="304">
        <v>47049</v>
      </c>
      <c r="H192" s="304">
        <v>38683</v>
      </c>
      <c r="I192" s="304">
        <f t="shared" si="4"/>
        <v>5477015.4824496293</v>
      </c>
      <c r="J192" s="73"/>
      <c r="K192" s="48"/>
      <c r="L192" s="48"/>
      <c r="M192" s="14"/>
      <c r="N192" s="48"/>
    </row>
    <row r="193" spans="1:14" x14ac:dyDescent="0.25">
      <c r="A193" s="303" t="s">
        <v>107</v>
      </c>
      <c r="B193" s="303" t="s">
        <v>108</v>
      </c>
      <c r="C193" s="304" t="s">
        <v>443</v>
      </c>
      <c r="D193" s="304" t="s">
        <v>444</v>
      </c>
      <c r="E193" s="304">
        <v>22500</v>
      </c>
      <c r="F193" s="304">
        <v>6305</v>
      </c>
      <c r="G193" s="304">
        <v>6386</v>
      </c>
      <c r="H193" s="304">
        <v>7725</v>
      </c>
      <c r="I193" s="304">
        <f t="shared" si="4"/>
        <v>1885894.0730263405</v>
      </c>
      <c r="J193" s="73"/>
      <c r="K193" s="48"/>
      <c r="L193" s="48"/>
      <c r="M193" s="14"/>
      <c r="N193" s="48"/>
    </row>
    <row r="194" spans="1:14" x14ac:dyDescent="0.25">
      <c r="A194" s="303" t="s">
        <v>107</v>
      </c>
      <c r="B194" s="303" t="s">
        <v>108</v>
      </c>
      <c r="C194" s="304" t="s">
        <v>443</v>
      </c>
      <c r="D194" s="304" t="s">
        <v>444</v>
      </c>
      <c r="E194" s="304">
        <v>5170</v>
      </c>
      <c r="F194" s="304">
        <v>1420</v>
      </c>
      <c r="G194" s="304">
        <v>1605</v>
      </c>
      <c r="H194" s="304">
        <v>1867</v>
      </c>
      <c r="I194" s="304">
        <f t="shared" si="4"/>
        <v>645126.57054182899</v>
      </c>
      <c r="J194" s="73"/>
      <c r="K194" s="48"/>
      <c r="L194" s="48"/>
      <c r="M194" s="14"/>
      <c r="N194" s="48"/>
    </row>
    <row r="195" spans="1:14" x14ac:dyDescent="0.25">
      <c r="A195" s="303" t="s">
        <v>107</v>
      </c>
      <c r="B195" s="303" t="s">
        <v>108</v>
      </c>
      <c r="C195" s="304" t="s">
        <v>446</v>
      </c>
      <c r="D195" s="304" t="s">
        <v>444</v>
      </c>
      <c r="E195" s="304">
        <v>4500</v>
      </c>
      <c r="F195" s="304">
        <v>5834</v>
      </c>
      <c r="G195" s="304">
        <v>5855</v>
      </c>
      <c r="H195" s="304">
        <v>3604</v>
      </c>
      <c r="I195" s="304">
        <f t="shared" ref="I195:I258" si="5">IF(D195="M",(AVERAGE(E195,MAX(F195:H195))^0.519)*3203.7913,IF(OR(D195="MB",D195="MK",D195="MBK",D195="MBN"),(AVERAGE(E195,MAX(F195:H195))^0.6289)*3234.9142,IF(AND(C195="Landzone og sommerhusområde",OR(D195="MBNKD",D195="MBNK/MBND")),(AVERAGE(E195,MAX(F195:H195))^0.736)*1583.1635,IF(AND(C195="Byzone",OR(D195="MBNKD",D195="MBNK/MBND")),(AVERAGE(E195,MAX(F195:H195))^0.736)*1812.7138,0))))</f>
        <v>981570.82204054703</v>
      </c>
      <c r="J195" s="73"/>
      <c r="K195" s="48"/>
      <c r="L195" s="48"/>
      <c r="M195" s="14"/>
      <c r="N195" s="48"/>
    </row>
    <row r="196" spans="1:14" x14ac:dyDescent="0.25">
      <c r="A196" s="303" t="s">
        <v>107</v>
      </c>
      <c r="B196" s="303" t="s">
        <v>108</v>
      </c>
      <c r="C196" s="304" t="s">
        <v>443</v>
      </c>
      <c r="D196" s="304" t="s">
        <v>444</v>
      </c>
      <c r="E196" s="304">
        <v>5600</v>
      </c>
      <c r="F196" s="304">
        <v>3816</v>
      </c>
      <c r="G196" s="304">
        <v>4828</v>
      </c>
      <c r="H196" s="304">
        <v>3590</v>
      </c>
      <c r="I196" s="304">
        <f t="shared" si="5"/>
        <v>861714.98317072121</v>
      </c>
      <c r="J196" s="73"/>
      <c r="K196" s="48"/>
      <c r="L196" s="48"/>
      <c r="M196" s="14"/>
      <c r="N196" s="48"/>
    </row>
    <row r="197" spans="1:14" x14ac:dyDescent="0.25">
      <c r="A197" s="303" t="s">
        <v>109</v>
      </c>
      <c r="B197" s="303" t="s">
        <v>110</v>
      </c>
      <c r="C197" s="304" t="s">
        <v>446</v>
      </c>
      <c r="D197" s="304" t="s">
        <v>444</v>
      </c>
      <c r="E197" s="304">
        <v>16000</v>
      </c>
      <c r="F197" s="304">
        <v>8448</v>
      </c>
      <c r="G197" s="304">
        <v>10625</v>
      </c>
      <c r="H197" s="304">
        <v>9159</v>
      </c>
      <c r="I197" s="304">
        <f t="shared" si="5"/>
        <v>1966909.2461815719</v>
      </c>
      <c r="J197" s="73"/>
      <c r="K197" s="48"/>
      <c r="L197" s="48"/>
      <c r="M197" s="14"/>
      <c r="N197" s="48"/>
    </row>
    <row r="198" spans="1:14" x14ac:dyDescent="0.25">
      <c r="A198" s="303" t="s">
        <v>109</v>
      </c>
      <c r="B198" s="303" t="s">
        <v>110</v>
      </c>
      <c r="C198" s="304" t="s">
        <v>446</v>
      </c>
      <c r="D198" s="304" t="s">
        <v>444</v>
      </c>
      <c r="E198" s="304">
        <v>600</v>
      </c>
      <c r="F198" s="304">
        <v>202</v>
      </c>
      <c r="G198" s="304">
        <v>258</v>
      </c>
      <c r="H198" s="304">
        <v>269</v>
      </c>
      <c r="I198" s="304">
        <f t="shared" si="5"/>
        <v>158449.07918271559</v>
      </c>
      <c r="J198" s="73"/>
      <c r="K198" s="48"/>
      <c r="L198" s="48"/>
      <c r="M198" s="14"/>
      <c r="N198" s="48"/>
    </row>
    <row r="199" spans="1:14" x14ac:dyDescent="0.25">
      <c r="A199" s="303" t="s">
        <v>109</v>
      </c>
      <c r="B199" s="303" t="s">
        <v>110</v>
      </c>
      <c r="C199" s="304" t="s">
        <v>446</v>
      </c>
      <c r="D199" s="304" t="s">
        <v>444</v>
      </c>
      <c r="E199" s="304">
        <v>350000</v>
      </c>
      <c r="F199" s="304">
        <v>407175</v>
      </c>
      <c r="G199" s="304">
        <v>340123</v>
      </c>
      <c r="H199" s="304">
        <v>210780</v>
      </c>
      <c r="I199" s="304">
        <f t="shared" si="5"/>
        <v>23113175.457216911</v>
      </c>
      <c r="J199" s="73"/>
      <c r="K199" s="48"/>
      <c r="L199" s="48"/>
      <c r="M199" s="14"/>
      <c r="N199" s="48"/>
    </row>
    <row r="200" spans="1:14" x14ac:dyDescent="0.25">
      <c r="A200" s="303" t="s">
        <v>471</v>
      </c>
      <c r="B200" s="303" t="s">
        <v>112</v>
      </c>
      <c r="C200" s="304" t="s">
        <v>443</v>
      </c>
      <c r="D200" s="304" t="s">
        <v>444</v>
      </c>
      <c r="E200" s="304">
        <v>7300</v>
      </c>
      <c r="F200" s="304">
        <v>10863</v>
      </c>
      <c r="G200" s="304">
        <v>10817</v>
      </c>
      <c r="H200" s="304">
        <v>10461</v>
      </c>
      <c r="I200" s="304">
        <f t="shared" si="5"/>
        <v>1296372.3301353068</v>
      </c>
      <c r="J200" s="73"/>
      <c r="K200" s="48"/>
      <c r="L200" s="48"/>
      <c r="M200" s="14"/>
      <c r="N200" s="48"/>
    </row>
    <row r="201" spans="1:14" x14ac:dyDescent="0.25">
      <c r="A201" s="303" t="s">
        <v>113</v>
      </c>
      <c r="B201" s="303" t="s">
        <v>114</v>
      </c>
      <c r="C201" s="304" t="s">
        <v>446</v>
      </c>
      <c r="D201" s="304" t="s">
        <v>444</v>
      </c>
      <c r="E201" s="304">
        <v>50000</v>
      </c>
      <c r="F201" s="304">
        <v>32043</v>
      </c>
      <c r="G201" s="304">
        <v>37245</v>
      </c>
      <c r="H201" s="304">
        <v>28067</v>
      </c>
      <c r="I201" s="304">
        <f t="shared" si="5"/>
        <v>4711467.5769842537</v>
      </c>
      <c r="J201" s="73"/>
      <c r="K201" s="48"/>
      <c r="L201" s="48"/>
      <c r="M201" s="14"/>
      <c r="N201" s="48"/>
    </row>
    <row r="202" spans="1:14" x14ac:dyDescent="0.25">
      <c r="A202" s="303" t="s">
        <v>115</v>
      </c>
      <c r="B202" s="303" t="s">
        <v>116</v>
      </c>
      <c r="C202" s="304" t="s">
        <v>443</v>
      </c>
      <c r="D202" s="304" t="s">
        <v>444</v>
      </c>
      <c r="E202" s="304">
        <v>35000</v>
      </c>
      <c r="F202" s="304">
        <v>27174</v>
      </c>
      <c r="G202" s="304">
        <v>37958</v>
      </c>
      <c r="H202" s="304">
        <v>24964</v>
      </c>
      <c r="I202" s="304">
        <f t="shared" si="5"/>
        <v>3607358.9676412144</v>
      </c>
      <c r="J202" s="73"/>
      <c r="K202" s="48"/>
      <c r="L202" s="48"/>
      <c r="M202" s="14"/>
      <c r="N202" s="48"/>
    </row>
    <row r="203" spans="1:14" x14ac:dyDescent="0.25">
      <c r="A203" s="303" t="s">
        <v>115</v>
      </c>
      <c r="B203" s="303" t="s">
        <v>116</v>
      </c>
      <c r="C203" s="304" t="s">
        <v>443</v>
      </c>
      <c r="D203" s="304" t="s">
        <v>444</v>
      </c>
      <c r="E203" s="304">
        <v>9700</v>
      </c>
      <c r="F203" s="304">
        <v>5483</v>
      </c>
      <c r="G203" s="304">
        <v>6578</v>
      </c>
      <c r="H203" s="304">
        <v>4502</v>
      </c>
      <c r="I203" s="304">
        <f t="shared" si="5"/>
        <v>1195930.8259986588</v>
      </c>
      <c r="J203" s="73"/>
      <c r="K203" s="48"/>
      <c r="L203" s="48"/>
      <c r="M203" s="14"/>
      <c r="N203" s="48"/>
    </row>
    <row r="204" spans="1:14" x14ac:dyDescent="0.25">
      <c r="A204" s="303" t="s">
        <v>115</v>
      </c>
      <c r="B204" s="303" t="s">
        <v>116</v>
      </c>
      <c r="C204" s="304" t="s">
        <v>443</v>
      </c>
      <c r="D204" s="304" t="s">
        <v>444</v>
      </c>
      <c r="E204" s="304">
        <v>17300</v>
      </c>
      <c r="F204" s="304">
        <v>12748</v>
      </c>
      <c r="G204" s="304">
        <v>16302</v>
      </c>
      <c r="H204" s="304">
        <v>9399</v>
      </c>
      <c r="I204" s="304">
        <f t="shared" si="5"/>
        <v>2038789.6754401769</v>
      </c>
      <c r="J204" s="73"/>
      <c r="K204" s="48"/>
      <c r="L204" s="48"/>
      <c r="M204" s="14"/>
      <c r="N204" s="48"/>
    </row>
    <row r="205" spans="1:14" x14ac:dyDescent="0.25">
      <c r="A205" s="303" t="s">
        <v>472</v>
      </c>
      <c r="B205" s="303" t="s">
        <v>120</v>
      </c>
      <c r="C205" s="304" t="s">
        <v>446</v>
      </c>
      <c r="D205" s="304" t="s">
        <v>444</v>
      </c>
      <c r="E205" s="304">
        <v>39900</v>
      </c>
      <c r="F205" s="304">
        <v>25942</v>
      </c>
      <c r="G205" s="304">
        <v>32550</v>
      </c>
      <c r="H205" s="304">
        <v>24500</v>
      </c>
      <c r="I205" s="304">
        <f t="shared" si="5"/>
        <v>4109220.2449265425</v>
      </c>
      <c r="J205" s="73"/>
      <c r="K205" s="48"/>
      <c r="L205" s="48"/>
      <c r="M205" s="14"/>
      <c r="N205" s="48"/>
    </row>
    <row r="206" spans="1:14" x14ac:dyDescent="0.25">
      <c r="A206" s="303" t="s">
        <v>472</v>
      </c>
      <c r="B206" s="303" t="s">
        <v>120</v>
      </c>
      <c r="C206" s="304" t="s">
        <v>443</v>
      </c>
      <c r="D206" s="304" t="s">
        <v>449</v>
      </c>
      <c r="E206" s="304">
        <v>1400</v>
      </c>
      <c r="F206" s="304">
        <v>1510</v>
      </c>
      <c r="G206" s="304">
        <v>1400</v>
      </c>
      <c r="H206" s="304">
        <v>1170</v>
      </c>
      <c r="I206" s="304">
        <f t="shared" si="5"/>
        <v>315491.23839094164</v>
      </c>
      <c r="J206" s="73"/>
      <c r="K206" s="48"/>
      <c r="L206" s="48"/>
      <c r="M206" s="14"/>
      <c r="N206" s="48"/>
    </row>
    <row r="207" spans="1:14" x14ac:dyDescent="0.25">
      <c r="A207" s="303" t="s">
        <v>472</v>
      </c>
      <c r="B207" s="303" t="s">
        <v>120</v>
      </c>
      <c r="C207" s="304" t="s">
        <v>443</v>
      </c>
      <c r="D207" s="304" t="s">
        <v>444</v>
      </c>
      <c r="E207" s="304">
        <v>14000</v>
      </c>
      <c r="F207" s="304">
        <v>7535</v>
      </c>
      <c r="G207" s="304">
        <v>10367</v>
      </c>
      <c r="H207" s="304">
        <v>8565</v>
      </c>
      <c r="I207" s="304">
        <f t="shared" si="5"/>
        <v>1609362.9922680235</v>
      </c>
      <c r="J207" s="73"/>
      <c r="K207" s="48"/>
      <c r="L207" s="48"/>
      <c r="M207" s="14"/>
      <c r="N207" s="48"/>
    </row>
    <row r="208" spans="1:14" x14ac:dyDescent="0.25">
      <c r="A208" s="303" t="s">
        <v>472</v>
      </c>
      <c r="B208" s="303" t="s">
        <v>120</v>
      </c>
      <c r="C208" s="304" t="s">
        <v>446</v>
      </c>
      <c r="D208" s="304" t="s">
        <v>444</v>
      </c>
      <c r="E208" s="304">
        <v>22000</v>
      </c>
      <c r="F208" s="304">
        <v>28214</v>
      </c>
      <c r="G208" s="304">
        <v>30147</v>
      </c>
      <c r="H208" s="304">
        <v>21954</v>
      </c>
      <c r="I208" s="304">
        <f t="shared" si="5"/>
        <v>3225907.7960624751</v>
      </c>
      <c r="J208" s="73"/>
      <c r="K208" s="48"/>
      <c r="L208" s="48"/>
      <c r="M208" s="14"/>
      <c r="N208" s="48"/>
    </row>
    <row r="209" spans="1:14" x14ac:dyDescent="0.25">
      <c r="A209" s="303" t="s">
        <v>121</v>
      </c>
      <c r="B209" s="303" t="s">
        <v>122</v>
      </c>
      <c r="C209" s="304" t="s">
        <v>446</v>
      </c>
      <c r="D209" s="304" t="s">
        <v>444</v>
      </c>
      <c r="E209" s="304">
        <v>50000</v>
      </c>
      <c r="F209" s="304">
        <v>21478</v>
      </c>
      <c r="G209" s="304">
        <v>32037</v>
      </c>
      <c r="H209" s="304">
        <v>38009</v>
      </c>
      <c r="I209" s="304">
        <f t="shared" si="5"/>
        <v>4741798.5525414972</v>
      </c>
      <c r="J209" s="73"/>
      <c r="K209" s="48"/>
      <c r="L209" s="48"/>
      <c r="M209" s="14"/>
      <c r="N209" s="48"/>
    </row>
    <row r="210" spans="1:14" x14ac:dyDescent="0.25">
      <c r="A210" s="303" t="s">
        <v>121</v>
      </c>
      <c r="B210" s="303" t="s">
        <v>122</v>
      </c>
      <c r="C210" s="304" t="s">
        <v>473</v>
      </c>
      <c r="D210" s="304" t="s">
        <v>444</v>
      </c>
      <c r="E210" s="304">
        <v>16000</v>
      </c>
      <c r="F210" s="304">
        <v>5822</v>
      </c>
      <c r="G210" s="304">
        <v>8638</v>
      </c>
      <c r="H210" s="304">
        <v>9802</v>
      </c>
      <c r="I210" s="304">
        <f t="shared" si="5"/>
        <v>0</v>
      </c>
      <c r="J210" s="73"/>
      <c r="K210" s="48"/>
      <c r="L210" s="48"/>
      <c r="M210" s="14"/>
      <c r="N210" s="48"/>
    </row>
    <row r="211" spans="1:14" x14ac:dyDescent="0.25">
      <c r="A211" s="303" t="s">
        <v>121</v>
      </c>
      <c r="B211" s="303" t="s">
        <v>122</v>
      </c>
      <c r="C211" s="304" t="s">
        <v>446</v>
      </c>
      <c r="D211" s="304" t="s">
        <v>444</v>
      </c>
      <c r="E211" s="304">
        <v>4200</v>
      </c>
      <c r="F211" s="304">
        <v>3683</v>
      </c>
      <c r="G211" s="304">
        <v>4470</v>
      </c>
      <c r="H211" s="304">
        <v>3801</v>
      </c>
      <c r="I211" s="304">
        <f t="shared" si="5"/>
        <v>861297.56603652821</v>
      </c>
      <c r="J211" s="73"/>
      <c r="K211" s="48"/>
      <c r="L211" s="48"/>
      <c r="M211" s="14"/>
      <c r="N211" s="48"/>
    </row>
    <row r="212" spans="1:14" x14ac:dyDescent="0.25">
      <c r="A212" s="303" t="s">
        <v>121</v>
      </c>
      <c r="B212" s="303" t="s">
        <v>122</v>
      </c>
      <c r="C212" s="304" t="s">
        <v>473</v>
      </c>
      <c r="D212" s="304" t="s">
        <v>448</v>
      </c>
      <c r="E212" s="304">
        <v>4000</v>
      </c>
      <c r="F212" s="304">
        <v>2786</v>
      </c>
      <c r="G212" s="304">
        <v>3870</v>
      </c>
      <c r="H212" s="304">
        <v>3376</v>
      </c>
      <c r="I212" s="304">
        <f t="shared" si="5"/>
        <v>0</v>
      </c>
      <c r="J212" s="73"/>
      <c r="K212" s="48"/>
      <c r="L212" s="48"/>
      <c r="M212" s="14"/>
      <c r="N212" s="48"/>
    </row>
    <row r="213" spans="1:14" x14ac:dyDescent="0.25">
      <c r="A213" s="303" t="s">
        <v>121</v>
      </c>
      <c r="B213" s="303" t="s">
        <v>122</v>
      </c>
      <c r="C213" s="304" t="s">
        <v>473</v>
      </c>
      <c r="D213" s="304" t="s">
        <v>445</v>
      </c>
      <c r="E213" s="304">
        <v>4500</v>
      </c>
      <c r="F213" s="304">
        <v>3292</v>
      </c>
      <c r="G213" s="304">
        <v>3276</v>
      </c>
      <c r="H213" s="304">
        <v>3968</v>
      </c>
      <c r="I213" s="304">
        <f t="shared" si="5"/>
        <v>617627.14927386597</v>
      </c>
      <c r="J213" s="73"/>
      <c r="K213" s="48"/>
      <c r="L213" s="48"/>
      <c r="M213" s="14"/>
      <c r="N213" s="48"/>
    </row>
    <row r="214" spans="1:14" x14ac:dyDescent="0.25">
      <c r="A214" s="303" t="s">
        <v>121</v>
      </c>
      <c r="B214" s="303" t="s">
        <v>122</v>
      </c>
      <c r="C214" s="304" t="s">
        <v>473</v>
      </c>
      <c r="D214" s="304" t="s">
        <v>445</v>
      </c>
      <c r="E214" s="304">
        <v>1500</v>
      </c>
      <c r="F214" s="304">
        <v>199</v>
      </c>
      <c r="G214" s="304">
        <v>249</v>
      </c>
      <c r="H214" s="304">
        <v>389</v>
      </c>
      <c r="I214" s="304">
        <f t="shared" si="5"/>
        <v>240418.16628313082</v>
      </c>
      <c r="J214" s="73"/>
      <c r="K214" s="48"/>
      <c r="L214" s="48"/>
      <c r="M214" s="14"/>
      <c r="N214" s="48"/>
    </row>
    <row r="215" spans="1:14" x14ac:dyDescent="0.25">
      <c r="A215" s="303" t="s">
        <v>121</v>
      </c>
      <c r="B215" s="303" t="s">
        <v>122</v>
      </c>
      <c r="C215" s="304" t="s">
        <v>473</v>
      </c>
      <c r="D215" s="304" t="s">
        <v>445</v>
      </c>
      <c r="E215" s="304">
        <v>600</v>
      </c>
      <c r="F215" s="304">
        <v>61</v>
      </c>
      <c r="G215" s="304">
        <v>92</v>
      </c>
      <c r="H215" s="304">
        <v>136</v>
      </c>
      <c r="I215" s="304">
        <f t="shared" si="5"/>
        <v>132899.84042510574</v>
      </c>
      <c r="J215" s="73"/>
      <c r="K215" s="48"/>
      <c r="L215" s="48"/>
      <c r="M215" s="14"/>
      <c r="N215" s="48"/>
    </row>
    <row r="216" spans="1:14" x14ac:dyDescent="0.25">
      <c r="A216" s="303" t="s">
        <v>121</v>
      </c>
      <c r="B216" s="303" t="s">
        <v>122</v>
      </c>
      <c r="C216" s="304" t="s">
        <v>473</v>
      </c>
      <c r="D216" s="304" t="s">
        <v>445</v>
      </c>
      <c r="E216" s="304">
        <v>100</v>
      </c>
      <c r="F216" s="304">
        <v>9</v>
      </c>
      <c r="G216" s="304">
        <v>16</v>
      </c>
      <c r="H216" s="304">
        <v>41</v>
      </c>
      <c r="I216" s="304">
        <f t="shared" si="5"/>
        <v>47009.853957017076</v>
      </c>
      <c r="J216" s="73"/>
      <c r="K216" s="48"/>
      <c r="L216" s="48"/>
      <c r="M216" s="14"/>
      <c r="N216" s="48"/>
    </row>
    <row r="217" spans="1:14" x14ac:dyDescent="0.25">
      <c r="A217" s="303" t="s">
        <v>125</v>
      </c>
      <c r="B217" s="303" t="s">
        <v>126</v>
      </c>
      <c r="C217" s="304" t="s">
        <v>446</v>
      </c>
      <c r="D217" s="304" t="s">
        <v>456</v>
      </c>
      <c r="E217" s="304">
        <v>15000</v>
      </c>
      <c r="F217" s="304">
        <v>7603.18</v>
      </c>
      <c r="G217" s="304">
        <v>9530.81</v>
      </c>
      <c r="H217" s="304">
        <v>10239</v>
      </c>
      <c r="I217" s="304">
        <f t="shared" si="5"/>
        <v>430630.80383721302</v>
      </c>
      <c r="J217" s="73"/>
      <c r="K217" s="48"/>
      <c r="L217" s="48"/>
      <c r="M217" s="14"/>
      <c r="N217" s="48"/>
    </row>
    <row r="218" spans="1:14" x14ac:dyDescent="0.25">
      <c r="A218" s="303" t="s">
        <v>125</v>
      </c>
      <c r="B218" s="303" t="s">
        <v>126</v>
      </c>
      <c r="C218" s="304" t="s">
        <v>443</v>
      </c>
      <c r="D218" s="304" t="s">
        <v>456</v>
      </c>
      <c r="E218" s="304">
        <v>3000</v>
      </c>
      <c r="F218" s="304">
        <v>3857.44</v>
      </c>
      <c r="G218" s="304">
        <v>4587.28</v>
      </c>
      <c r="H218" s="304">
        <v>4659.7700000000004</v>
      </c>
      <c r="I218" s="304">
        <f t="shared" si="5"/>
        <v>231919.68551823203</v>
      </c>
      <c r="J218" s="73"/>
      <c r="K218" s="48"/>
      <c r="L218" s="48"/>
      <c r="M218" s="14"/>
      <c r="N218" s="48"/>
    </row>
    <row r="219" spans="1:14" x14ac:dyDescent="0.25">
      <c r="A219" s="303" t="s">
        <v>125</v>
      </c>
      <c r="B219" s="303" t="s">
        <v>126</v>
      </c>
      <c r="C219" s="304" t="s">
        <v>443</v>
      </c>
      <c r="D219" s="304" t="s">
        <v>444</v>
      </c>
      <c r="E219" s="304">
        <v>25000</v>
      </c>
      <c r="F219" s="304">
        <v>16529.41</v>
      </c>
      <c r="G219" s="304">
        <v>20472</v>
      </c>
      <c r="H219" s="304">
        <v>21725</v>
      </c>
      <c r="I219" s="304">
        <f t="shared" si="5"/>
        <v>2598699.0280804574</v>
      </c>
      <c r="J219" s="73"/>
      <c r="K219" s="48"/>
      <c r="L219" s="48"/>
      <c r="M219" s="14"/>
      <c r="N219" s="48"/>
    </row>
    <row r="220" spans="1:14" x14ac:dyDescent="0.25">
      <c r="A220" s="303" t="s">
        <v>125</v>
      </c>
      <c r="B220" s="303" t="s">
        <v>126</v>
      </c>
      <c r="C220" s="304" t="s">
        <v>446</v>
      </c>
      <c r="D220" s="304" t="s">
        <v>456</v>
      </c>
      <c r="E220" s="304">
        <v>8000</v>
      </c>
      <c r="F220" s="304">
        <v>5068.79</v>
      </c>
      <c r="G220" s="304">
        <v>6353.87</v>
      </c>
      <c r="H220" s="304">
        <v>6826</v>
      </c>
      <c r="I220" s="304">
        <f t="shared" si="5"/>
        <v>326731.57311966328</v>
      </c>
      <c r="J220" s="73"/>
      <c r="K220" s="48"/>
      <c r="L220" s="48"/>
      <c r="M220" s="14"/>
      <c r="N220" s="48"/>
    </row>
    <row r="221" spans="1:14" x14ac:dyDescent="0.25">
      <c r="A221" s="303" t="s">
        <v>127</v>
      </c>
      <c r="B221" s="303" t="s">
        <v>128</v>
      </c>
      <c r="C221" s="304" t="s">
        <v>443</v>
      </c>
      <c r="D221" s="304" t="s">
        <v>448</v>
      </c>
      <c r="E221" s="304">
        <v>1000</v>
      </c>
      <c r="F221" s="304">
        <v>519</v>
      </c>
      <c r="G221" s="304">
        <v>535</v>
      </c>
      <c r="H221" s="304">
        <v>818</v>
      </c>
      <c r="I221" s="304">
        <f t="shared" si="5"/>
        <v>238247.73836251206</v>
      </c>
      <c r="J221" s="73"/>
      <c r="K221" s="48"/>
      <c r="L221" s="48"/>
      <c r="M221" s="14"/>
      <c r="N221" s="48"/>
    </row>
    <row r="222" spans="1:14" x14ac:dyDescent="0.25">
      <c r="A222" s="303" t="s">
        <v>127</v>
      </c>
      <c r="B222" s="303" t="s">
        <v>128</v>
      </c>
      <c r="C222" s="304" t="s">
        <v>446</v>
      </c>
      <c r="D222" s="304" t="s">
        <v>444</v>
      </c>
      <c r="E222" s="304">
        <v>27500</v>
      </c>
      <c r="F222" s="304">
        <v>11614</v>
      </c>
      <c r="G222" s="304">
        <v>15484</v>
      </c>
      <c r="H222" s="304">
        <v>11214</v>
      </c>
      <c r="I222" s="304">
        <f t="shared" si="5"/>
        <v>2798240.1860006484</v>
      </c>
      <c r="J222" s="73"/>
      <c r="K222" s="48"/>
      <c r="L222" s="48"/>
      <c r="M222" s="14"/>
      <c r="N222" s="48"/>
    </row>
    <row r="223" spans="1:14" x14ac:dyDescent="0.25">
      <c r="A223" s="303" t="s">
        <v>127</v>
      </c>
      <c r="B223" s="303" t="s">
        <v>128</v>
      </c>
      <c r="C223" s="304" t="s">
        <v>443</v>
      </c>
      <c r="D223" s="304" t="s">
        <v>448</v>
      </c>
      <c r="E223" s="304">
        <v>3000</v>
      </c>
      <c r="F223" s="304">
        <v>2131</v>
      </c>
      <c r="G223" s="304">
        <v>2942</v>
      </c>
      <c r="H223" s="304">
        <v>2168</v>
      </c>
      <c r="I223" s="304">
        <f t="shared" si="5"/>
        <v>569615.92208623595</v>
      </c>
      <c r="J223" s="73"/>
      <c r="K223" s="48"/>
      <c r="L223" s="48"/>
      <c r="M223" s="14"/>
      <c r="N223" s="48"/>
    </row>
    <row r="224" spans="1:14" x14ac:dyDescent="0.25">
      <c r="A224" s="303" t="s">
        <v>127</v>
      </c>
      <c r="B224" s="303" t="s">
        <v>128</v>
      </c>
      <c r="C224" s="304" t="s">
        <v>446</v>
      </c>
      <c r="D224" s="304" t="s">
        <v>444</v>
      </c>
      <c r="E224" s="304">
        <v>30000</v>
      </c>
      <c r="F224" s="304">
        <v>32823</v>
      </c>
      <c r="G224" s="304">
        <v>31924</v>
      </c>
      <c r="H224" s="304">
        <v>15372</v>
      </c>
      <c r="I224" s="304">
        <f t="shared" si="5"/>
        <v>3699870.3545872001</v>
      </c>
      <c r="J224" s="73"/>
      <c r="K224" s="48"/>
      <c r="L224" s="48"/>
      <c r="M224" s="14"/>
      <c r="N224" s="48"/>
    </row>
    <row r="225" spans="1:14" x14ac:dyDescent="0.25">
      <c r="A225" s="303" t="s">
        <v>127</v>
      </c>
      <c r="B225" s="303" t="s">
        <v>128</v>
      </c>
      <c r="C225" s="304" t="s">
        <v>443</v>
      </c>
      <c r="D225" s="304" t="s">
        <v>444</v>
      </c>
      <c r="E225" s="304">
        <v>125000</v>
      </c>
      <c r="F225" s="304">
        <v>88578</v>
      </c>
      <c r="G225" s="304">
        <v>109147</v>
      </c>
      <c r="H225" s="304">
        <v>91460</v>
      </c>
      <c r="I225" s="304">
        <f t="shared" si="5"/>
        <v>8509642.1964794397</v>
      </c>
      <c r="J225" s="73"/>
      <c r="K225" s="48"/>
      <c r="L225" s="48"/>
      <c r="M225" s="14"/>
      <c r="N225" s="48"/>
    </row>
    <row r="226" spans="1:14" x14ac:dyDescent="0.25">
      <c r="A226" s="303" t="s">
        <v>474</v>
      </c>
      <c r="B226" s="303" t="s">
        <v>130</v>
      </c>
      <c r="C226" s="304" t="s">
        <v>443</v>
      </c>
      <c r="D226" s="304" t="s">
        <v>445</v>
      </c>
      <c r="E226" s="304">
        <v>150</v>
      </c>
      <c r="F226" s="304">
        <v>38</v>
      </c>
      <c r="G226" s="304">
        <v>37</v>
      </c>
      <c r="H226" s="304">
        <v>98</v>
      </c>
      <c r="I226" s="304">
        <f t="shared" si="5"/>
        <v>67052.606423040925</v>
      </c>
      <c r="J226" s="73"/>
      <c r="K226" s="48"/>
      <c r="L226" s="48"/>
      <c r="M226" s="14"/>
      <c r="N226" s="48"/>
    </row>
    <row r="227" spans="1:14" x14ac:dyDescent="0.25">
      <c r="A227" s="303" t="s">
        <v>474</v>
      </c>
      <c r="B227" s="303" t="s">
        <v>130</v>
      </c>
      <c r="C227" s="304" t="s">
        <v>446</v>
      </c>
      <c r="D227" s="304" t="s">
        <v>444</v>
      </c>
      <c r="E227" s="304">
        <v>100000</v>
      </c>
      <c r="F227" s="304">
        <v>103871</v>
      </c>
      <c r="G227" s="304">
        <v>123177</v>
      </c>
      <c r="H227" s="304">
        <v>75217</v>
      </c>
      <c r="I227" s="304">
        <f t="shared" si="5"/>
        <v>9405397.3655611202</v>
      </c>
      <c r="J227" s="73"/>
      <c r="K227" s="48"/>
      <c r="L227" s="48"/>
      <c r="M227" s="14"/>
      <c r="N227" s="48"/>
    </row>
    <row r="228" spans="1:14" x14ac:dyDescent="0.25">
      <c r="A228" s="303" t="s">
        <v>474</v>
      </c>
      <c r="B228" s="303" t="s">
        <v>130</v>
      </c>
      <c r="C228" s="304" t="s">
        <v>443</v>
      </c>
      <c r="D228" s="304" t="s">
        <v>444</v>
      </c>
      <c r="E228" s="304">
        <v>10000</v>
      </c>
      <c r="F228" s="304">
        <v>7537</v>
      </c>
      <c r="G228" s="304">
        <v>7878</v>
      </c>
      <c r="H228" s="304">
        <v>6074</v>
      </c>
      <c r="I228" s="304">
        <f t="shared" si="5"/>
        <v>1281369.6299077012</v>
      </c>
      <c r="J228" s="73"/>
      <c r="K228" s="48"/>
      <c r="L228" s="48"/>
      <c r="M228" s="14"/>
      <c r="N228" s="48"/>
    </row>
    <row r="229" spans="1:14" x14ac:dyDescent="0.25">
      <c r="A229" s="303" t="s">
        <v>131</v>
      </c>
      <c r="B229" s="303" t="s">
        <v>132</v>
      </c>
      <c r="C229" s="304" t="s">
        <v>443</v>
      </c>
      <c r="D229" s="304" t="s">
        <v>444</v>
      </c>
      <c r="E229" s="304">
        <v>4000</v>
      </c>
      <c r="F229" s="304">
        <v>2710</v>
      </c>
      <c r="G229" s="304">
        <v>2817</v>
      </c>
      <c r="H229" s="304">
        <v>2512</v>
      </c>
      <c r="I229" s="304">
        <f t="shared" si="5"/>
        <v>630220.25367739832</v>
      </c>
      <c r="J229" s="73"/>
      <c r="K229" s="48"/>
      <c r="L229" s="48"/>
      <c r="M229" s="14"/>
      <c r="N229" s="48"/>
    </row>
    <row r="230" spans="1:14" x14ac:dyDescent="0.25">
      <c r="A230" s="303" t="s">
        <v>131</v>
      </c>
      <c r="B230" s="303" t="s">
        <v>132</v>
      </c>
      <c r="C230" s="304" t="s">
        <v>446</v>
      </c>
      <c r="D230" s="304" t="s">
        <v>444</v>
      </c>
      <c r="E230" s="304">
        <v>4950</v>
      </c>
      <c r="F230" s="304">
        <v>4820</v>
      </c>
      <c r="G230" s="304">
        <v>5247</v>
      </c>
      <c r="H230" s="304">
        <v>4785</v>
      </c>
      <c r="I230" s="304">
        <f t="shared" si="5"/>
        <v>970525.30800577579</v>
      </c>
      <c r="J230" s="73"/>
      <c r="K230" s="48"/>
      <c r="L230" s="48"/>
      <c r="M230" s="14"/>
      <c r="N230" s="48"/>
    </row>
    <row r="231" spans="1:14" x14ac:dyDescent="0.25">
      <c r="A231" s="303" t="s">
        <v>131</v>
      </c>
      <c r="B231" s="303" t="s">
        <v>132</v>
      </c>
      <c r="C231" s="304" t="s">
        <v>443</v>
      </c>
      <c r="D231" s="304" t="s">
        <v>444</v>
      </c>
      <c r="E231" s="304">
        <v>4200</v>
      </c>
      <c r="F231" s="304">
        <v>2170</v>
      </c>
      <c r="G231" s="304">
        <v>2558</v>
      </c>
      <c r="H231" s="304">
        <v>2920</v>
      </c>
      <c r="I231" s="304">
        <f t="shared" si="5"/>
        <v>650718.22006149439</v>
      </c>
      <c r="J231" s="73"/>
      <c r="K231" s="48"/>
      <c r="L231" s="48"/>
      <c r="M231" s="14"/>
      <c r="N231" s="48"/>
    </row>
    <row r="232" spans="1:14" x14ac:dyDescent="0.25">
      <c r="A232" s="303" t="s">
        <v>131</v>
      </c>
      <c r="B232" s="303" t="s">
        <v>132</v>
      </c>
      <c r="C232" s="304" t="s">
        <v>443</v>
      </c>
      <c r="D232" s="304" t="s">
        <v>444</v>
      </c>
      <c r="E232" s="304">
        <v>5500</v>
      </c>
      <c r="F232" s="304">
        <v>2888</v>
      </c>
      <c r="G232" s="304">
        <v>2867</v>
      </c>
      <c r="H232" s="304">
        <v>3040</v>
      </c>
      <c r="I232" s="304">
        <f t="shared" si="5"/>
        <v>743910.49311828299</v>
      </c>
      <c r="J232" s="73"/>
      <c r="K232" s="48"/>
      <c r="L232" s="48"/>
      <c r="M232" s="14"/>
      <c r="N232" s="48"/>
    </row>
    <row r="233" spans="1:14" x14ac:dyDescent="0.25">
      <c r="A233" s="303" t="s">
        <v>131</v>
      </c>
      <c r="B233" s="303" t="s">
        <v>132</v>
      </c>
      <c r="C233" s="304" t="s">
        <v>443</v>
      </c>
      <c r="D233" s="304" t="s">
        <v>444</v>
      </c>
      <c r="E233" s="304">
        <v>11917</v>
      </c>
      <c r="F233" s="304">
        <v>6334</v>
      </c>
      <c r="G233" s="304">
        <v>7161</v>
      </c>
      <c r="H233" s="304">
        <v>9504</v>
      </c>
      <c r="I233" s="304">
        <f t="shared" si="5"/>
        <v>1463746.0675786494</v>
      </c>
      <c r="J233" s="73"/>
      <c r="K233" s="48"/>
      <c r="L233" s="48"/>
      <c r="M233" s="14"/>
      <c r="N233" s="48"/>
    </row>
    <row r="234" spans="1:14" x14ac:dyDescent="0.25">
      <c r="A234" s="303" t="s">
        <v>131</v>
      </c>
      <c r="B234" s="303" t="s">
        <v>132</v>
      </c>
      <c r="C234" s="304" t="s">
        <v>443</v>
      </c>
      <c r="D234" s="304" t="s">
        <v>444</v>
      </c>
      <c r="E234" s="304">
        <v>2450</v>
      </c>
      <c r="F234" s="304">
        <v>1155</v>
      </c>
      <c r="G234" s="304">
        <v>1380</v>
      </c>
      <c r="H234" s="304">
        <v>1335</v>
      </c>
      <c r="I234" s="304">
        <f t="shared" si="5"/>
        <v>412289.22935692058</v>
      </c>
      <c r="J234" s="73"/>
      <c r="K234" s="48"/>
      <c r="L234" s="48"/>
      <c r="M234" s="14"/>
      <c r="N234" s="48"/>
    </row>
    <row r="235" spans="1:14" x14ac:dyDescent="0.25">
      <c r="A235" s="303" t="s">
        <v>131</v>
      </c>
      <c r="B235" s="303" t="s">
        <v>132</v>
      </c>
      <c r="C235" s="304" t="s">
        <v>443</v>
      </c>
      <c r="D235" s="304" t="s">
        <v>444</v>
      </c>
      <c r="E235" s="304">
        <v>6700</v>
      </c>
      <c r="F235" s="304">
        <v>3989</v>
      </c>
      <c r="G235" s="304">
        <v>4371</v>
      </c>
      <c r="H235" s="304">
        <v>4754</v>
      </c>
      <c r="I235" s="304">
        <f t="shared" si="5"/>
        <v>923336.8647909686</v>
      </c>
      <c r="J235" s="73"/>
      <c r="K235" s="48"/>
      <c r="L235" s="48"/>
      <c r="M235" s="14"/>
      <c r="N235" s="48"/>
    </row>
    <row r="236" spans="1:14" x14ac:dyDescent="0.25">
      <c r="A236" s="303" t="s">
        <v>475</v>
      </c>
      <c r="B236" s="303" t="s">
        <v>134</v>
      </c>
      <c r="C236" s="304" t="s">
        <v>443</v>
      </c>
      <c r="D236" s="304" t="s">
        <v>444</v>
      </c>
      <c r="E236" s="304">
        <v>80000</v>
      </c>
      <c r="F236" s="304">
        <v>28395</v>
      </c>
      <c r="G236" s="304">
        <v>22984</v>
      </c>
      <c r="H236" s="304">
        <v>31819</v>
      </c>
      <c r="I236" s="304">
        <f t="shared" si="5"/>
        <v>4939411.1341853142</v>
      </c>
      <c r="J236" s="73"/>
      <c r="K236" s="48"/>
      <c r="L236" s="48"/>
      <c r="M236" s="14"/>
      <c r="N236" s="48"/>
    </row>
    <row r="237" spans="1:14" x14ac:dyDescent="0.25">
      <c r="A237" s="303" t="s">
        <v>475</v>
      </c>
      <c r="B237" s="303" t="s">
        <v>134</v>
      </c>
      <c r="C237" s="304" t="s">
        <v>446</v>
      </c>
      <c r="D237" s="304" t="s">
        <v>444</v>
      </c>
      <c r="E237" s="304">
        <v>70000</v>
      </c>
      <c r="F237" s="304">
        <v>27199</v>
      </c>
      <c r="G237" s="304">
        <v>37726</v>
      </c>
      <c r="H237" s="304">
        <v>26343</v>
      </c>
      <c r="I237" s="304">
        <f t="shared" si="5"/>
        <v>5502487.6616825126</v>
      </c>
      <c r="J237" s="73"/>
      <c r="K237" s="48"/>
      <c r="L237" s="48"/>
      <c r="M237" s="14"/>
      <c r="N237" s="48"/>
    </row>
    <row r="238" spans="1:14" x14ac:dyDescent="0.25">
      <c r="A238" s="303" t="s">
        <v>476</v>
      </c>
      <c r="B238" s="303" t="s">
        <v>136</v>
      </c>
      <c r="C238" s="304" t="s">
        <v>443</v>
      </c>
      <c r="D238" s="304" t="s">
        <v>456</v>
      </c>
      <c r="E238" s="304">
        <v>20</v>
      </c>
      <c r="F238" s="304">
        <v>0</v>
      </c>
      <c r="G238" s="304">
        <v>0</v>
      </c>
      <c r="H238" s="304">
        <v>0</v>
      </c>
      <c r="I238" s="304">
        <f t="shared" si="5"/>
        <v>10584.350613587403</v>
      </c>
      <c r="J238" s="73"/>
      <c r="K238" s="48"/>
      <c r="L238" s="48"/>
      <c r="M238" s="14"/>
      <c r="N238" s="48"/>
    </row>
    <row r="239" spans="1:14" x14ac:dyDescent="0.25">
      <c r="A239" s="303" t="s">
        <v>476</v>
      </c>
      <c r="B239" s="303" t="s">
        <v>136</v>
      </c>
      <c r="C239" s="304" t="s">
        <v>443</v>
      </c>
      <c r="D239" s="304" t="s">
        <v>456</v>
      </c>
      <c r="E239" s="304">
        <v>65</v>
      </c>
      <c r="F239" s="304">
        <v>0</v>
      </c>
      <c r="G239" s="304">
        <v>0</v>
      </c>
      <c r="H239" s="304">
        <v>0</v>
      </c>
      <c r="I239" s="304">
        <f t="shared" si="5"/>
        <v>19513.343158803353</v>
      </c>
      <c r="J239" s="73"/>
      <c r="K239" s="48"/>
      <c r="L239" s="48"/>
      <c r="M239" s="14"/>
      <c r="N239" s="48"/>
    </row>
    <row r="240" spans="1:14" x14ac:dyDescent="0.25">
      <c r="A240" s="303" t="s">
        <v>476</v>
      </c>
      <c r="B240" s="303" t="s">
        <v>136</v>
      </c>
      <c r="C240" s="304" t="s">
        <v>443</v>
      </c>
      <c r="D240" s="304" t="s">
        <v>456</v>
      </c>
      <c r="E240" s="304">
        <v>45</v>
      </c>
      <c r="F240" s="304">
        <v>0</v>
      </c>
      <c r="G240" s="304">
        <v>0</v>
      </c>
      <c r="H240" s="304">
        <v>0</v>
      </c>
      <c r="I240" s="304">
        <f t="shared" si="5"/>
        <v>16123.040489012412</v>
      </c>
      <c r="J240" s="73"/>
      <c r="K240" s="48"/>
      <c r="L240" s="48"/>
      <c r="M240" s="14"/>
      <c r="N240" s="48"/>
    </row>
    <row r="241" spans="1:14" x14ac:dyDescent="0.25">
      <c r="A241" s="303" t="s">
        <v>476</v>
      </c>
      <c r="B241" s="303" t="s">
        <v>136</v>
      </c>
      <c r="C241" s="304" t="s">
        <v>443</v>
      </c>
      <c r="D241" s="304" t="s">
        <v>456</v>
      </c>
      <c r="E241" s="304">
        <v>450</v>
      </c>
      <c r="F241" s="304">
        <v>0</v>
      </c>
      <c r="G241" s="304">
        <v>0</v>
      </c>
      <c r="H241" s="304">
        <v>0</v>
      </c>
      <c r="I241" s="304">
        <f t="shared" si="5"/>
        <v>53265.614864730138</v>
      </c>
      <c r="J241" s="73"/>
      <c r="K241" s="48"/>
      <c r="L241" s="48"/>
      <c r="M241" s="14"/>
      <c r="N241" s="48"/>
    </row>
    <row r="242" spans="1:14" x14ac:dyDescent="0.25">
      <c r="A242" s="303" t="s">
        <v>476</v>
      </c>
      <c r="B242" s="303" t="s">
        <v>136</v>
      </c>
      <c r="C242" s="304" t="s">
        <v>443</v>
      </c>
      <c r="D242" s="304" t="s">
        <v>456</v>
      </c>
      <c r="E242" s="304">
        <v>200</v>
      </c>
      <c r="F242" s="304">
        <v>0</v>
      </c>
      <c r="G242" s="304">
        <v>0</v>
      </c>
      <c r="H242" s="304">
        <v>0</v>
      </c>
      <c r="I242" s="304">
        <f t="shared" si="5"/>
        <v>34967.470543835996</v>
      </c>
      <c r="J242" s="73"/>
      <c r="K242" s="48"/>
      <c r="L242" s="48"/>
      <c r="M242" s="14"/>
      <c r="N242" s="48"/>
    </row>
    <row r="243" spans="1:14" x14ac:dyDescent="0.25">
      <c r="A243" s="303" t="s">
        <v>476</v>
      </c>
      <c r="B243" s="303" t="s">
        <v>136</v>
      </c>
      <c r="C243" s="304" t="s">
        <v>443</v>
      </c>
      <c r="D243" s="304" t="s">
        <v>456</v>
      </c>
      <c r="E243" s="304">
        <v>35</v>
      </c>
      <c r="F243" s="304">
        <v>0</v>
      </c>
      <c r="G243" s="304">
        <v>0</v>
      </c>
      <c r="H243" s="304">
        <v>0</v>
      </c>
      <c r="I243" s="304">
        <f t="shared" si="5"/>
        <v>14151.450772969341</v>
      </c>
      <c r="J243" s="73"/>
      <c r="K243" s="48"/>
      <c r="L243" s="48"/>
      <c r="M243" s="14"/>
      <c r="N243" s="48"/>
    </row>
    <row r="244" spans="1:14" x14ac:dyDescent="0.25">
      <c r="A244" s="303" t="s">
        <v>476</v>
      </c>
      <c r="B244" s="303" t="s">
        <v>136</v>
      </c>
      <c r="C244" s="304" t="s">
        <v>443</v>
      </c>
      <c r="D244" s="304" t="s">
        <v>456</v>
      </c>
      <c r="E244" s="304">
        <v>80</v>
      </c>
      <c r="F244" s="304">
        <v>0</v>
      </c>
      <c r="G244" s="304">
        <v>0</v>
      </c>
      <c r="H244" s="304">
        <v>0</v>
      </c>
      <c r="I244" s="304">
        <f t="shared" si="5"/>
        <v>21733.684246410485</v>
      </c>
      <c r="J244" s="73"/>
      <c r="K244" s="48"/>
      <c r="L244" s="48"/>
      <c r="M244" s="14"/>
      <c r="N244" s="48"/>
    </row>
    <row r="245" spans="1:14" x14ac:dyDescent="0.25">
      <c r="A245" s="303" t="s">
        <v>476</v>
      </c>
      <c r="B245" s="303" t="s">
        <v>136</v>
      </c>
      <c r="C245" s="304" t="s">
        <v>443</v>
      </c>
      <c r="D245" s="304" t="s">
        <v>456</v>
      </c>
      <c r="E245" s="304">
        <v>10</v>
      </c>
      <c r="F245" s="304">
        <v>0</v>
      </c>
      <c r="G245" s="304">
        <v>0</v>
      </c>
      <c r="H245" s="304">
        <v>0</v>
      </c>
      <c r="I245" s="304">
        <f t="shared" si="5"/>
        <v>7386.3460413134962</v>
      </c>
      <c r="J245" s="73"/>
      <c r="K245" s="48"/>
      <c r="L245" s="48"/>
      <c r="M245" s="14"/>
      <c r="N245" s="48"/>
    </row>
    <row r="246" spans="1:14" x14ac:dyDescent="0.25">
      <c r="A246" s="303" t="s">
        <v>476</v>
      </c>
      <c r="B246" s="303" t="s">
        <v>136</v>
      </c>
      <c r="C246" s="304" t="s">
        <v>443</v>
      </c>
      <c r="D246" s="304" t="s">
        <v>456</v>
      </c>
      <c r="E246" s="304">
        <v>85</v>
      </c>
      <c r="F246" s="304">
        <v>0</v>
      </c>
      <c r="G246" s="304">
        <v>0</v>
      </c>
      <c r="H246" s="304">
        <v>0</v>
      </c>
      <c r="I246" s="304">
        <f t="shared" si="5"/>
        <v>22428.388611140053</v>
      </c>
      <c r="J246" s="73"/>
      <c r="K246" s="48"/>
      <c r="L246" s="48"/>
      <c r="M246" s="14"/>
      <c r="N246" s="48"/>
    </row>
    <row r="247" spans="1:14" x14ac:dyDescent="0.25">
      <c r="A247" s="303" t="s">
        <v>476</v>
      </c>
      <c r="B247" s="303" t="s">
        <v>136</v>
      </c>
      <c r="C247" s="304" t="s">
        <v>443</v>
      </c>
      <c r="D247" s="304" t="s">
        <v>449</v>
      </c>
      <c r="E247" s="304">
        <v>560</v>
      </c>
      <c r="F247" s="304">
        <v>0</v>
      </c>
      <c r="G247" s="304">
        <v>0</v>
      </c>
      <c r="H247" s="304">
        <v>0</v>
      </c>
      <c r="I247" s="304">
        <f t="shared" si="5"/>
        <v>111912.97794157974</v>
      </c>
      <c r="J247" s="73"/>
      <c r="K247" s="48"/>
      <c r="L247" s="48"/>
      <c r="M247" s="14"/>
      <c r="N247" s="48"/>
    </row>
    <row r="248" spans="1:14" x14ac:dyDescent="0.25">
      <c r="A248" s="303" t="s">
        <v>476</v>
      </c>
      <c r="B248" s="303" t="s">
        <v>136</v>
      </c>
      <c r="C248" s="304" t="s">
        <v>443</v>
      </c>
      <c r="D248" s="304" t="s">
        <v>456</v>
      </c>
      <c r="E248" s="304">
        <v>50</v>
      </c>
      <c r="F248" s="304">
        <v>0</v>
      </c>
      <c r="G248" s="304">
        <v>0</v>
      </c>
      <c r="H248" s="304">
        <v>0</v>
      </c>
      <c r="I248" s="304">
        <f t="shared" si="5"/>
        <v>17029.232784928146</v>
      </c>
      <c r="J248" s="73"/>
      <c r="K248" s="48"/>
      <c r="L248" s="48"/>
      <c r="M248" s="14"/>
      <c r="N248" s="48"/>
    </row>
    <row r="249" spans="1:14" x14ac:dyDescent="0.25">
      <c r="A249" s="303" t="s">
        <v>476</v>
      </c>
      <c r="B249" s="303" t="s">
        <v>136</v>
      </c>
      <c r="C249" s="304" t="s">
        <v>443</v>
      </c>
      <c r="D249" s="304" t="s">
        <v>456</v>
      </c>
      <c r="E249" s="304">
        <v>200</v>
      </c>
      <c r="F249" s="304">
        <v>0</v>
      </c>
      <c r="G249" s="304">
        <v>0</v>
      </c>
      <c r="H249" s="304">
        <v>0</v>
      </c>
      <c r="I249" s="304">
        <f t="shared" si="5"/>
        <v>34967.470543835996</v>
      </c>
      <c r="J249" s="73"/>
      <c r="K249" s="48"/>
      <c r="L249" s="48"/>
      <c r="M249" s="14"/>
      <c r="N249" s="48"/>
    </row>
    <row r="250" spans="1:14" x14ac:dyDescent="0.25">
      <c r="A250" s="303" t="s">
        <v>476</v>
      </c>
      <c r="B250" s="303" t="s">
        <v>136</v>
      </c>
      <c r="C250" s="304" t="s">
        <v>443</v>
      </c>
      <c r="D250" s="304" t="s">
        <v>466</v>
      </c>
      <c r="E250" s="304">
        <v>600</v>
      </c>
      <c r="F250" s="304">
        <v>0</v>
      </c>
      <c r="G250" s="304">
        <v>0</v>
      </c>
      <c r="H250" s="304">
        <v>0</v>
      </c>
      <c r="I250" s="304">
        <f t="shared" si="5"/>
        <v>116875.72648468727</v>
      </c>
      <c r="J250" s="73"/>
      <c r="K250" s="48"/>
      <c r="L250" s="48"/>
      <c r="M250" s="14"/>
      <c r="N250" s="48"/>
    </row>
    <row r="251" spans="1:14" x14ac:dyDescent="0.25">
      <c r="A251" s="303" t="s">
        <v>476</v>
      </c>
      <c r="B251" s="303" t="s">
        <v>136</v>
      </c>
      <c r="C251" s="304" t="s">
        <v>443</v>
      </c>
      <c r="D251" s="304" t="s">
        <v>456</v>
      </c>
      <c r="E251" s="304">
        <v>45</v>
      </c>
      <c r="F251" s="304">
        <v>0</v>
      </c>
      <c r="G251" s="304">
        <v>0</v>
      </c>
      <c r="H251" s="304">
        <v>0</v>
      </c>
      <c r="I251" s="304">
        <f t="shared" si="5"/>
        <v>16123.040489012412</v>
      </c>
      <c r="J251" s="73"/>
      <c r="K251" s="48"/>
      <c r="L251" s="48"/>
      <c r="M251" s="14"/>
      <c r="N251" s="48"/>
    </row>
    <row r="252" spans="1:14" x14ac:dyDescent="0.25">
      <c r="A252" s="303" t="s">
        <v>476</v>
      </c>
      <c r="B252" s="303" t="s">
        <v>136</v>
      </c>
      <c r="C252" s="304" t="s">
        <v>443</v>
      </c>
      <c r="D252" s="304" t="s">
        <v>456</v>
      </c>
      <c r="E252" s="304">
        <v>80</v>
      </c>
      <c r="F252" s="304">
        <v>0</v>
      </c>
      <c r="G252" s="304">
        <v>0</v>
      </c>
      <c r="H252" s="304">
        <v>0</v>
      </c>
      <c r="I252" s="304">
        <f t="shared" si="5"/>
        <v>21733.684246410485</v>
      </c>
      <c r="J252" s="73"/>
      <c r="K252" s="48"/>
      <c r="L252" s="48"/>
      <c r="M252" s="14"/>
      <c r="N252" s="48"/>
    </row>
    <row r="253" spans="1:14" x14ac:dyDescent="0.25">
      <c r="A253" s="303" t="s">
        <v>476</v>
      </c>
      <c r="B253" s="303" t="s">
        <v>136</v>
      </c>
      <c r="C253" s="304" t="s">
        <v>443</v>
      </c>
      <c r="D253" s="304" t="s">
        <v>456</v>
      </c>
      <c r="E253" s="304">
        <v>156</v>
      </c>
      <c r="F253" s="304">
        <v>0</v>
      </c>
      <c r="G253" s="304">
        <v>0</v>
      </c>
      <c r="H253" s="304">
        <v>0</v>
      </c>
      <c r="I253" s="304">
        <f t="shared" si="5"/>
        <v>30736.988632637287</v>
      </c>
      <c r="J253" s="73"/>
      <c r="K253" s="48"/>
      <c r="L253" s="48"/>
      <c r="M253" s="14"/>
      <c r="N253" s="48"/>
    </row>
    <row r="254" spans="1:14" x14ac:dyDescent="0.25">
      <c r="A254" s="303" t="s">
        <v>476</v>
      </c>
      <c r="B254" s="303" t="s">
        <v>136</v>
      </c>
      <c r="C254" s="304" t="s">
        <v>443</v>
      </c>
      <c r="D254" s="304" t="s">
        <v>456</v>
      </c>
      <c r="E254" s="304">
        <v>60</v>
      </c>
      <c r="F254" s="304">
        <v>0</v>
      </c>
      <c r="G254" s="304">
        <v>0</v>
      </c>
      <c r="H254" s="304">
        <v>0</v>
      </c>
      <c r="I254" s="304">
        <f t="shared" si="5"/>
        <v>18719.323467483744</v>
      </c>
      <c r="J254" s="73"/>
      <c r="K254" s="48"/>
      <c r="L254" s="48"/>
      <c r="M254" s="14"/>
      <c r="N254" s="48"/>
    </row>
    <row r="255" spans="1:14" x14ac:dyDescent="0.25">
      <c r="A255" s="303" t="s">
        <v>476</v>
      </c>
      <c r="B255" s="303" t="s">
        <v>136</v>
      </c>
      <c r="C255" s="304" t="s">
        <v>443</v>
      </c>
      <c r="D255" s="304" t="s">
        <v>449</v>
      </c>
      <c r="E255" s="304">
        <v>225</v>
      </c>
      <c r="F255" s="304">
        <v>0</v>
      </c>
      <c r="G255" s="304">
        <v>0</v>
      </c>
      <c r="H255" s="304">
        <v>20</v>
      </c>
      <c r="I255" s="304">
        <f t="shared" si="5"/>
        <v>66541.341550225741</v>
      </c>
      <c r="J255" s="73"/>
      <c r="K255" s="48"/>
      <c r="L255" s="48"/>
      <c r="M255" s="14"/>
      <c r="N255" s="48"/>
    </row>
    <row r="256" spans="1:14" x14ac:dyDescent="0.25">
      <c r="A256" s="303" t="s">
        <v>476</v>
      </c>
      <c r="B256" s="303" t="s">
        <v>136</v>
      </c>
      <c r="C256" s="304" t="s">
        <v>443</v>
      </c>
      <c r="D256" s="304" t="s">
        <v>445</v>
      </c>
      <c r="E256" s="304">
        <v>319</v>
      </c>
      <c r="F256" s="304">
        <v>0</v>
      </c>
      <c r="G256" s="304">
        <v>0</v>
      </c>
      <c r="H256" s="304">
        <v>92</v>
      </c>
      <c r="I256" s="304">
        <f t="shared" si="5"/>
        <v>92127.67769101169</v>
      </c>
      <c r="J256" s="73"/>
      <c r="K256" s="48"/>
      <c r="L256" s="48"/>
      <c r="M256" s="14"/>
      <c r="N256" s="48"/>
    </row>
    <row r="257" spans="1:14" x14ac:dyDescent="0.25">
      <c r="A257" s="303" t="s">
        <v>476</v>
      </c>
      <c r="B257" s="303" t="s">
        <v>136</v>
      </c>
      <c r="C257" s="304" t="s">
        <v>443</v>
      </c>
      <c r="D257" s="304" t="s">
        <v>456</v>
      </c>
      <c r="E257" s="304">
        <v>110</v>
      </c>
      <c r="F257" s="304">
        <v>0</v>
      </c>
      <c r="G257" s="304">
        <v>0</v>
      </c>
      <c r="H257" s="304">
        <v>30</v>
      </c>
      <c r="I257" s="304">
        <f t="shared" si="5"/>
        <v>29058.293130757651</v>
      </c>
      <c r="J257" s="73"/>
      <c r="K257" s="48"/>
      <c r="L257" s="48"/>
      <c r="M257" s="14"/>
      <c r="N257" s="48"/>
    </row>
    <row r="258" spans="1:14" x14ac:dyDescent="0.25">
      <c r="A258" s="303" t="s">
        <v>476</v>
      </c>
      <c r="B258" s="303" t="s">
        <v>136</v>
      </c>
      <c r="C258" s="304" t="s">
        <v>443</v>
      </c>
      <c r="D258" s="304" t="s">
        <v>444</v>
      </c>
      <c r="E258" s="304">
        <v>8000</v>
      </c>
      <c r="F258" s="304">
        <v>1369</v>
      </c>
      <c r="G258" s="304">
        <v>1527</v>
      </c>
      <c r="H258" s="304">
        <v>2660</v>
      </c>
      <c r="I258" s="304">
        <f t="shared" si="5"/>
        <v>875783.97539738228</v>
      </c>
      <c r="J258" s="73"/>
      <c r="K258" s="48"/>
      <c r="L258" s="48"/>
      <c r="M258" s="14"/>
      <c r="N258" s="48"/>
    </row>
    <row r="259" spans="1:14" x14ac:dyDescent="0.25">
      <c r="A259" s="303" t="s">
        <v>476</v>
      </c>
      <c r="B259" s="303" t="s">
        <v>136</v>
      </c>
      <c r="C259" s="304" t="s">
        <v>446</v>
      </c>
      <c r="D259" s="304" t="s">
        <v>444</v>
      </c>
      <c r="E259" s="304">
        <v>4500</v>
      </c>
      <c r="F259" s="304">
        <v>2313</v>
      </c>
      <c r="G259" s="304">
        <v>2546</v>
      </c>
      <c r="H259" s="304">
        <v>2422</v>
      </c>
      <c r="I259" s="304">
        <f t="shared" ref="I259:I322" si="6">IF(D259="M",(AVERAGE(E259,MAX(F259:H259))^0.519)*3203.7913,IF(OR(D259="MB",D259="MK",D259="MBK",D259="MBN"),(AVERAGE(E259,MAX(F259:H259))^0.6289)*3234.9142,IF(AND(C259="Landzone og sommerhusområde",OR(D259="MBNKD",D259="MBNK/MBND")),(AVERAGE(E259,MAX(F259:H259))^0.736)*1583.1635,IF(AND(C259="Byzone",OR(D259="MBNKD",D259="MBNK/MBND")),(AVERAGE(E259,MAX(F259:H259))^0.736)*1812.7138,0))))</f>
        <v>739361.69428087492</v>
      </c>
      <c r="J259" s="73"/>
      <c r="K259" s="48"/>
      <c r="L259" s="48"/>
      <c r="M259" s="14"/>
      <c r="N259" s="48"/>
    </row>
    <row r="260" spans="1:14" x14ac:dyDescent="0.25">
      <c r="A260" s="303" t="s">
        <v>476</v>
      </c>
      <c r="B260" s="303" t="s">
        <v>136</v>
      </c>
      <c r="C260" s="304" t="s">
        <v>443</v>
      </c>
      <c r="D260" s="304" t="s">
        <v>444</v>
      </c>
      <c r="E260" s="304">
        <v>5800</v>
      </c>
      <c r="F260" s="304">
        <v>1369</v>
      </c>
      <c r="G260" s="304">
        <v>1527</v>
      </c>
      <c r="H260" s="304">
        <v>2660</v>
      </c>
      <c r="I260" s="304">
        <f t="shared" si="6"/>
        <v>738775.15041006776</v>
      </c>
      <c r="J260" s="73"/>
      <c r="K260" s="48"/>
      <c r="L260" s="48"/>
      <c r="M260" s="14"/>
      <c r="N260" s="48"/>
    </row>
    <row r="261" spans="1:14" x14ac:dyDescent="0.25">
      <c r="A261" s="303" t="s">
        <v>476</v>
      </c>
      <c r="B261" s="303" t="s">
        <v>136</v>
      </c>
      <c r="C261" s="304" t="s">
        <v>443</v>
      </c>
      <c r="D261" s="304" t="s">
        <v>449</v>
      </c>
      <c r="E261" s="304">
        <v>526</v>
      </c>
      <c r="F261" s="304">
        <v>193</v>
      </c>
      <c r="G261" s="304">
        <v>226</v>
      </c>
      <c r="H261" s="304">
        <v>362</v>
      </c>
      <c r="I261" s="304">
        <f t="shared" si="6"/>
        <v>149555.33715004352</v>
      </c>
      <c r="J261" s="73"/>
      <c r="K261" s="48"/>
      <c r="L261" s="48"/>
      <c r="M261" s="14"/>
      <c r="N261" s="48"/>
    </row>
    <row r="262" spans="1:14" x14ac:dyDescent="0.25">
      <c r="A262" s="303" t="s">
        <v>476</v>
      </c>
      <c r="B262" s="303" t="s">
        <v>136</v>
      </c>
      <c r="C262" s="304" t="s">
        <v>443</v>
      </c>
      <c r="D262" s="304" t="s">
        <v>456</v>
      </c>
      <c r="E262" s="304">
        <v>200</v>
      </c>
      <c r="F262" s="304">
        <v>33</v>
      </c>
      <c r="G262" s="304">
        <v>39</v>
      </c>
      <c r="H262" s="304">
        <v>70</v>
      </c>
      <c r="I262" s="304">
        <f t="shared" si="6"/>
        <v>40860.854406909166</v>
      </c>
      <c r="J262" s="73"/>
      <c r="K262" s="48"/>
      <c r="L262" s="48"/>
      <c r="M262" s="14"/>
      <c r="N262" s="48"/>
    </row>
    <row r="263" spans="1:14" x14ac:dyDescent="0.25">
      <c r="A263" s="303" t="s">
        <v>476</v>
      </c>
      <c r="B263" s="303" t="s">
        <v>136</v>
      </c>
      <c r="C263" s="304" t="s">
        <v>446</v>
      </c>
      <c r="D263" s="304" t="s">
        <v>444</v>
      </c>
      <c r="E263" s="304">
        <v>850</v>
      </c>
      <c r="F263" s="304">
        <v>225</v>
      </c>
      <c r="G263" s="304">
        <v>305</v>
      </c>
      <c r="H263" s="304">
        <v>396</v>
      </c>
      <c r="I263" s="304">
        <f t="shared" si="6"/>
        <v>206572.47043254459</v>
      </c>
      <c r="J263" s="73"/>
      <c r="K263" s="48"/>
      <c r="L263" s="48"/>
      <c r="M263" s="14"/>
      <c r="N263" s="48"/>
    </row>
    <row r="264" spans="1:14" x14ac:dyDescent="0.25">
      <c r="A264" s="303" t="s">
        <v>476</v>
      </c>
      <c r="B264" s="303" t="s">
        <v>136</v>
      </c>
      <c r="C264" s="304" t="s">
        <v>443</v>
      </c>
      <c r="D264" s="304" t="s">
        <v>445</v>
      </c>
      <c r="E264" s="304">
        <v>900</v>
      </c>
      <c r="F264" s="304">
        <v>66</v>
      </c>
      <c r="G264" s="304">
        <v>80</v>
      </c>
      <c r="H264" s="304">
        <v>180</v>
      </c>
      <c r="I264" s="304">
        <f t="shared" si="6"/>
        <v>169147.35144153755</v>
      </c>
      <c r="J264" s="73"/>
      <c r="K264" s="48"/>
      <c r="L264" s="48"/>
      <c r="M264" s="14"/>
      <c r="N264" s="48"/>
    </row>
    <row r="265" spans="1:14" x14ac:dyDescent="0.25">
      <c r="A265" s="303" t="s">
        <v>476</v>
      </c>
      <c r="B265" s="303" t="s">
        <v>136</v>
      </c>
      <c r="C265" s="304" t="s">
        <v>443</v>
      </c>
      <c r="D265" s="304" t="s">
        <v>444</v>
      </c>
      <c r="E265" s="304">
        <v>40000</v>
      </c>
      <c r="F265" s="304">
        <v>23088</v>
      </c>
      <c r="G265" s="304">
        <v>28382</v>
      </c>
      <c r="H265" s="304">
        <v>21214</v>
      </c>
      <c r="I265" s="304">
        <f t="shared" si="6"/>
        <v>3439417.174971885</v>
      </c>
      <c r="J265" s="73"/>
      <c r="K265" s="48"/>
      <c r="L265" s="48"/>
      <c r="M265" s="14"/>
      <c r="N265" s="48"/>
    </row>
    <row r="266" spans="1:14" x14ac:dyDescent="0.25">
      <c r="A266" s="303" t="s">
        <v>476</v>
      </c>
      <c r="B266" s="303" t="s">
        <v>136</v>
      </c>
      <c r="C266" s="304" t="s">
        <v>443</v>
      </c>
      <c r="D266" s="304" t="s">
        <v>456</v>
      </c>
      <c r="E266" s="304">
        <v>400</v>
      </c>
      <c r="F266" s="304">
        <v>576</v>
      </c>
      <c r="G266" s="304">
        <v>765</v>
      </c>
      <c r="H266" s="304">
        <v>710</v>
      </c>
      <c r="I266" s="304">
        <f t="shared" si="6"/>
        <v>87267.554364456169</v>
      </c>
      <c r="J266" s="73"/>
      <c r="K266" s="48"/>
      <c r="L266" s="48"/>
      <c r="M266" s="14"/>
      <c r="N266" s="48"/>
    </row>
    <row r="267" spans="1:14" x14ac:dyDescent="0.25">
      <c r="A267" s="303" t="s">
        <v>476</v>
      </c>
      <c r="B267" s="303" t="s">
        <v>136</v>
      </c>
      <c r="C267" s="304" t="s">
        <v>446</v>
      </c>
      <c r="D267" s="304" t="s">
        <v>444</v>
      </c>
      <c r="E267" s="304">
        <v>5500</v>
      </c>
      <c r="F267" s="304">
        <v>1509</v>
      </c>
      <c r="G267" s="304">
        <v>1991</v>
      </c>
      <c r="H267" s="304">
        <v>1894</v>
      </c>
      <c r="I267" s="304">
        <f t="shared" si="6"/>
        <v>773450.37585166818</v>
      </c>
      <c r="J267" s="73"/>
      <c r="K267" s="48"/>
      <c r="L267" s="48"/>
      <c r="M267" s="14"/>
      <c r="N267" s="48"/>
    </row>
    <row r="268" spans="1:14" x14ac:dyDescent="0.25">
      <c r="A268" s="303" t="s">
        <v>476</v>
      </c>
      <c r="B268" s="303" t="s">
        <v>136</v>
      </c>
      <c r="C268" s="304" t="s">
        <v>446</v>
      </c>
      <c r="D268" s="304" t="s">
        <v>444</v>
      </c>
      <c r="E268" s="304">
        <v>33000</v>
      </c>
      <c r="F268" s="304">
        <v>11908</v>
      </c>
      <c r="G268" s="304">
        <v>12976</v>
      </c>
      <c r="H268" s="304">
        <v>14951</v>
      </c>
      <c r="I268" s="304">
        <f t="shared" si="6"/>
        <v>3032761.4308782909</v>
      </c>
      <c r="J268" s="73"/>
      <c r="K268" s="48"/>
      <c r="L268" s="48"/>
      <c r="M268" s="14"/>
      <c r="N268" s="48"/>
    </row>
    <row r="269" spans="1:14" x14ac:dyDescent="0.25">
      <c r="A269" s="303" t="s">
        <v>477</v>
      </c>
      <c r="B269" s="303" t="s">
        <v>140</v>
      </c>
      <c r="C269" s="304" t="s">
        <v>446</v>
      </c>
      <c r="D269" s="304" t="s">
        <v>444</v>
      </c>
      <c r="E269" s="304">
        <v>75000</v>
      </c>
      <c r="F269" s="304">
        <v>90694</v>
      </c>
      <c r="G269" s="304">
        <v>90893</v>
      </c>
      <c r="H269" s="304">
        <v>60785</v>
      </c>
      <c r="I269" s="304">
        <f t="shared" si="6"/>
        <v>7560745.4550563265</v>
      </c>
      <c r="J269" s="73"/>
      <c r="K269" s="48"/>
      <c r="L269" s="48"/>
      <c r="M269" s="14"/>
      <c r="N269" s="48"/>
    </row>
    <row r="270" spans="1:14" x14ac:dyDescent="0.25">
      <c r="A270" s="303" t="s">
        <v>478</v>
      </c>
      <c r="B270" s="303" t="s">
        <v>142</v>
      </c>
      <c r="C270" s="304" t="s">
        <v>443</v>
      </c>
      <c r="D270" s="304" t="s">
        <v>456</v>
      </c>
      <c r="E270" s="304">
        <v>340</v>
      </c>
      <c r="F270" s="304">
        <v>246</v>
      </c>
      <c r="G270" s="304">
        <v>257</v>
      </c>
      <c r="H270" s="304">
        <v>285</v>
      </c>
      <c r="I270" s="304">
        <f t="shared" si="6"/>
        <v>63167.164005339277</v>
      </c>
      <c r="J270" s="73"/>
      <c r="K270" s="48"/>
      <c r="L270" s="48"/>
      <c r="M270" s="14"/>
      <c r="N270" s="48"/>
    </row>
    <row r="271" spans="1:14" x14ac:dyDescent="0.25">
      <c r="A271" s="303" t="s">
        <v>478</v>
      </c>
      <c r="B271" s="303" t="s">
        <v>142</v>
      </c>
      <c r="C271" s="304" t="s">
        <v>443</v>
      </c>
      <c r="D271" s="304" t="s">
        <v>444</v>
      </c>
      <c r="E271" s="304">
        <v>4500</v>
      </c>
      <c r="F271" s="304">
        <v>4023</v>
      </c>
      <c r="G271" s="304">
        <v>4126</v>
      </c>
      <c r="H271" s="304">
        <v>4015</v>
      </c>
      <c r="I271" s="304">
        <f t="shared" si="6"/>
        <v>749416.84343439818</v>
      </c>
      <c r="J271" s="73"/>
      <c r="K271" s="48"/>
      <c r="L271" s="48"/>
      <c r="M271" s="14"/>
      <c r="N271" s="48"/>
    </row>
    <row r="272" spans="1:14" x14ac:dyDescent="0.25">
      <c r="A272" s="303" t="s">
        <v>478</v>
      </c>
      <c r="B272" s="303" t="s">
        <v>142</v>
      </c>
      <c r="C272" s="304" t="s">
        <v>443</v>
      </c>
      <c r="D272" s="304" t="s">
        <v>444</v>
      </c>
      <c r="E272" s="304">
        <v>2800</v>
      </c>
      <c r="F272" s="304">
        <v>2716</v>
      </c>
      <c r="G272" s="304">
        <v>2999</v>
      </c>
      <c r="H272" s="304">
        <v>3096</v>
      </c>
      <c r="I272" s="304">
        <f t="shared" si="6"/>
        <v>566367.06849230849</v>
      </c>
      <c r="J272" s="73"/>
      <c r="K272" s="48"/>
      <c r="L272" s="48"/>
      <c r="M272" s="14"/>
      <c r="N272" s="48"/>
    </row>
    <row r="273" spans="1:14" x14ac:dyDescent="0.25">
      <c r="A273" s="303" t="s">
        <v>478</v>
      </c>
      <c r="B273" s="303" t="s">
        <v>142</v>
      </c>
      <c r="C273" s="304" t="s">
        <v>446</v>
      </c>
      <c r="D273" s="304" t="s">
        <v>444</v>
      </c>
      <c r="E273" s="304">
        <v>35000</v>
      </c>
      <c r="F273" s="304">
        <v>24004</v>
      </c>
      <c r="G273" s="304">
        <v>26317</v>
      </c>
      <c r="H273" s="304">
        <v>24669</v>
      </c>
      <c r="I273" s="304">
        <f t="shared" si="6"/>
        <v>3634383.1089558206</v>
      </c>
      <c r="J273" s="73"/>
      <c r="K273" s="48"/>
      <c r="L273" s="48"/>
      <c r="M273" s="14"/>
      <c r="N273" s="48"/>
    </row>
    <row r="274" spans="1:14" x14ac:dyDescent="0.25">
      <c r="A274" s="303" t="s">
        <v>478</v>
      </c>
      <c r="B274" s="303" t="s">
        <v>142</v>
      </c>
      <c r="C274" s="304" t="s">
        <v>443</v>
      </c>
      <c r="D274" s="304" t="s">
        <v>444</v>
      </c>
      <c r="E274" s="304">
        <v>22000</v>
      </c>
      <c r="F274" s="304">
        <v>7158</v>
      </c>
      <c r="G274" s="304">
        <v>10215</v>
      </c>
      <c r="H274" s="304">
        <v>6943</v>
      </c>
      <c r="I274" s="304">
        <f t="shared" si="6"/>
        <v>1976507.5592496262</v>
      </c>
      <c r="J274" s="73"/>
      <c r="K274" s="48"/>
      <c r="L274" s="48"/>
      <c r="M274" s="14"/>
      <c r="N274" s="48"/>
    </row>
    <row r="275" spans="1:14" x14ac:dyDescent="0.25">
      <c r="A275" s="303" t="s">
        <v>478</v>
      </c>
      <c r="B275" s="303" t="s">
        <v>142</v>
      </c>
      <c r="C275" s="304" t="s">
        <v>443</v>
      </c>
      <c r="D275" s="304" t="s">
        <v>444</v>
      </c>
      <c r="E275" s="304">
        <v>3800</v>
      </c>
      <c r="F275" s="304">
        <v>1634</v>
      </c>
      <c r="G275" s="304">
        <v>1899</v>
      </c>
      <c r="H275" s="304">
        <v>2338</v>
      </c>
      <c r="I275" s="304">
        <f t="shared" si="6"/>
        <v>583385.29572479357</v>
      </c>
      <c r="J275" s="73"/>
      <c r="K275" s="48"/>
      <c r="L275" s="48"/>
      <c r="M275" s="14"/>
      <c r="N275" s="48"/>
    </row>
    <row r="276" spans="1:14" x14ac:dyDescent="0.25">
      <c r="A276" s="303" t="s">
        <v>143</v>
      </c>
      <c r="B276" s="303" t="s">
        <v>144</v>
      </c>
      <c r="C276" s="304" t="s">
        <v>443</v>
      </c>
      <c r="D276" s="304" t="s">
        <v>444</v>
      </c>
      <c r="E276" s="304">
        <v>8700</v>
      </c>
      <c r="F276" s="304">
        <v>2469</v>
      </c>
      <c r="G276" s="304">
        <v>2969</v>
      </c>
      <c r="H276" s="304">
        <v>2607</v>
      </c>
      <c r="I276" s="304">
        <f t="shared" si="6"/>
        <v>936061.64559249533</v>
      </c>
      <c r="J276" s="73"/>
      <c r="K276" s="48"/>
      <c r="L276" s="48"/>
      <c r="M276" s="14"/>
      <c r="N276" s="48"/>
    </row>
    <row r="277" spans="1:14" x14ac:dyDescent="0.25">
      <c r="A277" s="303" t="s">
        <v>143</v>
      </c>
      <c r="B277" s="303" t="s">
        <v>144</v>
      </c>
      <c r="C277" s="304" t="s">
        <v>446</v>
      </c>
      <c r="D277" s="304" t="s">
        <v>444</v>
      </c>
      <c r="E277" s="304">
        <v>125000</v>
      </c>
      <c r="F277" s="304">
        <v>38089</v>
      </c>
      <c r="G277" s="304">
        <v>37706</v>
      </c>
      <c r="H277" s="304">
        <v>25568</v>
      </c>
      <c r="I277" s="304">
        <f t="shared" si="6"/>
        <v>7466476.8203238696</v>
      </c>
      <c r="J277" s="73"/>
      <c r="K277" s="48"/>
      <c r="L277" s="48"/>
      <c r="M277" s="14"/>
      <c r="N277" s="48"/>
    </row>
    <row r="278" spans="1:14" x14ac:dyDescent="0.25">
      <c r="A278" s="303" t="s">
        <v>143</v>
      </c>
      <c r="B278" s="303" t="s">
        <v>144</v>
      </c>
      <c r="C278" s="304" t="s">
        <v>443</v>
      </c>
      <c r="D278" s="304" t="s">
        <v>444</v>
      </c>
      <c r="E278" s="304">
        <v>9000</v>
      </c>
      <c r="F278" s="304">
        <v>337</v>
      </c>
      <c r="G278" s="304">
        <v>402</v>
      </c>
      <c r="H278" s="304">
        <v>387</v>
      </c>
      <c r="I278" s="304">
        <f t="shared" si="6"/>
        <v>798468.51069235406</v>
      </c>
      <c r="J278" s="73"/>
      <c r="K278" s="48"/>
      <c r="L278" s="48"/>
      <c r="M278" s="14"/>
      <c r="N278" s="48"/>
    </row>
    <row r="279" spans="1:14" x14ac:dyDescent="0.25">
      <c r="A279" s="303" t="s">
        <v>479</v>
      </c>
      <c r="B279" s="303" t="s">
        <v>146</v>
      </c>
      <c r="C279" s="304" t="s">
        <v>446</v>
      </c>
      <c r="D279" s="304" t="s">
        <v>444</v>
      </c>
      <c r="E279" s="304">
        <v>148750</v>
      </c>
      <c r="F279" s="304">
        <v>118585</v>
      </c>
      <c r="G279" s="304">
        <v>183467</v>
      </c>
      <c r="H279" s="304">
        <v>145296</v>
      </c>
      <c r="I279" s="304">
        <f t="shared" si="6"/>
        <v>12604848.99862038</v>
      </c>
      <c r="J279" s="73"/>
      <c r="K279" s="48"/>
      <c r="L279" s="48"/>
      <c r="M279" s="14"/>
      <c r="N279" s="48"/>
    </row>
    <row r="280" spans="1:14" x14ac:dyDescent="0.25">
      <c r="A280" s="303" t="s">
        <v>147</v>
      </c>
      <c r="B280" s="303" t="s">
        <v>148</v>
      </c>
      <c r="C280" s="304" t="s">
        <v>446</v>
      </c>
      <c r="D280" s="304" t="s">
        <v>444</v>
      </c>
      <c r="E280" s="304">
        <v>70000</v>
      </c>
      <c r="F280" s="304">
        <v>35541</v>
      </c>
      <c r="G280" s="304">
        <v>42802</v>
      </c>
      <c r="H280" s="304">
        <v>40454</v>
      </c>
      <c r="I280" s="304">
        <f t="shared" si="6"/>
        <v>5692149.90489545</v>
      </c>
      <c r="J280" s="73"/>
      <c r="K280" s="48"/>
      <c r="L280" s="48"/>
      <c r="M280" s="14"/>
      <c r="N280" s="48"/>
    </row>
    <row r="281" spans="1:14" x14ac:dyDescent="0.25">
      <c r="A281" s="303" t="s">
        <v>480</v>
      </c>
      <c r="B281" s="303" t="s">
        <v>150</v>
      </c>
      <c r="C281" s="304" t="s">
        <v>443</v>
      </c>
      <c r="D281" s="304" t="s">
        <v>448</v>
      </c>
      <c r="E281" s="304">
        <v>5000</v>
      </c>
      <c r="F281" s="304">
        <v>2547</v>
      </c>
      <c r="G281" s="304">
        <v>3745</v>
      </c>
      <c r="H281" s="304">
        <v>2660</v>
      </c>
      <c r="I281" s="304">
        <f t="shared" si="6"/>
        <v>757012.26297174313</v>
      </c>
      <c r="J281" s="73"/>
      <c r="K281" s="48"/>
      <c r="L281" s="48"/>
      <c r="M281" s="14"/>
      <c r="N281" s="48"/>
    </row>
    <row r="282" spans="1:14" x14ac:dyDescent="0.25">
      <c r="A282" s="303" t="s">
        <v>480</v>
      </c>
      <c r="B282" s="303" t="s">
        <v>150</v>
      </c>
      <c r="C282" s="304" t="s">
        <v>446</v>
      </c>
      <c r="D282" s="304" t="s">
        <v>444</v>
      </c>
      <c r="E282" s="304">
        <v>28000</v>
      </c>
      <c r="F282" s="304">
        <v>11999</v>
      </c>
      <c r="G282" s="304">
        <v>14868</v>
      </c>
      <c r="H282" s="304">
        <v>5354</v>
      </c>
      <c r="I282" s="304">
        <f t="shared" si="6"/>
        <v>2792680.2624422726</v>
      </c>
      <c r="J282" s="73"/>
      <c r="K282" s="48"/>
      <c r="L282" s="48"/>
      <c r="M282" s="14"/>
      <c r="N282" s="48"/>
    </row>
    <row r="283" spans="1:14" x14ac:dyDescent="0.25">
      <c r="A283" s="303" t="s">
        <v>480</v>
      </c>
      <c r="B283" s="303" t="s">
        <v>150</v>
      </c>
      <c r="C283" s="304" t="s">
        <v>446</v>
      </c>
      <c r="D283" s="304" t="s">
        <v>444</v>
      </c>
      <c r="E283" s="304">
        <v>60000</v>
      </c>
      <c r="F283" s="304">
        <v>51119</v>
      </c>
      <c r="G283" s="304">
        <v>54767</v>
      </c>
      <c r="H283" s="304">
        <v>57822</v>
      </c>
      <c r="I283" s="304">
        <f t="shared" si="6"/>
        <v>5877515.5608692681</v>
      </c>
      <c r="J283" s="73"/>
      <c r="K283" s="48"/>
      <c r="L283" s="48"/>
      <c r="M283" s="14"/>
      <c r="N283" s="48"/>
    </row>
    <row r="284" spans="1:14" x14ac:dyDescent="0.25">
      <c r="A284" s="303" t="s">
        <v>481</v>
      </c>
      <c r="B284" s="303" t="s">
        <v>152</v>
      </c>
      <c r="C284" s="304" t="s">
        <v>443</v>
      </c>
      <c r="D284" s="304" t="s">
        <v>456</v>
      </c>
      <c r="E284" s="304">
        <v>165</v>
      </c>
      <c r="F284" s="304">
        <v>3614</v>
      </c>
      <c r="G284" s="304">
        <v>8130</v>
      </c>
      <c r="H284" s="304">
        <v>147</v>
      </c>
      <c r="I284" s="304">
        <f t="shared" si="6"/>
        <v>241710.41084705648</v>
      </c>
      <c r="J284" s="73"/>
      <c r="K284" s="48"/>
      <c r="L284" s="48"/>
      <c r="M284" s="14"/>
      <c r="N284" s="48"/>
    </row>
    <row r="285" spans="1:14" x14ac:dyDescent="0.25">
      <c r="A285" s="303" t="s">
        <v>481</v>
      </c>
      <c r="B285" s="303" t="s">
        <v>152</v>
      </c>
      <c r="C285" s="304" t="s">
        <v>443</v>
      </c>
      <c r="D285" s="304" t="s">
        <v>444</v>
      </c>
      <c r="E285" s="304">
        <v>7500</v>
      </c>
      <c r="F285" s="304">
        <v>3374</v>
      </c>
      <c r="G285" s="304">
        <v>3811</v>
      </c>
      <c r="H285" s="304">
        <v>4310</v>
      </c>
      <c r="I285" s="304">
        <f t="shared" si="6"/>
        <v>944373.11853602156</v>
      </c>
      <c r="J285" s="73"/>
      <c r="K285" s="48"/>
      <c r="L285" s="48"/>
      <c r="M285" s="14"/>
      <c r="N285" s="48"/>
    </row>
    <row r="286" spans="1:14" x14ac:dyDescent="0.25">
      <c r="A286" s="303" t="s">
        <v>481</v>
      </c>
      <c r="B286" s="303" t="s">
        <v>152</v>
      </c>
      <c r="C286" s="304" t="s">
        <v>443</v>
      </c>
      <c r="D286" s="304" t="s">
        <v>456</v>
      </c>
      <c r="E286" s="304">
        <v>40</v>
      </c>
      <c r="F286" s="304">
        <v>876</v>
      </c>
      <c r="G286" s="304">
        <v>1971</v>
      </c>
      <c r="H286" s="304">
        <v>176</v>
      </c>
      <c r="I286" s="304">
        <f t="shared" si="6"/>
        <v>115851.19412530886</v>
      </c>
      <c r="J286" s="73"/>
      <c r="K286" s="48"/>
      <c r="L286" s="48"/>
      <c r="M286" s="14"/>
      <c r="N286" s="48"/>
    </row>
    <row r="287" spans="1:14" x14ac:dyDescent="0.25">
      <c r="A287" s="303" t="s">
        <v>481</v>
      </c>
      <c r="B287" s="303" t="s">
        <v>152</v>
      </c>
      <c r="C287" s="304" t="s">
        <v>443</v>
      </c>
      <c r="D287" s="304" t="s">
        <v>445</v>
      </c>
      <c r="E287" s="304">
        <v>100</v>
      </c>
      <c r="F287" s="304">
        <v>2190</v>
      </c>
      <c r="G287" s="304">
        <v>69</v>
      </c>
      <c r="H287" s="304">
        <v>36</v>
      </c>
      <c r="I287" s="304">
        <f t="shared" si="6"/>
        <v>271359.81649327977</v>
      </c>
      <c r="J287" s="73"/>
      <c r="K287" s="48"/>
      <c r="L287" s="48"/>
      <c r="M287" s="14"/>
      <c r="N287" s="48"/>
    </row>
    <row r="288" spans="1:14" x14ac:dyDescent="0.25">
      <c r="A288" s="303" t="s">
        <v>481</v>
      </c>
      <c r="B288" s="303" t="s">
        <v>152</v>
      </c>
      <c r="C288" s="304" t="s">
        <v>443</v>
      </c>
      <c r="D288" s="304" t="s">
        <v>444</v>
      </c>
      <c r="E288" s="304">
        <v>750</v>
      </c>
      <c r="F288" s="304">
        <v>326</v>
      </c>
      <c r="G288" s="304">
        <v>297</v>
      </c>
      <c r="H288" s="304">
        <v>319</v>
      </c>
      <c r="I288" s="304">
        <f t="shared" si="6"/>
        <v>161950.21298531018</v>
      </c>
      <c r="J288" s="73"/>
      <c r="K288" s="48"/>
      <c r="L288" s="48"/>
      <c r="M288" s="14"/>
      <c r="N288" s="48"/>
    </row>
    <row r="289" spans="1:14" x14ac:dyDescent="0.25">
      <c r="A289" s="303" t="s">
        <v>481</v>
      </c>
      <c r="B289" s="303" t="s">
        <v>152</v>
      </c>
      <c r="C289" s="304" t="s">
        <v>443</v>
      </c>
      <c r="D289" s="304" t="s">
        <v>447</v>
      </c>
      <c r="E289" s="304">
        <v>125</v>
      </c>
      <c r="F289" s="304">
        <v>2738</v>
      </c>
      <c r="G289" s="304">
        <v>6159</v>
      </c>
      <c r="H289" s="304">
        <v>46</v>
      </c>
      <c r="I289" s="304">
        <f t="shared" si="6"/>
        <v>511983.22700299521</v>
      </c>
      <c r="J289" s="73"/>
      <c r="K289" s="48"/>
      <c r="L289" s="48"/>
      <c r="M289" s="14"/>
      <c r="N289" s="48"/>
    </row>
    <row r="290" spans="1:14" x14ac:dyDescent="0.25">
      <c r="A290" s="303" t="s">
        <v>481</v>
      </c>
      <c r="B290" s="303" t="s">
        <v>152</v>
      </c>
      <c r="C290" s="304" t="s">
        <v>446</v>
      </c>
      <c r="D290" s="304" t="s">
        <v>444</v>
      </c>
      <c r="E290" s="304">
        <v>11500</v>
      </c>
      <c r="F290" s="304">
        <v>5139</v>
      </c>
      <c r="G290" s="304">
        <v>5719</v>
      </c>
      <c r="H290" s="304">
        <v>6587</v>
      </c>
      <c r="I290" s="304">
        <f t="shared" si="6"/>
        <v>1479765.6323625038</v>
      </c>
      <c r="J290" s="73"/>
      <c r="K290" s="48"/>
      <c r="L290" s="48"/>
      <c r="M290" s="14"/>
      <c r="N290" s="48"/>
    </row>
    <row r="291" spans="1:14" x14ac:dyDescent="0.25">
      <c r="A291" s="303" t="s">
        <v>481</v>
      </c>
      <c r="B291" s="303" t="s">
        <v>152</v>
      </c>
      <c r="C291" s="304" t="s">
        <v>443</v>
      </c>
      <c r="D291" s="304" t="s">
        <v>456</v>
      </c>
      <c r="E291" s="304">
        <v>155</v>
      </c>
      <c r="F291" s="304">
        <v>3395</v>
      </c>
      <c r="G291" s="304">
        <v>7638</v>
      </c>
      <c r="H291" s="304">
        <v>682</v>
      </c>
      <c r="I291" s="304">
        <f t="shared" si="6"/>
        <v>234004.59040260583</v>
      </c>
      <c r="J291" s="73"/>
      <c r="K291" s="48"/>
      <c r="L291" s="48"/>
      <c r="M291" s="14"/>
      <c r="N291" s="48"/>
    </row>
    <row r="292" spans="1:14" x14ac:dyDescent="0.25">
      <c r="A292" s="303" t="s">
        <v>481</v>
      </c>
      <c r="B292" s="303" t="s">
        <v>152</v>
      </c>
      <c r="C292" s="304" t="s">
        <v>446</v>
      </c>
      <c r="D292" s="304" t="s">
        <v>444</v>
      </c>
      <c r="E292" s="304">
        <v>95000</v>
      </c>
      <c r="F292" s="304">
        <v>54428</v>
      </c>
      <c r="G292" s="304">
        <v>60322</v>
      </c>
      <c r="H292" s="304">
        <v>59192</v>
      </c>
      <c r="I292" s="304">
        <f t="shared" si="6"/>
        <v>7203086.5495135831</v>
      </c>
      <c r="J292" s="73"/>
      <c r="K292" s="48"/>
      <c r="L292" s="48"/>
      <c r="M292" s="14"/>
      <c r="N292" s="48"/>
    </row>
    <row r="293" spans="1:14" x14ac:dyDescent="0.25">
      <c r="A293" s="303" t="s">
        <v>481</v>
      </c>
      <c r="B293" s="303" t="s">
        <v>152</v>
      </c>
      <c r="C293" s="304" t="s">
        <v>443</v>
      </c>
      <c r="D293" s="304" t="s">
        <v>456</v>
      </c>
      <c r="E293" s="304">
        <v>40</v>
      </c>
      <c r="F293" s="304">
        <v>876</v>
      </c>
      <c r="G293" s="304">
        <v>1971</v>
      </c>
      <c r="H293" s="304">
        <v>176</v>
      </c>
      <c r="I293" s="304">
        <f t="shared" si="6"/>
        <v>115851.19412530886</v>
      </c>
      <c r="J293" s="73"/>
      <c r="K293" s="48"/>
      <c r="L293" s="48"/>
      <c r="M293" s="14"/>
      <c r="N293" s="48"/>
    </row>
    <row r="294" spans="1:14" x14ac:dyDescent="0.25">
      <c r="A294" s="303" t="s">
        <v>481</v>
      </c>
      <c r="B294" s="303" t="s">
        <v>152</v>
      </c>
      <c r="C294" s="304" t="s">
        <v>443</v>
      </c>
      <c r="D294" s="304" t="s">
        <v>444</v>
      </c>
      <c r="E294" s="304">
        <v>700</v>
      </c>
      <c r="F294" s="304">
        <v>240</v>
      </c>
      <c r="G294" s="304">
        <v>288</v>
      </c>
      <c r="H294" s="304">
        <v>338</v>
      </c>
      <c r="I294" s="304">
        <f t="shared" si="6"/>
        <v>157720.79009528903</v>
      </c>
      <c r="J294" s="73"/>
      <c r="K294" s="48"/>
      <c r="L294" s="48"/>
      <c r="M294" s="14"/>
      <c r="N294" s="48"/>
    </row>
    <row r="295" spans="1:14" x14ac:dyDescent="0.25">
      <c r="A295" s="303" t="s">
        <v>481</v>
      </c>
      <c r="B295" s="303" t="s">
        <v>152</v>
      </c>
      <c r="C295" s="304" t="s">
        <v>446</v>
      </c>
      <c r="D295" s="304" t="s">
        <v>456</v>
      </c>
      <c r="E295" s="304">
        <v>165</v>
      </c>
      <c r="F295" s="304">
        <v>1807</v>
      </c>
      <c r="G295" s="304">
        <v>4065</v>
      </c>
      <c r="H295" s="304">
        <v>363</v>
      </c>
      <c r="I295" s="304">
        <f t="shared" si="6"/>
        <v>170412.04989386068</v>
      </c>
      <c r="J295" s="73"/>
      <c r="K295" s="48"/>
      <c r="L295" s="48"/>
      <c r="M295" s="14"/>
      <c r="N295" s="48"/>
    </row>
    <row r="296" spans="1:14" x14ac:dyDescent="0.25">
      <c r="A296" s="303" t="s">
        <v>482</v>
      </c>
      <c r="B296" s="303" t="s">
        <v>154</v>
      </c>
      <c r="C296" s="304" t="s">
        <v>446</v>
      </c>
      <c r="D296" s="304" t="s">
        <v>456</v>
      </c>
      <c r="E296" s="304">
        <v>99</v>
      </c>
      <c r="F296" s="304">
        <v>99</v>
      </c>
      <c r="G296" s="304">
        <v>0</v>
      </c>
      <c r="H296" s="304">
        <v>0</v>
      </c>
      <c r="I296" s="304">
        <f t="shared" si="6"/>
        <v>34785.550741367966</v>
      </c>
      <c r="J296" s="73"/>
      <c r="K296" s="48"/>
      <c r="L296" s="48"/>
      <c r="M296" s="14"/>
      <c r="N296" s="48"/>
    </row>
    <row r="297" spans="1:14" x14ac:dyDescent="0.25">
      <c r="A297" s="303" t="s">
        <v>482</v>
      </c>
      <c r="B297" s="303" t="s">
        <v>154</v>
      </c>
      <c r="C297" s="304" t="s">
        <v>446</v>
      </c>
      <c r="D297" s="304" t="s">
        <v>444</v>
      </c>
      <c r="E297" s="304">
        <v>38000</v>
      </c>
      <c r="F297" s="304">
        <v>22190</v>
      </c>
      <c r="G297" s="304">
        <v>23572</v>
      </c>
      <c r="H297" s="304">
        <v>19178</v>
      </c>
      <c r="I297" s="304">
        <f t="shared" si="6"/>
        <v>3645501.1877385825</v>
      </c>
      <c r="J297" s="73"/>
      <c r="K297" s="48"/>
      <c r="L297" s="48"/>
      <c r="M297" s="14"/>
      <c r="N297" s="48"/>
    </row>
    <row r="298" spans="1:14" x14ac:dyDescent="0.25">
      <c r="A298" s="303" t="s">
        <v>483</v>
      </c>
      <c r="B298" s="303" t="s">
        <v>156</v>
      </c>
      <c r="C298" s="304" t="s">
        <v>443</v>
      </c>
      <c r="D298" s="304" t="s">
        <v>444</v>
      </c>
      <c r="E298" s="304">
        <v>4000</v>
      </c>
      <c r="F298" s="304">
        <v>2249</v>
      </c>
      <c r="G298" s="304">
        <v>2749</v>
      </c>
      <c r="H298" s="304">
        <v>2051</v>
      </c>
      <c r="I298" s="304">
        <f t="shared" si="6"/>
        <v>625587.28177847771</v>
      </c>
      <c r="J298" s="73"/>
      <c r="K298" s="48"/>
      <c r="L298" s="48"/>
      <c r="M298" s="14"/>
      <c r="N298" s="48"/>
    </row>
    <row r="299" spans="1:14" x14ac:dyDescent="0.25">
      <c r="A299" s="303" t="s">
        <v>483</v>
      </c>
      <c r="B299" s="303" t="s">
        <v>156</v>
      </c>
      <c r="C299" s="304" t="s">
        <v>446</v>
      </c>
      <c r="D299" s="304" t="s">
        <v>444</v>
      </c>
      <c r="E299" s="304">
        <v>8900</v>
      </c>
      <c r="F299" s="304">
        <v>9580</v>
      </c>
      <c r="G299" s="304">
        <v>12130</v>
      </c>
      <c r="H299" s="304">
        <v>7055</v>
      </c>
      <c r="I299" s="304">
        <f t="shared" si="6"/>
        <v>1653411.1761304596</v>
      </c>
      <c r="J299" s="73"/>
      <c r="K299" s="48"/>
      <c r="L299" s="48"/>
      <c r="M299" s="14"/>
      <c r="N299" s="48"/>
    </row>
    <row r="300" spans="1:14" x14ac:dyDescent="0.25">
      <c r="A300" s="303" t="s">
        <v>483</v>
      </c>
      <c r="B300" s="303" t="s">
        <v>156</v>
      </c>
      <c r="C300" s="304" t="s">
        <v>443</v>
      </c>
      <c r="D300" s="304" t="s">
        <v>444</v>
      </c>
      <c r="E300" s="304">
        <v>1200</v>
      </c>
      <c r="F300" s="304">
        <v>539</v>
      </c>
      <c r="G300" s="304">
        <v>759</v>
      </c>
      <c r="H300" s="304">
        <v>700</v>
      </c>
      <c r="I300" s="304">
        <f t="shared" si="6"/>
        <v>251712.64699460019</v>
      </c>
      <c r="J300" s="73"/>
      <c r="K300" s="48"/>
      <c r="L300" s="48"/>
      <c r="M300" s="14"/>
      <c r="N300" s="48"/>
    </row>
    <row r="301" spans="1:14" x14ac:dyDescent="0.25">
      <c r="A301" s="303" t="s">
        <v>483</v>
      </c>
      <c r="B301" s="303" t="s">
        <v>156</v>
      </c>
      <c r="C301" s="304" t="s">
        <v>443</v>
      </c>
      <c r="D301" s="304" t="s">
        <v>444</v>
      </c>
      <c r="E301" s="304">
        <v>26200</v>
      </c>
      <c r="F301" s="304">
        <v>16285</v>
      </c>
      <c r="G301" s="304">
        <v>18118</v>
      </c>
      <c r="H301" s="304">
        <v>13555</v>
      </c>
      <c r="I301" s="304">
        <f t="shared" si="6"/>
        <v>2499485.8617228931</v>
      </c>
      <c r="J301" s="73"/>
      <c r="K301" s="48"/>
      <c r="L301" s="48"/>
      <c r="M301" s="14"/>
      <c r="N301" s="48"/>
    </row>
    <row r="302" spans="1:14" x14ac:dyDescent="0.25">
      <c r="A302" s="303" t="s">
        <v>483</v>
      </c>
      <c r="B302" s="303" t="s">
        <v>156</v>
      </c>
      <c r="C302" s="304" t="s">
        <v>443</v>
      </c>
      <c r="D302" s="304" t="s">
        <v>444</v>
      </c>
      <c r="E302" s="304">
        <v>2000</v>
      </c>
      <c r="F302" s="304">
        <v>1399</v>
      </c>
      <c r="G302" s="304">
        <v>1631</v>
      </c>
      <c r="H302" s="304">
        <v>1122</v>
      </c>
      <c r="I302" s="304">
        <f t="shared" si="6"/>
        <v>396412.19919175736</v>
      </c>
      <c r="J302" s="73"/>
      <c r="K302" s="48"/>
      <c r="L302" s="48"/>
      <c r="M302" s="14"/>
      <c r="N302" s="48"/>
    </row>
    <row r="303" spans="1:14" x14ac:dyDescent="0.25">
      <c r="A303" s="303" t="s">
        <v>483</v>
      </c>
      <c r="B303" s="303" t="s">
        <v>156</v>
      </c>
      <c r="C303" s="304" t="s">
        <v>443</v>
      </c>
      <c r="D303" s="304" t="s">
        <v>444</v>
      </c>
      <c r="E303" s="304">
        <v>4500</v>
      </c>
      <c r="F303" s="304">
        <v>3683</v>
      </c>
      <c r="G303" s="304">
        <v>4711</v>
      </c>
      <c r="H303" s="304">
        <v>3017</v>
      </c>
      <c r="I303" s="304">
        <f t="shared" si="6"/>
        <v>786497.74825712899</v>
      </c>
      <c r="J303" s="73"/>
      <c r="K303" s="48"/>
      <c r="L303" s="48"/>
      <c r="M303" s="14"/>
      <c r="N303" s="48"/>
    </row>
    <row r="304" spans="1:14" x14ac:dyDescent="0.25">
      <c r="A304" s="303" t="s">
        <v>157</v>
      </c>
      <c r="B304" s="303" t="s">
        <v>158</v>
      </c>
      <c r="C304" s="304" t="s">
        <v>443</v>
      </c>
      <c r="D304" s="304" t="s">
        <v>448</v>
      </c>
      <c r="E304" s="304">
        <v>6100</v>
      </c>
      <c r="F304" s="304">
        <v>3245</v>
      </c>
      <c r="G304" s="304">
        <v>3643</v>
      </c>
      <c r="H304" s="304">
        <v>3269</v>
      </c>
      <c r="I304" s="304">
        <f t="shared" si="6"/>
        <v>819682.23154042801</v>
      </c>
      <c r="J304" s="73"/>
      <c r="K304" s="48"/>
      <c r="L304" s="48"/>
      <c r="M304" s="14"/>
      <c r="N304" s="48"/>
    </row>
    <row r="305" spans="1:14" x14ac:dyDescent="0.25">
      <c r="A305" s="303" t="s">
        <v>157</v>
      </c>
      <c r="B305" s="303" t="s">
        <v>158</v>
      </c>
      <c r="C305" s="304" t="s">
        <v>443</v>
      </c>
      <c r="D305" s="304" t="s">
        <v>444</v>
      </c>
      <c r="E305" s="304">
        <v>160000</v>
      </c>
      <c r="F305" s="304">
        <v>98038</v>
      </c>
      <c r="G305" s="304">
        <v>102867</v>
      </c>
      <c r="H305" s="304">
        <v>109806</v>
      </c>
      <c r="I305" s="304">
        <f t="shared" si="6"/>
        <v>9445428.6529715564</v>
      </c>
      <c r="J305" s="73"/>
      <c r="K305" s="48"/>
      <c r="L305" s="48"/>
      <c r="M305" s="14"/>
      <c r="N305" s="48"/>
    </row>
    <row r="306" spans="1:14" x14ac:dyDescent="0.25">
      <c r="A306" s="303" t="s">
        <v>157</v>
      </c>
      <c r="B306" s="303" t="s">
        <v>158</v>
      </c>
      <c r="C306" s="304" t="s">
        <v>443</v>
      </c>
      <c r="D306" s="304" t="s">
        <v>448</v>
      </c>
      <c r="E306" s="304">
        <v>2000</v>
      </c>
      <c r="F306" s="304">
        <v>636</v>
      </c>
      <c r="G306" s="304">
        <v>758</v>
      </c>
      <c r="H306" s="304">
        <v>748</v>
      </c>
      <c r="I306" s="304">
        <f t="shared" si="6"/>
        <v>323776.30948268092</v>
      </c>
      <c r="J306" s="73"/>
      <c r="K306" s="48"/>
      <c r="L306" s="48"/>
      <c r="M306" s="14"/>
      <c r="N306" s="48"/>
    </row>
    <row r="307" spans="1:14" x14ac:dyDescent="0.25">
      <c r="A307" s="303" t="s">
        <v>157</v>
      </c>
      <c r="B307" s="303" t="s">
        <v>158</v>
      </c>
      <c r="C307" s="304" t="s">
        <v>446</v>
      </c>
      <c r="D307" s="304" t="s">
        <v>444</v>
      </c>
      <c r="E307" s="304">
        <v>9700</v>
      </c>
      <c r="F307" s="304">
        <v>5856</v>
      </c>
      <c r="G307" s="304">
        <v>5860</v>
      </c>
      <c r="H307" s="304">
        <v>6690</v>
      </c>
      <c r="I307" s="304">
        <f t="shared" si="6"/>
        <v>1376262.4921140035</v>
      </c>
      <c r="J307" s="73"/>
      <c r="K307" s="48"/>
      <c r="L307" s="48"/>
      <c r="M307" s="14"/>
      <c r="N307" s="48"/>
    </row>
    <row r="308" spans="1:14" x14ac:dyDescent="0.25">
      <c r="A308" s="303" t="s">
        <v>157</v>
      </c>
      <c r="B308" s="303" t="s">
        <v>158</v>
      </c>
      <c r="C308" s="304" t="s">
        <v>446</v>
      </c>
      <c r="D308" s="304" t="s">
        <v>456</v>
      </c>
      <c r="E308" s="304">
        <v>536000</v>
      </c>
      <c r="F308" s="304">
        <v>26945</v>
      </c>
      <c r="G308" s="304">
        <v>28207</v>
      </c>
      <c r="H308" s="304">
        <v>29367</v>
      </c>
      <c r="I308" s="304">
        <f t="shared" si="6"/>
        <v>2162166.6101719551</v>
      </c>
      <c r="J308" s="73"/>
      <c r="K308" s="48"/>
      <c r="L308" s="48"/>
      <c r="M308" s="14"/>
      <c r="N308" s="48"/>
    </row>
    <row r="309" spans="1:14" x14ac:dyDescent="0.25">
      <c r="A309" s="303" t="s">
        <v>157</v>
      </c>
      <c r="B309" s="303" t="s">
        <v>158</v>
      </c>
      <c r="C309" s="304" t="s">
        <v>443</v>
      </c>
      <c r="D309" s="304" t="s">
        <v>456</v>
      </c>
      <c r="E309" s="304">
        <v>202000</v>
      </c>
      <c r="F309" s="304">
        <v>21283</v>
      </c>
      <c r="G309" s="304">
        <v>22951</v>
      </c>
      <c r="H309" s="304">
        <v>20622</v>
      </c>
      <c r="I309" s="304">
        <f t="shared" si="6"/>
        <v>1340180.4694969454</v>
      </c>
      <c r="J309" s="73"/>
      <c r="K309" s="48"/>
      <c r="L309" s="48"/>
      <c r="M309" s="14"/>
      <c r="N309" s="48"/>
    </row>
    <row r="310" spans="1:14" x14ac:dyDescent="0.25">
      <c r="A310" s="303" t="s">
        <v>159</v>
      </c>
      <c r="B310" s="303" t="s">
        <v>160</v>
      </c>
      <c r="C310" s="304" t="s">
        <v>443</v>
      </c>
      <c r="D310" s="304" t="s">
        <v>448</v>
      </c>
      <c r="E310" s="304">
        <v>249</v>
      </c>
      <c r="F310" s="304">
        <v>177</v>
      </c>
      <c r="G310" s="304">
        <v>0</v>
      </c>
      <c r="H310" s="304">
        <v>201</v>
      </c>
      <c r="I310" s="304">
        <f t="shared" si="6"/>
        <v>85257.403459269146</v>
      </c>
      <c r="J310" s="73"/>
      <c r="K310" s="48"/>
      <c r="L310" s="48"/>
      <c r="M310" s="14"/>
      <c r="N310" s="48"/>
    </row>
    <row r="311" spans="1:14" x14ac:dyDescent="0.25">
      <c r="A311" s="303" t="s">
        <v>159</v>
      </c>
      <c r="B311" s="303" t="s">
        <v>160</v>
      </c>
      <c r="C311" s="304" t="s">
        <v>443</v>
      </c>
      <c r="D311" s="304" t="s">
        <v>448</v>
      </c>
      <c r="E311" s="304">
        <v>200</v>
      </c>
      <c r="F311" s="304">
        <v>107</v>
      </c>
      <c r="G311" s="304">
        <v>0</v>
      </c>
      <c r="H311" s="304">
        <v>151</v>
      </c>
      <c r="I311" s="304">
        <f t="shared" si="6"/>
        <v>71009.054426640228</v>
      </c>
      <c r="J311" s="73"/>
      <c r="K311" s="48"/>
      <c r="L311" s="48"/>
      <c r="M311" s="14"/>
      <c r="N311" s="48"/>
    </row>
    <row r="312" spans="1:14" x14ac:dyDescent="0.25">
      <c r="A312" s="303" t="s">
        <v>159</v>
      </c>
      <c r="B312" s="303" t="s">
        <v>160</v>
      </c>
      <c r="C312" s="304" t="s">
        <v>443</v>
      </c>
      <c r="D312" s="304" t="s">
        <v>448</v>
      </c>
      <c r="E312" s="304">
        <v>167</v>
      </c>
      <c r="F312" s="304">
        <v>20</v>
      </c>
      <c r="G312" s="304">
        <v>0</v>
      </c>
      <c r="H312" s="304">
        <v>23</v>
      </c>
      <c r="I312" s="304">
        <f t="shared" si="6"/>
        <v>45199.15774414326</v>
      </c>
      <c r="J312" s="73"/>
      <c r="K312" s="48"/>
      <c r="L312" s="48"/>
      <c r="M312" s="14"/>
      <c r="N312" s="48"/>
    </row>
    <row r="313" spans="1:14" x14ac:dyDescent="0.25">
      <c r="A313" s="303" t="s">
        <v>159</v>
      </c>
      <c r="B313" s="303" t="s">
        <v>160</v>
      </c>
      <c r="C313" s="304" t="s">
        <v>443</v>
      </c>
      <c r="D313" s="304" t="s">
        <v>445</v>
      </c>
      <c r="E313" s="304">
        <v>50</v>
      </c>
      <c r="F313" s="304">
        <v>25</v>
      </c>
      <c r="G313" s="304">
        <v>0</v>
      </c>
      <c r="H313" s="304">
        <v>0</v>
      </c>
      <c r="I313" s="304">
        <f t="shared" si="6"/>
        <v>31606.108786520053</v>
      </c>
      <c r="J313" s="73"/>
      <c r="K313" s="48"/>
      <c r="L313" s="48"/>
      <c r="M313" s="14"/>
      <c r="N313" s="48"/>
    </row>
    <row r="314" spans="1:14" x14ac:dyDescent="0.25">
      <c r="A314" s="303" t="s">
        <v>159</v>
      </c>
      <c r="B314" s="303" t="s">
        <v>160</v>
      </c>
      <c r="C314" s="304" t="s">
        <v>443</v>
      </c>
      <c r="D314" s="304" t="s">
        <v>445</v>
      </c>
      <c r="E314" s="304">
        <v>50</v>
      </c>
      <c r="F314" s="304">
        <v>25</v>
      </c>
      <c r="G314" s="304">
        <v>0</v>
      </c>
      <c r="H314" s="304">
        <v>0</v>
      </c>
      <c r="I314" s="304">
        <f t="shared" si="6"/>
        <v>31606.108786520053</v>
      </c>
      <c r="J314" s="73"/>
      <c r="K314" s="48"/>
      <c r="L314" s="48"/>
      <c r="M314" s="14"/>
      <c r="N314" s="48"/>
    </row>
    <row r="315" spans="1:14" x14ac:dyDescent="0.25">
      <c r="A315" s="303" t="s">
        <v>159</v>
      </c>
      <c r="B315" s="303" t="s">
        <v>160</v>
      </c>
      <c r="C315" s="304" t="s">
        <v>446</v>
      </c>
      <c r="D315" s="304" t="s">
        <v>444</v>
      </c>
      <c r="E315" s="304">
        <v>8500</v>
      </c>
      <c r="F315" s="304">
        <v>6872</v>
      </c>
      <c r="G315" s="304">
        <v>5976</v>
      </c>
      <c r="H315" s="304">
        <v>2964</v>
      </c>
      <c r="I315" s="304">
        <f t="shared" si="6"/>
        <v>1312818.5988092937</v>
      </c>
      <c r="J315" s="73"/>
      <c r="K315" s="48"/>
      <c r="L315" s="48"/>
      <c r="M315" s="14"/>
      <c r="N315" s="48"/>
    </row>
    <row r="316" spans="1:14" x14ac:dyDescent="0.25">
      <c r="A316" s="303" t="s">
        <v>159</v>
      </c>
      <c r="B316" s="303" t="s">
        <v>160</v>
      </c>
      <c r="C316" s="304" t="s">
        <v>443</v>
      </c>
      <c r="D316" s="304" t="s">
        <v>456</v>
      </c>
      <c r="E316" s="304">
        <v>192</v>
      </c>
      <c r="F316" s="304">
        <v>20</v>
      </c>
      <c r="G316" s="304">
        <v>0</v>
      </c>
      <c r="H316" s="304">
        <v>125</v>
      </c>
      <c r="I316" s="304">
        <f t="shared" si="6"/>
        <v>44409.860303410096</v>
      </c>
      <c r="J316" s="73"/>
      <c r="K316" s="48"/>
      <c r="L316" s="48"/>
      <c r="M316" s="14"/>
      <c r="N316" s="48"/>
    </row>
    <row r="317" spans="1:14" x14ac:dyDescent="0.25">
      <c r="A317" s="303" t="s">
        <v>159</v>
      </c>
      <c r="B317" s="303" t="s">
        <v>160</v>
      </c>
      <c r="C317" s="304" t="s">
        <v>443</v>
      </c>
      <c r="D317" s="304" t="s">
        <v>445</v>
      </c>
      <c r="E317" s="304">
        <v>285</v>
      </c>
      <c r="F317" s="304">
        <v>122</v>
      </c>
      <c r="G317" s="304">
        <v>0</v>
      </c>
      <c r="H317" s="304">
        <v>228</v>
      </c>
      <c r="I317" s="304">
        <f t="shared" si="6"/>
        <v>105910.20604897173</v>
      </c>
      <c r="J317" s="73"/>
      <c r="K317" s="48"/>
      <c r="L317" s="48"/>
      <c r="M317" s="14"/>
      <c r="N317" s="48"/>
    </row>
    <row r="318" spans="1:14" x14ac:dyDescent="0.25">
      <c r="A318" s="303" t="s">
        <v>159</v>
      </c>
      <c r="B318" s="303" t="s">
        <v>160</v>
      </c>
      <c r="C318" s="304" t="s">
        <v>446</v>
      </c>
      <c r="D318" s="304" t="s">
        <v>444</v>
      </c>
      <c r="E318" s="304">
        <v>1730</v>
      </c>
      <c r="F318" s="304">
        <v>1243</v>
      </c>
      <c r="G318" s="304">
        <v>0</v>
      </c>
      <c r="H318" s="304">
        <v>1537</v>
      </c>
      <c r="I318" s="304">
        <f t="shared" si="6"/>
        <v>419937.75984762545</v>
      </c>
      <c r="J318" s="73"/>
      <c r="K318" s="48"/>
      <c r="L318" s="48"/>
      <c r="M318" s="14"/>
      <c r="N318" s="48"/>
    </row>
    <row r="319" spans="1:14" x14ac:dyDescent="0.25">
      <c r="A319" s="303" t="s">
        <v>159</v>
      </c>
      <c r="B319" s="303" t="s">
        <v>160</v>
      </c>
      <c r="C319" s="304" t="s">
        <v>443</v>
      </c>
      <c r="D319" s="304" t="s">
        <v>445</v>
      </c>
      <c r="E319" s="304">
        <v>124</v>
      </c>
      <c r="F319" s="304">
        <v>5</v>
      </c>
      <c r="G319" s="304">
        <v>0</v>
      </c>
      <c r="H319" s="304">
        <v>15</v>
      </c>
      <c r="I319" s="304">
        <f t="shared" si="6"/>
        <v>46589.388466144963</v>
      </c>
      <c r="J319" s="73"/>
      <c r="K319" s="48"/>
      <c r="L319" s="48"/>
      <c r="M319" s="14"/>
      <c r="N319" s="48"/>
    </row>
    <row r="320" spans="1:14" x14ac:dyDescent="0.25">
      <c r="A320" s="303" t="s">
        <v>159</v>
      </c>
      <c r="B320" s="303" t="s">
        <v>160</v>
      </c>
      <c r="C320" s="304" t="s">
        <v>443</v>
      </c>
      <c r="D320" s="304" t="s">
        <v>456</v>
      </c>
      <c r="E320" s="304">
        <v>30</v>
      </c>
      <c r="F320" s="304">
        <v>15</v>
      </c>
      <c r="G320" s="304">
        <v>0</v>
      </c>
      <c r="H320" s="304">
        <v>0</v>
      </c>
      <c r="I320" s="304">
        <f t="shared" si="6"/>
        <v>16123.040489012412</v>
      </c>
      <c r="J320" s="73"/>
      <c r="K320" s="48"/>
      <c r="L320" s="48"/>
      <c r="M320" s="14"/>
      <c r="N320" s="48"/>
    </row>
    <row r="321" spans="1:14" x14ac:dyDescent="0.25">
      <c r="A321" s="303" t="s">
        <v>484</v>
      </c>
      <c r="B321" s="303" t="s">
        <v>164</v>
      </c>
      <c r="C321" s="304" t="s">
        <v>446</v>
      </c>
      <c r="D321" s="304" t="s">
        <v>444</v>
      </c>
      <c r="E321" s="304">
        <v>148000</v>
      </c>
      <c r="F321" s="304">
        <v>85151</v>
      </c>
      <c r="G321" s="304">
        <v>103445</v>
      </c>
      <c r="H321" s="304">
        <v>93982</v>
      </c>
      <c r="I321" s="304">
        <f t="shared" si="6"/>
        <v>10268268.47354883</v>
      </c>
      <c r="J321" s="73"/>
      <c r="K321" s="48"/>
      <c r="L321" s="48"/>
      <c r="M321" s="14"/>
      <c r="N321" s="48"/>
    </row>
    <row r="322" spans="1:14" x14ac:dyDescent="0.25">
      <c r="A322" s="303" t="s">
        <v>485</v>
      </c>
      <c r="B322" s="303" t="s">
        <v>166</v>
      </c>
      <c r="C322" s="304" t="s">
        <v>443</v>
      </c>
      <c r="D322" s="304" t="s">
        <v>448</v>
      </c>
      <c r="E322" s="304">
        <v>2500</v>
      </c>
      <c r="F322" s="304">
        <v>919</v>
      </c>
      <c r="G322" s="304">
        <v>1343</v>
      </c>
      <c r="H322" s="304">
        <v>658</v>
      </c>
      <c r="I322" s="304">
        <f t="shared" si="6"/>
        <v>413318.73808839003</v>
      </c>
      <c r="J322" s="73"/>
      <c r="K322" s="48"/>
      <c r="L322" s="48"/>
      <c r="M322" s="14"/>
      <c r="N322" s="48"/>
    </row>
    <row r="323" spans="1:14" x14ac:dyDescent="0.25">
      <c r="A323" s="303" t="s">
        <v>485</v>
      </c>
      <c r="B323" s="303" t="s">
        <v>166</v>
      </c>
      <c r="C323" s="304" t="s">
        <v>443</v>
      </c>
      <c r="D323" s="304" t="s">
        <v>448</v>
      </c>
      <c r="E323" s="304">
        <v>1250</v>
      </c>
      <c r="F323" s="304">
        <v>822</v>
      </c>
      <c r="G323" s="304">
        <v>963</v>
      </c>
      <c r="H323" s="304">
        <v>587</v>
      </c>
      <c r="I323" s="304">
        <f t="shared" ref="I323:I386" si="7">IF(D323="M",(AVERAGE(E323,MAX(F323:H323))^0.519)*3203.7913,IF(OR(D323="MB",D323="MK",D323="MBK",D323="MBN"),(AVERAGE(E323,MAX(F323:H323))^0.6289)*3234.9142,IF(AND(C323="Landzone og sommerhusområde",OR(D323="MBNKD",D323="MBNK/MBND")),(AVERAGE(E323,MAX(F323:H323))^0.736)*1583.1635,IF(AND(C323="Byzone",OR(D323="MBNKD",D323="MBNK/MBND")),(AVERAGE(E323,MAX(F323:H323))^0.736)*1812.7138,0))))</f>
        <v>275342.98255908472</v>
      </c>
      <c r="J323" s="73"/>
      <c r="K323" s="48"/>
      <c r="L323" s="48"/>
      <c r="M323" s="14"/>
      <c r="N323" s="48"/>
    </row>
    <row r="324" spans="1:14" x14ac:dyDescent="0.25">
      <c r="A324" s="303" t="s">
        <v>486</v>
      </c>
      <c r="B324" s="303" t="s">
        <v>168</v>
      </c>
      <c r="C324" s="304" t="s">
        <v>446</v>
      </c>
      <c r="D324" s="304" t="s">
        <v>444</v>
      </c>
      <c r="E324" s="304">
        <v>17000</v>
      </c>
      <c r="F324" s="304">
        <v>13191</v>
      </c>
      <c r="G324" s="304">
        <v>18438</v>
      </c>
      <c r="H324" s="304">
        <v>16346</v>
      </c>
      <c r="I324" s="304">
        <f t="shared" si="7"/>
        <v>2427618.8340479778</v>
      </c>
      <c r="J324" s="73"/>
      <c r="K324" s="48"/>
      <c r="L324" s="48"/>
      <c r="M324" s="14"/>
      <c r="N324" s="48"/>
    </row>
    <row r="325" spans="1:14" x14ac:dyDescent="0.25">
      <c r="A325" s="303" t="s">
        <v>486</v>
      </c>
      <c r="B325" s="303" t="s">
        <v>168</v>
      </c>
      <c r="C325" s="304" t="s">
        <v>446</v>
      </c>
      <c r="D325" s="304" t="s">
        <v>448</v>
      </c>
      <c r="E325" s="304">
        <v>6500</v>
      </c>
      <c r="F325" s="304">
        <v>2873</v>
      </c>
      <c r="G325" s="304">
        <v>3541</v>
      </c>
      <c r="H325" s="304">
        <v>4361</v>
      </c>
      <c r="I325" s="304">
        <f t="shared" si="7"/>
        <v>1016649.723967817</v>
      </c>
      <c r="J325" s="73"/>
      <c r="K325" s="48"/>
      <c r="L325" s="48"/>
      <c r="M325" s="14"/>
      <c r="N325" s="48"/>
    </row>
    <row r="326" spans="1:14" x14ac:dyDescent="0.25">
      <c r="A326" s="303" t="s">
        <v>486</v>
      </c>
      <c r="B326" s="303" t="s">
        <v>168</v>
      </c>
      <c r="C326" s="304" t="s">
        <v>446</v>
      </c>
      <c r="D326" s="304" t="s">
        <v>444</v>
      </c>
      <c r="E326" s="304">
        <v>22500</v>
      </c>
      <c r="F326" s="304">
        <v>2983</v>
      </c>
      <c r="G326" s="304">
        <v>4178</v>
      </c>
      <c r="H326" s="304">
        <v>5568</v>
      </c>
      <c r="I326" s="304">
        <f t="shared" si="7"/>
        <v>2044818.6829841374</v>
      </c>
      <c r="J326" s="73"/>
      <c r="K326" s="48"/>
      <c r="L326" s="48"/>
      <c r="M326" s="14"/>
      <c r="N326" s="48"/>
    </row>
    <row r="327" spans="1:14" x14ac:dyDescent="0.25">
      <c r="A327" s="303" t="s">
        <v>486</v>
      </c>
      <c r="B327" s="303" t="s">
        <v>168</v>
      </c>
      <c r="C327" s="304" t="s">
        <v>446</v>
      </c>
      <c r="D327" s="304" t="s">
        <v>444</v>
      </c>
      <c r="E327" s="304">
        <v>125000</v>
      </c>
      <c r="F327" s="304">
        <v>73003</v>
      </c>
      <c r="G327" s="304">
        <v>105059</v>
      </c>
      <c r="H327" s="304">
        <v>90077</v>
      </c>
      <c r="I327" s="304">
        <f t="shared" si="7"/>
        <v>9618001.3962249197</v>
      </c>
      <c r="J327" s="73"/>
      <c r="K327" s="48"/>
      <c r="L327" s="48"/>
      <c r="M327" s="14"/>
      <c r="N327" s="48"/>
    </row>
    <row r="328" spans="1:14" x14ac:dyDescent="0.25">
      <c r="A328" s="303" t="s">
        <v>169</v>
      </c>
      <c r="B328" s="303" t="s">
        <v>170</v>
      </c>
      <c r="C328" s="304" t="s">
        <v>443</v>
      </c>
      <c r="D328" s="304" t="s">
        <v>444</v>
      </c>
      <c r="E328" s="304">
        <v>17500</v>
      </c>
      <c r="F328" s="304">
        <v>9357</v>
      </c>
      <c r="G328" s="304">
        <v>12908</v>
      </c>
      <c r="H328" s="304">
        <v>9759</v>
      </c>
      <c r="I328" s="304">
        <f t="shared" si="7"/>
        <v>1894291.2545931302</v>
      </c>
      <c r="J328" s="73"/>
      <c r="K328" s="48"/>
      <c r="L328" s="48"/>
      <c r="M328" s="14"/>
      <c r="N328" s="48"/>
    </row>
    <row r="329" spans="1:14" x14ac:dyDescent="0.25">
      <c r="A329" s="303" t="s">
        <v>169</v>
      </c>
      <c r="B329" s="303" t="s">
        <v>170</v>
      </c>
      <c r="C329" s="304" t="s">
        <v>443</v>
      </c>
      <c r="D329" s="304" t="s">
        <v>444</v>
      </c>
      <c r="E329" s="304">
        <v>15000</v>
      </c>
      <c r="F329" s="304">
        <v>14623</v>
      </c>
      <c r="G329" s="304">
        <v>16448</v>
      </c>
      <c r="H329" s="304">
        <v>14978</v>
      </c>
      <c r="I329" s="304">
        <f t="shared" si="7"/>
        <v>1941762.736489563</v>
      </c>
      <c r="J329" s="73"/>
      <c r="K329" s="48"/>
      <c r="L329" s="48"/>
      <c r="M329" s="14"/>
      <c r="N329" s="48"/>
    </row>
    <row r="330" spans="1:14" x14ac:dyDescent="0.25">
      <c r="A330" s="303" t="s">
        <v>169</v>
      </c>
      <c r="B330" s="303" t="s">
        <v>170</v>
      </c>
      <c r="C330" s="304" t="s">
        <v>443</v>
      </c>
      <c r="D330" s="304" t="s">
        <v>444</v>
      </c>
      <c r="E330" s="304">
        <v>15000</v>
      </c>
      <c r="F330" s="304">
        <v>4807</v>
      </c>
      <c r="G330" s="304">
        <v>5434</v>
      </c>
      <c r="H330" s="304">
        <v>5819</v>
      </c>
      <c r="I330" s="304">
        <f t="shared" si="7"/>
        <v>1433356.2767757631</v>
      </c>
      <c r="J330" s="73"/>
      <c r="K330" s="48"/>
      <c r="L330" s="48"/>
      <c r="M330" s="14"/>
      <c r="N330" s="48"/>
    </row>
    <row r="331" spans="1:14" x14ac:dyDescent="0.25">
      <c r="A331" s="303" t="s">
        <v>487</v>
      </c>
      <c r="B331" s="303" t="s">
        <v>172</v>
      </c>
      <c r="C331" s="304" t="s">
        <v>443</v>
      </c>
      <c r="D331" s="304" t="s">
        <v>444</v>
      </c>
      <c r="E331" s="304">
        <v>17500</v>
      </c>
      <c r="F331" s="304">
        <v>14786</v>
      </c>
      <c r="G331" s="304">
        <v>14332</v>
      </c>
      <c r="H331" s="304">
        <v>9432</v>
      </c>
      <c r="I331" s="304">
        <f t="shared" si="7"/>
        <v>1979712.7232835451</v>
      </c>
      <c r="J331" s="73"/>
      <c r="K331" s="48"/>
      <c r="L331" s="48"/>
      <c r="M331" s="14"/>
      <c r="N331" s="48"/>
    </row>
    <row r="332" spans="1:14" x14ac:dyDescent="0.25">
      <c r="A332" s="303" t="s">
        <v>487</v>
      </c>
      <c r="B332" s="303" t="s">
        <v>172</v>
      </c>
      <c r="C332" s="304" t="s">
        <v>446</v>
      </c>
      <c r="D332" s="304" t="s">
        <v>444</v>
      </c>
      <c r="E332" s="304">
        <v>105000</v>
      </c>
      <c r="F332" s="304">
        <v>66952</v>
      </c>
      <c r="G332" s="304">
        <v>112670</v>
      </c>
      <c r="H332" s="304">
        <v>70059</v>
      </c>
      <c r="I332" s="304">
        <f t="shared" si="7"/>
        <v>9234022.2580362167</v>
      </c>
      <c r="J332" s="73"/>
      <c r="K332" s="48"/>
      <c r="L332" s="48"/>
      <c r="M332" s="14"/>
      <c r="N332" s="48"/>
    </row>
    <row r="333" spans="1:14" x14ac:dyDescent="0.25">
      <c r="A333" s="303" t="s">
        <v>487</v>
      </c>
      <c r="B333" s="303" t="s">
        <v>172</v>
      </c>
      <c r="C333" s="304" t="s">
        <v>446</v>
      </c>
      <c r="D333" s="304" t="s">
        <v>444</v>
      </c>
      <c r="E333" s="304">
        <v>25000</v>
      </c>
      <c r="F333" s="304">
        <v>10988</v>
      </c>
      <c r="G333" s="304">
        <v>13036</v>
      </c>
      <c r="H333" s="304">
        <v>11570</v>
      </c>
      <c r="I333" s="304">
        <f t="shared" si="7"/>
        <v>2557375.8841255372</v>
      </c>
      <c r="J333" s="73"/>
      <c r="K333" s="48"/>
      <c r="L333" s="48"/>
      <c r="M333" s="14"/>
      <c r="N333" s="48"/>
    </row>
    <row r="334" spans="1:14" x14ac:dyDescent="0.25">
      <c r="A334" s="303" t="s">
        <v>487</v>
      </c>
      <c r="B334" s="303" t="s">
        <v>172</v>
      </c>
      <c r="C334" s="304" t="s">
        <v>443</v>
      </c>
      <c r="D334" s="304" t="s">
        <v>456</v>
      </c>
      <c r="E334" s="304">
        <v>200</v>
      </c>
      <c r="F334" s="304">
        <v>78</v>
      </c>
      <c r="G334" s="304">
        <v>92</v>
      </c>
      <c r="H334" s="304">
        <v>94</v>
      </c>
      <c r="I334" s="304">
        <f t="shared" si="7"/>
        <v>42707.280204509261</v>
      </c>
      <c r="J334" s="73"/>
      <c r="K334" s="48"/>
      <c r="L334" s="48"/>
      <c r="M334" s="14"/>
      <c r="N334" s="48"/>
    </row>
    <row r="335" spans="1:14" x14ac:dyDescent="0.25">
      <c r="A335" s="303" t="s">
        <v>487</v>
      </c>
      <c r="B335" s="303" t="s">
        <v>172</v>
      </c>
      <c r="C335" s="304" t="s">
        <v>443</v>
      </c>
      <c r="D335" s="304" t="s">
        <v>456</v>
      </c>
      <c r="E335" s="304">
        <v>100</v>
      </c>
      <c r="F335" s="304">
        <v>0</v>
      </c>
      <c r="G335" s="304">
        <v>0</v>
      </c>
      <c r="H335" s="304">
        <v>0</v>
      </c>
      <c r="I335" s="304">
        <f t="shared" si="7"/>
        <v>24402.237516078338</v>
      </c>
      <c r="J335" s="73"/>
      <c r="K335" s="48"/>
      <c r="L335" s="48"/>
      <c r="M335" s="14"/>
      <c r="N335" s="48"/>
    </row>
    <row r="336" spans="1:14" x14ac:dyDescent="0.25">
      <c r="A336" s="303" t="s">
        <v>487</v>
      </c>
      <c r="B336" s="303" t="s">
        <v>172</v>
      </c>
      <c r="C336" s="304" t="s">
        <v>443</v>
      </c>
      <c r="D336" s="304" t="s">
        <v>456</v>
      </c>
      <c r="E336" s="304">
        <v>360</v>
      </c>
      <c r="F336" s="304">
        <v>112</v>
      </c>
      <c r="G336" s="304">
        <v>0</v>
      </c>
      <c r="H336" s="304">
        <v>172</v>
      </c>
      <c r="I336" s="304">
        <f t="shared" si="7"/>
        <v>58100.221370490057</v>
      </c>
      <c r="J336" s="73"/>
      <c r="K336" s="48"/>
      <c r="L336" s="48"/>
      <c r="M336" s="14"/>
      <c r="N336" s="48"/>
    </row>
    <row r="337" spans="1:14" x14ac:dyDescent="0.25">
      <c r="A337" s="303" t="s">
        <v>487</v>
      </c>
      <c r="B337" s="303" t="s">
        <v>172</v>
      </c>
      <c r="C337" s="304" t="s">
        <v>443</v>
      </c>
      <c r="D337" s="304" t="s">
        <v>444</v>
      </c>
      <c r="E337" s="304">
        <v>12000</v>
      </c>
      <c r="F337" s="304">
        <v>3878</v>
      </c>
      <c r="G337" s="304">
        <v>4139</v>
      </c>
      <c r="H337" s="304">
        <v>4954</v>
      </c>
      <c r="I337" s="304">
        <f t="shared" si="7"/>
        <v>1232287.4213411852</v>
      </c>
      <c r="J337" s="73"/>
      <c r="K337" s="48"/>
      <c r="L337" s="48"/>
      <c r="M337" s="14"/>
      <c r="N337" s="48"/>
    </row>
    <row r="338" spans="1:14" x14ac:dyDescent="0.25">
      <c r="A338" s="303" t="s">
        <v>487</v>
      </c>
      <c r="B338" s="303" t="s">
        <v>172</v>
      </c>
      <c r="C338" s="304" t="s">
        <v>443</v>
      </c>
      <c r="D338" s="304" t="s">
        <v>444</v>
      </c>
      <c r="E338" s="304">
        <v>1400</v>
      </c>
      <c r="F338" s="304">
        <v>601</v>
      </c>
      <c r="G338" s="304">
        <v>725</v>
      </c>
      <c r="H338" s="304">
        <v>559</v>
      </c>
      <c r="I338" s="304">
        <f t="shared" si="7"/>
        <v>267241.47955107439</v>
      </c>
      <c r="J338" s="73"/>
      <c r="K338" s="48"/>
      <c r="L338" s="48"/>
      <c r="M338" s="14"/>
      <c r="N338" s="48"/>
    </row>
    <row r="339" spans="1:14" x14ac:dyDescent="0.25">
      <c r="A339" s="303" t="s">
        <v>487</v>
      </c>
      <c r="B339" s="303" t="s">
        <v>172</v>
      </c>
      <c r="C339" s="304" t="s">
        <v>443</v>
      </c>
      <c r="D339" s="304" t="s">
        <v>447</v>
      </c>
      <c r="E339" s="304">
        <v>850</v>
      </c>
      <c r="F339" s="304">
        <v>362</v>
      </c>
      <c r="G339" s="304">
        <v>491</v>
      </c>
      <c r="H339" s="304">
        <v>627</v>
      </c>
      <c r="I339" s="304">
        <f t="shared" si="7"/>
        <v>205953.12950358773</v>
      </c>
      <c r="J339" s="73"/>
      <c r="K339" s="48"/>
      <c r="L339" s="48"/>
      <c r="M339" s="14"/>
      <c r="N339" s="48"/>
    </row>
    <row r="340" spans="1:14" x14ac:dyDescent="0.25">
      <c r="A340" s="303" t="s">
        <v>487</v>
      </c>
      <c r="B340" s="303" t="s">
        <v>172</v>
      </c>
      <c r="C340" s="304" t="s">
        <v>443</v>
      </c>
      <c r="D340" s="304" t="s">
        <v>447</v>
      </c>
      <c r="E340" s="304">
        <v>300</v>
      </c>
      <c r="F340" s="304">
        <v>113</v>
      </c>
      <c r="G340" s="304">
        <v>156</v>
      </c>
      <c r="H340" s="304">
        <v>180</v>
      </c>
      <c r="I340" s="304">
        <f t="shared" si="7"/>
        <v>101572.8448254384</v>
      </c>
      <c r="J340" s="73"/>
      <c r="K340" s="48"/>
      <c r="L340" s="48"/>
      <c r="M340" s="14"/>
      <c r="N340" s="48"/>
    </row>
    <row r="341" spans="1:14" x14ac:dyDescent="0.25">
      <c r="A341" s="303" t="s">
        <v>173</v>
      </c>
      <c r="B341" s="303" t="s">
        <v>174</v>
      </c>
      <c r="C341" s="304" t="s">
        <v>443</v>
      </c>
      <c r="D341" s="304" t="s">
        <v>445</v>
      </c>
      <c r="E341" s="304">
        <v>75</v>
      </c>
      <c r="F341" s="304">
        <v>13</v>
      </c>
      <c r="G341" s="304">
        <v>16</v>
      </c>
      <c r="H341" s="304">
        <v>21</v>
      </c>
      <c r="I341" s="304">
        <f t="shared" si="7"/>
        <v>36914.363164113522</v>
      </c>
      <c r="J341" s="73"/>
      <c r="K341" s="48"/>
      <c r="L341" s="48"/>
      <c r="M341" s="14"/>
      <c r="N341" s="48"/>
    </row>
    <row r="342" spans="1:14" x14ac:dyDescent="0.25">
      <c r="A342" s="303" t="s">
        <v>173</v>
      </c>
      <c r="B342" s="303" t="s">
        <v>174</v>
      </c>
      <c r="C342" s="304" t="s">
        <v>443</v>
      </c>
      <c r="D342" s="304" t="s">
        <v>445</v>
      </c>
      <c r="E342" s="304">
        <v>30</v>
      </c>
      <c r="F342" s="304">
        <v>0</v>
      </c>
      <c r="G342" s="304">
        <v>0</v>
      </c>
      <c r="H342" s="304">
        <v>0</v>
      </c>
      <c r="I342" s="304">
        <f t="shared" si="7"/>
        <v>17762.600948836847</v>
      </c>
      <c r="J342" s="73"/>
      <c r="K342" s="48"/>
      <c r="L342" s="48"/>
      <c r="M342" s="14"/>
      <c r="N342" s="48"/>
    </row>
    <row r="343" spans="1:14" x14ac:dyDescent="0.25">
      <c r="A343" s="303" t="s">
        <v>173</v>
      </c>
      <c r="B343" s="303" t="s">
        <v>174</v>
      </c>
      <c r="C343" s="304" t="s">
        <v>443</v>
      </c>
      <c r="D343" s="304" t="s">
        <v>445</v>
      </c>
      <c r="E343" s="304">
        <v>75</v>
      </c>
      <c r="F343" s="304">
        <v>0</v>
      </c>
      <c r="G343" s="304">
        <v>59</v>
      </c>
      <c r="H343" s="304">
        <v>44</v>
      </c>
      <c r="I343" s="304">
        <f t="shared" si="7"/>
        <v>45528.276457061183</v>
      </c>
      <c r="J343" s="73"/>
      <c r="K343" s="48"/>
      <c r="L343" s="48"/>
      <c r="M343" s="14"/>
      <c r="N343" s="48"/>
    </row>
    <row r="344" spans="1:14" x14ac:dyDescent="0.25">
      <c r="A344" s="303" t="s">
        <v>173</v>
      </c>
      <c r="B344" s="303" t="s">
        <v>174</v>
      </c>
      <c r="C344" s="304" t="s">
        <v>443</v>
      </c>
      <c r="D344" s="304" t="s">
        <v>445</v>
      </c>
      <c r="E344" s="304">
        <v>175</v>
      </c>
      <c r="F344" s="304">
        <v>67</v>
      </c>
      <c r="G344" s="304">
        <v>61</v>
      </c>
      <c r="H344" s="304">
        <v>58</v>
      </c>
      <c r="I344" s="304">
        <f t="shared" si="7"/>
        <v>66027.748092469206</v>
      </c>
      <c r="J344" s="73"/>
      <c r="K344" s="48"/>
      <c r="L344" s="48"/>
      <c r="M344" s="14"/>
      <c r="N344" s="48"/>
    </row>
    <row r="345" spans="1:14" x14ac:dyDescent="0.25">
      <c r="A345" s="303" t="s">
        <v>173</v>
      </c>
      <c r="B345" s="303" t="s">
        <v>174</v>
      </c>
      <c r="C345" s="304" t="s">
        <v>443</v>
      </c>
      <c r="D345" s="304" t="s">
        <v>448</v>
      </c>
      <c r="E345" s="304">
        <v>3000</v>
      </c>
      <c r="F345" s="304">
        <v>1995</v>
      </c>
      <c r="G345" s="304">
        <v>2288</v>
      </c>
      <c r="H345" s="304">
        <v>2020</v>
      </c>
      <c r="I345" s="304">
        <f t="shared" si="7"/>
        <v>522769.44565473631</v>
      </c>
      <c r="J345" s="73"/>
      <c r="K345" s="48"/>
      <c r="L345" s="48"/>
      <c r="M345" s="14"/>
      <c r="N345" s="48"/>
    </row>
    <row r="346" spans="1:14" x14ac:dyDescent="0.25">
      <c r="A346" s="303" t="s">
        <v>173</v>
      </c>
      <c r="B346" s="303" t="s">
        <v>174</v>
      </c>
      <c r="C346" s="304" t="s">
        <v>443</v>
      </c>
      <c r="D346" s="304" t="s">
        <v>448</v>
      </c>
      <c r="E346" s="304">
        <v>250</v>
      </c>
      <c r="F346" s="304">
        <v>66</v>
      </c>
      <c r="G346" s="304">
        <v>74</v>
      </c>
      <c r="H346" s="304">
        <v>103</v>
      </c>
      <c r="I346" s="304">
        <f t="shared" si="7"/>
        <v>71306.623939204597</v>
      </c>
      <c r="J346" s="73"/>
      <c r="K346" s="48"/>
      <c r="L346" s="48"/>
      <c r="M346" s="14"/>
      <c r="N346" s="48"/>
    </row>
    <row r="347" spans="1:14" x14ac:dyDescent="0.25">
      <c r="A347" s="303" t="s">
        <v>173</v>
      </c>
      <c r="B347" s="303" t="s">
        <v>174</v>
      </c>
      <c r="C347" s="304" t="s">
        <v>443</v>
      </c>
      <c r="D347" s="304" t="s">
        <v>445</v>
      </c>
      <c r="E347" s="304">
        <v>120</v>
      </c>
      <c r="F347" s="304">
        <v>35</v>
      </c>
      <c r="G347" s="304">
        <v>54</v>
      </c>
      <c r="H347" s="304">
        <v>47</v>
      </c>
      <c r="I347" s="304">
        <f t="shared" si="7"/>
        <v>53657.004568541939</v>
      </c>
      <c r="J347" s="73"/>
      <c r="K347" s="48"/>
      <c r="L347" s="48"/>
      <c r="M347" s="14"/>
      <c r="N347" s="48"/>
    </row>
    <row r="348" spans="1:14" x14ac:dyDescent="0.25">
      <c r="A348" s="303" t="s">
        <v>173</v>
      </c>
      <c r="B348" s="303" t="s">
        <v>174</v>
      </c>
      <c r="C348" s="304" t="s">
        <v>443</v>
      </c>
      <c r="D348" s="304" t="s">
        <v>448</v>
      </c>
      <c r="E348" s="304">
        <v>3000</v>
      </c>
      <c r="F348" s="304">
        <v>2859</v>
      </c>
      <c r="G348" s="304">
        <v>3979</v>
      </c>
      <c r="H348" s="304">
        <v>2575</v>
      </c>
      <c r="I348" s="304">
        <f t="shared" si="7"/>
        <v>641208.81735349889</v>
      </c>
      <c r="J348" s="73"/>
      <c r="K348" s="48"/>
      <c r="L348" s="48"/>
      <c r="M348" s="14"/>
      <c r="N348" s="48"/>
    </row>
    <row r="349" spans="1:14" x14ac:dyDescent="0.25">
      <c r="A349" s="303" t="s">
        <v>173</v>
      </c>
      <c r="B349" s="303" t="s">
        <v>174</v>
      </c>
      <c r="C349" s="304" t="s">
        <v>446</v>
      </c>
      <c r="D349" s="304" t="s">
        <v>444</v>
      </c>
      <c r="E349" s="304">
        <v>115000</v>
      </c>
      <c r="F349" s="304">
        <v>113965</v>
      </c>
      <c r="G349" s="304">
        <v>107739</v>
      </c>
      <c r="H349" s="304">
        <v>63121</v>
      </c>
      <c r="I349" s="304">
        <f t="shared" si="7"/>
        <v>9584318.1598665696</v>
      </c>
      <c r="J349" s="73"/>
      <c r="K349" s="48"/>
      <c r="L349" s="48"/>
      <c r="M349" s="14"/>
      <c r="N349" s="48"/>
    </row>
    <row r="350" spans="1:14" x14ac:dyDescent="0.25">
      <c r="A350" s="303" t="s">
        <v>173</v>
      </c>
      <c r="B350" s="303" t="s">
        <v>174</v>
      </c>
      <c r="C350" s="304" t="s">
        <v>446</v>
      </c>
      <c r="D350" s="304" t="s">
        <v>444</v>
      </c>
      <c r="E350" s="304">
        <v>35000</v>
      </c>
      <c r="F350" s="304">
        <v>29318</v>
      </c>
      <c r="G350" s="304">
        <v>31075</v>
      </c>
      <c r="H350" s="304">
        <v>8006</v>
      </c>
      <c r="I350" s="304">
        <f t="shared" si="7"/>
        <v>3839887.6938868058</v>
      </c>
      <c r="J350" s="73"/>
      <c r="K350" s="48"/>
      <c r="L350" s="48"/>
      <c r="M350" s="14"/>
      <c r="N350" s="48"/>
    </row>
    <row r="351" spans="1:14" x14ac:dyDescent="0.25">
      <c r="A351" s="303" t="s">
        <v>173</v>
      </c>
      <c r="B351" s="303" t="s">
        <v>174</v>
      </c>
      <c r="C351" s="304" t="s">
        <v>443</v>
      </c>
      <c r="D351" s="304" t="s">
        <v>445</v>
      </c>
      <c r="E351" s="304">
        <v>25</v>
      </c>
      <c r="F351" s="304">
        <v>0</v>
      </c>
      <c r="G351" s="304">
        <v>0</v>
      </c>
      <c r="H351" s="304">
        <v>0</v>
      </c>
      <c r="I351" s="304">
        <f t="shared" si="7"/>
        <v>15838.333136942807</v>
      </c>
      <c r="J351" s="73"/>
      <c r="K351" s="48"/>
      <c r="L351" s="48"/>
      <c r="M351" s="14"/>
      <c r="N351" s="48"/>
    </row>
    <row r="352" spans="1:14" x14ac:dyDescent="0.25">
      <c r="A352" s="303" t="s">
        <v>173</v>
      </c>
      <c r="B352" s="303" t="s">
        <v>174</v>
      </c>
      <c r="C352" s="304" t="s">
        <v>443</v>
      </c>
      <c r="D352" s="304" t="s">
        <v>448</v>
      </c>
      <c r="E352" s="304">
        <v>800</v>
      </c>
      <c r="F352" s="304">
        <v>223</v>
      </c>
      <c r="G352" s="304">
        <v>281</v>
      </c>
      <c r="H352" s="304">
        <v>360</v>
      </c>
      <c r="I352" s="304">
        <f t="shared" si="7"/>
        <v>171162.55939594327</v>
      </c>
      <c r="J352" s="73"/>
      <c r="K352" s="48"/>
      <c r="L352" s="48"/>
      <c r="M352" s="14"/>
      <c r="N352" s="48"/>
    </row>
    <row r="353" spans="1:14" x14ac:dyDescent="0.25">
      <c r="A353" s="303" t="s">
        <v>173</v>
      </c>
      <c r="B353" s="303" t="s">
        <v>174</v>
      </c>
      <c r="C353" s="304" t="s">
        <v>443</v>
      </c>
      <c r="D353" s="304" t="s">
        <v>448</v>
      </c>
      <c r="E353" s="304">
        <v>80</v>
      </c>
      <c r="F353" s="304">
        <v>82</v>
      </c>
      <c r="G353" s="304">
        <v>135</v>
      </c>
      <c r="H353" s="304">
        <v>123</v>
      </c>
      <c r="I353" s="304">
        <f t="shared" si="7"/>
        <v>49504.240089369712</v>
      </c>
      <c r="J353" s="73"/>
      <c r="K353" s="48"/>
      <c r="L353" s="48"/>
      <c r="M353" s="14"/>
      <c r="N353" s="48"/>
    </row>
    <row r="354" spans="1:14" x14ac:dyDescent="0.25">
      <c r="A354" s="303" t="s">
        <v>173</v>
      </c>
      <c r="B354" s="303" t="s">
        <v>174</v>
      </c>
      <c r="C354" s="304" t="s">
        <v>443</v>
      </c>
      <c r="D354" s="304" t="s">
        <v>445</v>
      </c>
      <c r="E354" s="304">
        <v>999</v>
      </c>
      <c r="F354" s="304">
        <v>67</v>
      </c>
      <c r="G354" s="304">
        <v>79</v>
      </c>
      <c r="H354" s="304">
        <v>148</v>
      </c>
      <c r="I354" s="304">
        <f t="shared" si="7"/>
        <v>175672.7644480037</v>
      </c>
      <c r="J354" s="73"/>
      <c r="K354" s="48"/>
      <c r="L354" s="48"/>
      <c r="M354" s="14"/>
      <c r="N354" s="48"/>
    </row>
    <row r="355" spans="1:14" x14ac:dyDescent="0.25">
      <c r="A355" s="303" t="s">
        <v>173</v>
      </c>
      <c r="B355" s="303" t="s">
        <v>174</v>
      </c>
      <c r="C355" s="304" t="s">
        <v>443</v>
      </c>
      <c r="D355" s="304" t="s">
        <v>456</v>
      </c>
      <c r="E355" s="304">
        <v>50</v>
      </c>
      <c r="F355" s="304">
        <v>0</v>
      </c>
      <c r="G355" s="304">
        <v>0</v>
      </c>
      <c r="H355" s="304">
        <v>0</v>
      </c>
      <c r="I355" s="304">
        <f t="shared" si="7"/>
        <v>17029.232784928146</v>
      </c>
      <c r="J355" s="73"/>
      <c r="K355" s="48"/>
      <c r="L355" s="48"/>
      <c r="M355" s="14"/>
      <c r="N355" s="48"/>
    </row>
    <row r="356" spans="1:14" x14ac:dyDescent="0.25">
      <c r="A356" s="303" t="s">
        <v>173</v>
      </c>
      <c r="B356" s="303" t="s">
        <v>174</v>
      </c>
      <c r="C356" s="304" t="s">
        <v>443</v>
      </c>
      <c r="D356" s="304" t="s">
        <v>445</v>
      </c>
      <c r="E356" s="304">
        <v>100</v>
      </c>
      <c r="F356" s="304">
        <v>68</v>
      </c>
      <c r="G356" s="304">
        <v>45</v>
      </c>
      <c r="H356" s="304">
        <v>35</v>
      </c>
      <c r="I356" s="304">
        <f t="shared" si="7"/>
        <v>52485.822734793437</v>
      </c>
      <c r="J356" s="73"/>
      <c r="K356" s="48"/>
      <c r="L356" s="48"/>
      <c r="M356" s="14"/>
      <c r="N356" s="48"/>
    </row>
    <row r="357" spans="1:14" x14ac:dyDescent="0.25">
      <c r="A357" s="303" t="s">
        <v>173</v>
      </c>
      <c r="B357" s="303" t="s">
        <v>174</v>
      </c>
      <c r="C357" s="304" t="s">
        <v>443</v>
      </c>
      <c r="D357" s="304" t="s">
        <v>444</v>
      </c>
      <c r="E357" s="304">
        <v>50000</v>
      </c>
      <c r="F357" s="304">
        <v>18728</v>
      </c>
      <c r="G357" s="304">
        <v>30385</v>
      </c>
      <c r="H357" s="304">
        <v>25407</v>
      </c>
      <c r="I357" s="304">
        <f t="shared" si="7"/>
        <v>3874150.6409696941</v>
      </c>
      <c r="J357" s="73"/>
      <c r="K357" s="48"/>
      <c r="L357" s="48"/>
      <c r="M357" s="14"/>
      <c r="N357" s="48"/>
    </row>
    <row r="358" spans="1:14" x14ac:dyDescent="0.25">
      <c r="A358" s="303" t="s">
        <v>173</v>
      </c>
      <c r="B358" s="303" t="s">
        <v>174</v>
      </c>
      <c r="C358" s="304" t="s">
        <v>443</v>
      </c>
      <c r="D358" s="304" t="s">
        <v>448</v>
      </c>
      <c r="E358" s="304">
        <v>80</v>
      </c>
      <c r="F358" s="304">
        <v>58</v>
      </c>
      <c r="G358" s="304">
        <v>76</v>
      </c>
      <c r="H358" s="304">
        <v>117</v>
      </c>
      <c r="I358" s="304">
        <f t="shared" si="7"/>
        <v>46418.898887962168</v>
      </c>
      <c r="J358" s="73"/>
      <c r="K358" s="48"/>
      <c r="L358" s="48"/>
      <c r="M358" s="14"/>
      <c r="N358" s="48"/>
    </row>
    <row r="359" spans="1:14" x14ac:dyDescent="0.25">
      <c r="A359" s="303" t="s">
        <v>173</v>
      </c>
      <c r="B359" s="303" t="s">
        <v>174</v>
      </c>
      <c r="C359" s="304" t="s">
        <v>446</v>
      </c>
      <c r="D359" s="304" t="s">
        <v>448</v>
      </c>
      <c r="E359" s="304">
        <v>3000</v>
      </c>
      <c r="F359" s="304">
        <v>1026</v>
      </c>
      <c r="G359" s="304">
        <v>1262</v>
      </c>
      <c r="H359" s="304">
        <v>1209</v>
      </c>
      <c r="I359" s="304">
        <f t="shared" si="7"/>
        <v>510700.94325447385</v>
      </c>
      <c r="J359" s="73"/>
      <c r="K359" s="48"/>
      <c r="L359" s="48"/>
      <c r="M359" s="14"/>
      <c r="N359" s="48"/>
    </row>
    <row r="360" spans="1:14" x14ac:dyDescent="0.25">
      <c r="A360" s="303" t="s">
        <v>173</v>
      </c>
      <c r="B360" s="303" t="s">
        <v>174</v>
      </c>
      <c r="C360" s="304" t="s">
        <v>446</v>
      </c>
      <c r="D360" s="304" t="s">
        <v>448</v>
      </c>
      <c r="E360" s="304">
        <v>1500</v>
      </c>
      <c r="F360" s="304">
        <v>154</v>
      </c>
      <c r="G360" s="304">
        <v>172</v>
      </c>
      <c r="H360" s="304">
        <v>167</v>
      </c>
      <c r="I360" s="304">
        <f t="shared" si="7"/>
        <v>256491.54949798467</v>
      </c>
      <c r="J360" s="73"/>
      <c r="K360" s="48"/>
      <c r="L360" s="48"/>
      <c r="M360" s="14"/>
      <c r="N360" s="48"/>
    </row>
    <row r="361" spans="1:14" x14ac:dyDescent="0.25">
      <c r="A361" s="303" t="s">
        <v>173</v>
      </c>
      <c r="B361" s="303" t="s">
        <v>174</v>
      </c>
      <c r="C361" s="304" t="s">
        <v>443</v>
      </c>
      <c r="D361" s="304" t="s">
        <v>456</v>
      </c>
      <c r="E361" s="304">
        <v>70</v>
      </c>
      <c r="F361" s="304">
        <v>0</v>
      </c>
      <c r="G361" s="304">
        <v>0</v>
      </c>
      <c r="H361" s="304">
        <v>0</v>
      </c>
      <c r="I361" s="304">
        <f t="shared" si="7"/>
        <v>20278.486254807827</v>
      </c>
      <c r="J361" s="73"/>
      <c r="K361" s="48"/>
      <c r="L361" s="48"/>
      <c r="M361" s="14"/>
      <c r="N361" s="48"/>
    </row>
    <row r="362" spans="1:14" x14ac:dyDescent="0.25">
      <c r="A362" s="303" t="s">
        <v>173</v>
      </c>
      <c r="B362" s="303" t="s">
        <v>174</v>
      </c>
      <c r="C362" s="304" t="s">
        <v>443</v>
      </c>
      <c r="D362" s="304" t="s">
        <v>448</v>
      </c>
      <c r="E362" s="304">
        <v>800</v>
      </c>
      <c r="F362" s="304">
        <v>449</v>
      </c>
      <c r="G362" s="304">
        <v>481</v>
      </c>
      <c r="H362" s="304">
        <v>352</v>
      </c>
      <c r="I362" s="304">
        <f t="shared" si="7"/>
        <v>184129.7024263092</v>
      </c>
      <c r="J362" s="73"/>
      <c r="K362" s="48"/>
      <c r="L362" s="48"/>
      <c r="M362" s="14"/>
      <c r="N362" s="48"/>
    </row>
    <row r="363" spans="1:14" x14ac:dyDescent="0.25">
      <c r="A363" s="303" t="s">
        <v>175</v>
      </c>
      <c r="B363" s="303" t="s">
        <v>176</v>
      </c>
      <c r="C363" s="304" t="s">
        <v>446</v>
      </c>
      <c r="D363" s="304" t="s">
        <v>444</v>
      </c>
      <c r="E363" s="304">
        <v>21500</v>
      </c>
      <c r="F363" s="304">
        <v>12603</v>
      </c>
      <c r="G363" s="304">
        <v>14190</v>
      </c>
      <c r="H363" s="304">
        <v>11483</v>
      </c>
      <c r="I363" s="304">
        <f t="shared" si="7"/>
        <v>2440312.3818744151</v>
      </c>
      <c r="J363" s="73"/>
      <c r="K363" s="48"/>
      <c r="L363" s="48"/>
      <c r="M363" s="14"/>
      <c r="N363" s="48"/>
    </row>
    <row r="364" spans="1:14" x14ac:dyDescent="0.25">
      <c r="A364" s="303" t="s">
        <v>175</v>
      </c>
      <c r="B364" s="303" t="s">
        <v>176</v>
      </c>
      <c r="C364" s="304" t="s">
        <v>446</v>
      </c>
      <c r="D364" s="304" t="s">
        <v>444</v>
      </c>
      <c r="E364" s="304">
        <v>8100</v>
      </c>
      <c r="F364" s="304">
        <v>5723</v>
      </c>
      <c r="G364" s="304">
        <v>7373</v>
      </c>
      <c r="H364" s="304">
        <v>5803</v>
      </c>
      <c r="I364" s="304">
        <f t="shared" si="7"/>
        <v>1319161.6431840758</v>
      </c>
      <c r="J364" s="73"/>
      <c r="K364" s="48"/>
      <c r="L364" s="48"/>
      <c r="M364" s="14"/>
      <c r="N364" s="48"/>
    </row>
    <row r="365" spans="1:14" x14ac:dyDescent="0.25">
      <c r="A365" s="303" t="s">
        <v>175</v>
      </c>
      <c r="B365" s="303" t="s">
        <v>176</v>
      </c>
      <c r="C365" s="304" t="s">
        <v>446</v>
      </c>
      <c r="D365" s="304" t="s">
        <v>444</v>
      </c>
      <c r="E365" s="304">
        <v>41382</v>
      </c>
      <c r="F365" s="304">
        <v>46807</v>
      </c>
      <c r="G365" s="304">
        <v>46947</v>
      </c>
      <c r="H365" s="304">
        <v>27398</v>
      </c>
      <c r="I365" s="304">
        <f t="shared" si="7"/>
        <v>4754481.9509545732</v>
      </c>
      <c r="J365" s="73"/>
      <c r="K365" s="48"/>
      <c r="L365" s="48"/>
      <c r="M365" s="14"/>
      <c r="N365" s="48"/>
    </row>
    <row r="366" spans="1:14" x14ac:dyDescent="0.25">
      <c r="A366" s="303" t="s">
        <v>175</v>
      </c>
      <c r="B366" s="303" t="s">
        <v>176</v>
      </c>
      <c r="C366" s="304" t="s">
        <v>446</v>
      </c>
      <c r="D366" s="304" t="s">
        <v>444</v>
      </c>
      <c r="E366" s="304">
        <v>13518</v>
      </c>
      <c r="F366" s="304">
        <v>11990</v>
      </c>
      <c r="G366" s="304">
        <v>15968</v>
      </c>
      <c r="H366" s="304">
        <v>11214</v>
      </c>
      <c r="I366" s="304">
        <f t="shared" si="7"/>
        <v>2120354.3133246135</v>
      </c>
      <c r="J366" s="73"/>
      <c r="K366" s="48"/>
      <c r="L366" s="48"/>
      <c r="M366" s="14"/>
      <c r="N366" s="48"/>
    </row>
    <row r="367" spans="1:14" x14ac:dyDescent="0.25">
      <c r="A367" s="303" t="s">
        <v>175</v>
      </c>
      <c r="B367" s="303" t="s">
        <v>176</v>
      </c>
      <c r="C367" s="304" t="s">
        <v>443</v>
      </c>
      <c r="D367" s="304" t="s">
        <v>444</v>
      </c>
      <c r="E367" s="304">
        <v>2200</v>
      </c>
      <c r="F367" s="304">
        <v>1326</v>
      </c>
      <c r="G367" s="304">
        <v>1916</v>
      </c>
      <c r="H367" s="304">
        <v>1200</v>
      </c>
      <c r="I367" s="304">
        <f t="shared" si="7"/>
        <v>434731.95203227992</v>
      </c>
      <c r="J367" s="73"/>
      <c r="K367" s="48"/>
      <c r="L367" s="48"/>
      <c r="M367" s="14"/>
      <c r="N367" s="48"/>
    </row>
    <row r="368" spans="1:14" x14ac:dyDescent="0.25">
      <c r="A368" s="303" t="s">
        <v>488</v>
      </c>
      <c r="B368" s="303" t="s">
        <v>178</v>
      </c>
      <c r="C368" s="304" t="s">
        <v>443</v>
      </c>
      <c r="D368" s="304" t="s">
        <v>445</v>
      </c>
      <c r="E368" s="304">
        <v>50</v>
      </c>
      <c r="F368" s="304">
        <v>55</v>
      </c>
      <c r="G368" s="304">
        <v>116</v>
      </c>
      <c r="H368" s="304">
        <v>49</v>
      </c>
      <c r="I368" s="304">
        <f t="shared" si="7"/>
        <v>52091.993609761921</v>
      </c>
      <c r="J368" s="73"/>
      <c r="K368" s="48"/>
      <c r="L368" s="48"/>
      <c r="M368" s="14"/>
      <c r="N368" s="48"/>
    </row>
    <row r="369" spans="1:14" x14ac:dyDescent="0.25">
      <c r="A369" s="303" t="s">
        <v>488</v>
      </c>
      <c r="B369" s="303" t="s">
        <v>178</v>
      </c>
      <c r="C369" s="304" t="s">
        <v>446</v>
      </c>
      <c r="D369" s="304" t="s">
        <v>444</v>
      </c>
      <c r="E369" s="304">
        <v>64000</v>
      </c>
      <c r="F369" s="304">
        <v>30630</v>
      </c>
      <c r="G369" s="304">
        <v>46301</v>
      </c>
      <c r="H369" s="304">
        <v>36311</v>
      </c>
      <c r="I369" s="304">
        <f t="shared" si="7"/>
        <v>5598989.3222029284</v>
      </c>
      <c r="J369" s="73"/>
      <c r="K369" s="48"/>
      <c r="L369" s="48"/>
      <c r="M369" s="14"/>
      <c r="N369" s="48"/>
    </row>
    <row r="370" spans="1:14" x14ac:dyDescent="0.25">
      <c r="A370" s="303" t="s">
        <v>488</v>
      </c>
      <c r="B370" s="303" t="s">
        <v>178</v>
      </c>
      <c r="C370" s="304" t="s">
        <v>443</v>
      </c>
      <c r="D370" s="304" t="s">
        <v>444</v>
      </c>
      <c r="E370" s="304">
        <v>17800</v>
      </c>
      <c r="F370" s="304">
        <v>3493</v>
      </c>
      <c r="G370" s="304">
        <v>4330</v>
      </c>
      <c r="H370" s="304">
        <v>3412</v>
      </c>
      <c r="I370" s="304">
        <f t="shared" si="7"/>
        <v>1499249.8444496612</v>
      </c>
      <c r="J370" s="73"/>
      <c r="K370" s="48"/>
      <c r="L370" s="48"/>
      <c r="M370" s="14"/>
      <c r="N370" s="48"/>
    </row>
    <row r="371" spans="1:14" x14ac:dyDescent="0.25">
      <c r="A371" s="303" t="s">
        <v>488</v>
      </c>
      <c r="B371" s="303" t="s">
        <v>178</v>
      </c>
      <c r="C371" s="304" t="s">
        <v>443</v>
      </c>
      <c r="D371" s="304" t="s">
        <v>444</v>
      </c>
      <c r="E371" s="304">
        <v>1500</v>
      </c>
      <c r="F371" s="304">
        <v>485</v>
      </c>
      <c r="G371" s="304">
        <v>606</v>
      </c>
      <c r="H371" s="304">
        <v>510</v>
      </c>
      <c r="I371" s="304">
        <f t="shared" si="7"/>
        <v>265480.75850938685</v>
      </c>
      <c r="J371" s="73"/>
      <c r="K371" s="48"/>
      <c r="L371" s="48"/>
      <c r="M371" s="14"/>
      <c r="N371" s="48"/>
    </row>
    <row r="372" spans="1:14" x14ac:dyDescent="0.25">
      <c r="A372" s="303" t="s">
        <v>488</v>
      </c>
      <c r="B372" s="303" t="s">
        <v>178</v>
      </c>
      <c r="C372" s="304" t="s">
        <v>443</v>
      </c>
      <c r="D372" s="304" t="s">
        <v>444</v>
      </c>
      <c r="E372" s="304">
        <v>1500</v>
      </c>
      <c r="F372" s="304">
        <v>402</v>
      </c>
      <c r="G372" s="304">
        <v>495</v>
      </c>
      <c r="H372" s="304">
        <v>543</v>
      </c>
      <c r="I372" s="304">
        <f t="shared" si="7"/>
        <v>259612.26704691059</v>
      </c>
      <c r="J372" s="73"/>
      <c r="K372" s="48"/>
      <c r="L372" s="48"/>
      <c r="M372" s="14"/>
      <c r="N372" s="48"/>
    </row>
    <row r="373" spans="1:14" x14ac:dyDescent="0.25">
      <c r="A373" s="303" t="s">
        <v>179</v>
      </c>
      <c r="B373" s="303" t="s">
        <v>180</v>
      </c>
      <c r="C373" s="304" t="s">
        <v>446</v>
      </c>
      <c r="D373" s="304" t="s">
        <v>444</v>
      </c>
      <c r="E373" s="304">
        <v>24500</v>
      </c>
      <c r="F373" s="304">
        <v>18582</v>
      </c>
      <c r="G373" s="304">
        <v>22375</v>
      </c>
      <c r="H373" s="304">
        <v>20878</v>
      </c>
      <c r="I373" s="304">
        <f t="shared" si="7"/>
        <v>2982523.9982320392</v>
      </c>
      <c r="J373" s="73"/>
      <c r="K373" s="48"/>
      <c r="L373" s="48"/>
      <c r="M373" s="14"/>
      <c r="N373" s="48"/>
    </row>
    <row r="374" spans="1:14" x14ac:dyDescent="0.25">
      <c r="A374" s="303" t="s">
        <v>489</v>
      </c>
      <c r="B374" s="303" t="s">
        <v>184</v>
      </c>
      <c r="C374" s="304" t="s">
        <v>443</v>
      </c>
      <c r="D374" s="304" t="s">
        <v>444</v>
      </c>
      <c r="E374" s="304">
        <v>13000</v>
      </c>
      <c r="F374" s="304">
        <v>11518</v>
      </c>
      <c r="G374" s="304">
        <v>13405</v>
      </c>
      <c r="H374" s="304">
        <v>10535</v>
      </c>
      <c r="I374" s="304">
        <f t="shared" si="7"/>
        <v>1707374.1988931214</v>
      </c>
      <c r="J374" s="73"/>
      <c r="K374" s="48"/>
      <c r="L374" s="48"/>
      <c r="M374" s="14"/>
      <c r="N374" s="48"/>
    </row>
    <row r="375" spans="1:14" x14ac:dyDescent="0.25">
      <c r="A375" s="303" t="s">
        <v>489</v>
      </c>
      <c r="B375" s="303" t="s">
        <v>184</v>
      </c>
      <c r="C375" s="304" t="s">
        <v>443</v>
      </c>
      <c r="D375" s="304" t="s">
        <v>444</v>
      </c>
      <c r="E375" s="304">
        <v>12000</v>
      </c>
      <c r="F375" s="304">
        <v>5865</v>
      </c>
      <c r="G375" s="304">
        <v>6775</v>
      </c>
      <c r="H375" s="304">
        <v>4305</v>
      </c>
      <c r="I375" s="304">
        <f t="shared" si="7"/>
        <v>1328380.6226033249</v>
      </c>
      <c r="J375" s="73"/>
      <c r="K375" s="48"/>
      <c r="L375" s="48"/>
      <c r="M375" s="14"/>
      <c r="N375" s="48"/>
    </row>
    <row r="376" spans="1:14" x14ac:dyDescent="0.25">
      <c r="A376" s="303" t="s">
        <v>489</v>
      </c>
      <c r="B376" s="303" t="s">
        <v>184</v>
      </c>
      <c r="C376" s="304" t="s">
        <v>443</v>
      </c>
      <c r="D376" s="304" t="s">
        <v>448</v>
      </c>
      <c r="E376" s="304">
        <v>5500</v>
      </c>
      <c r="F376" s="304">
        <v>2436</v>
      </c>
      <c r="G376" s="304">
        <v>2741</v>
      </c>
      <c r="H376" s="304">
        <v>2765</v>
      </c>
      <c r="I376" s="304">
        <f t="shared" si="7"/>
        <v>726203.6630657824</v>
      </c>
      <c r="J376" s="73"/>
      <c r="K376" s="48"/>
      <c r="L376" s="48"/>
      <c r="M376" s="14"/>
      <c r="N376" s="48"/>
    </row>
    <row r="377" spans="1:14" x14ac:dyDescent="0.25">
      <c r="A377" s="303" t="s">
        <v>489</v>
      </c>
      <c r="B377" s="303" t="s">
        <v>184</v>
      </c>
      <c r="C377" s="304" t="s">
        <v>443</v>
      </c>
      <c r="D377" s="304" t="s">
        <v>444</v>
      </c>
      <c r="E377" s="304">
        <v>1500</v>
      </c>
      <c r="F377" s="304">
        <v>1549</v>
      </c>
      <c r="G377" s="304">
        <v>2168</v>
      </c>
      <c r="H377" s="304">
        <v>1822</v>
      </c>
      <c r="I377" s="304">
        <f t="shared" si="7"/>
        <v>399381.25418499723</v>
      </c>
      <c r="J377" s="73"/>
      <c r="K377" s="48"/>
      <c r="L377" s="48"/>
      <c r="M377" s="14"/>
      <c r="N377" s="48"/>
    </row>
    <row r="378" spans="1:14" x14ac:dyDescent="0.25">
      <c r="A378" s="303" t="s">
        <v>185</v>
      </c>
      <c r="B378" s="303" t="s">
        <v>186</v>
      </c>
      <c r="C378" s="304" t="s">
        <v>443</v>
      </c>
      <c r="D378" s="304" t="s">
        <v>444</v>
      </c>
      <c r="E378" s="304">
        <v>6516</v>
      </c>
      <c r="F378" s="304">
        <v>1678</v>
      </c>
      <c r="G378" s="304">
        <v>3188</v>
      </c>
      <c r="H378" s="304">
        <v>3069</v>
      </c>
      <c r="I378" s="304">
        <f t="shared" si="7"/>
        <v>817266.07516336127</v>
      </c>
      <c r="J378" s="73"/>
      <c r="K378" s="48"/>
      <c r="L378" s="48"/>
      <c r="M378" s="14"/>
      <c r="N378" s="48"/>
    </row>
    <row r="379" spans="1:14" x14ac:dyDescent="0.25">
      <c r="A379" s="303" t="s">
        <v>185</v>
      </c>
      <c r="B379" s="303" t="s">
        <v>186</v>
      </c>
      <c r="C379" s="304" t="s">
        <v>443</v>
      </c>
      <c r="D379" s="304" t="s">
        <v>445</v>
      </c>
      <c r="E379" s="304">
        <v>1200</v>
      </c>
      <c r="F379" s="304">
        <v>614</v>
      </c>
      <c r="G379" s="304">
        <v>755</v>
      </c>
      <c r="H379" s="304">
        <v>889</v>
      </c>
      <c r="I379" s="304">
        <f t="shared" si="7"/>
        <v>256126.36559035405</v>
      </c>
      <c r="J379" s="73"/>
      <c r="K379" s="48"/>
      <c r="L379" s="48"/>
      <c r="M379" s="14"/>
      <c r="N379" s="48"/>
    </row>
    <row r="380" spans="1:14" x14ac:dyDescent="0.25">
      <c r="A380" s="303" t="s">
        <v>185</v>
      </c>
      <c r="B380" s="303" t="s">
        <v>186</v>
      </c>
      <c r="C380" s="304" t="s">
        <v>446</v>
      </c>
      <c r="D380" s="304" t="s">
        <v>444</v>
      </c>
      <c r="E380" s="304">
        <v>60000</v>
      </c>
      <c r="F380" s="304">
        <v>19258</v>
      </c>
      <c r="G380" s="304">
        <v>53631</v>
      </c>
      <c r="H380" s="304">
        <v>18713</v>
      </c>
      <c r="I380" s="304">
        <f t="shared" si="7"/>
        <v>5722908.8661803789</v>
      </c>
      <c r="J380" s="73"/>
      <c r="K380" s="48"/>
      <c r="L380" s="48"/>
      <c r="M380" s="14"/>
      <c r="N380" s="48"/>
    </row>
    <row r="381" spans="1:14" x14ac:dyDescent="0.25">
      <c r="A381" s="303" t="s">
        <v>490</v>
      </c>
      <c r="B381" s="303" t="s">
        <v>188</v>
      </c>
      <c r="C381" s="304" t="s">
        <v>443</v>
      </c>
      <c r="D381" s="304" t="s">
        <v>444</v>
      </c>
      <c r="E381" s="304">
        <v>105000</v>
      </c>
      <c r="F381" s="304">
        <v>41995</v>
      </c>
      <c r="G381" s="304">
        <v>47081</v>
      </c>
      <c r="H381" s="304">
        <v>44030</v>
      </c>
      <c r="I381" s="304">
        <f t="shared" si="7"/>
        <v>6194052.2142516915</v>
      </c>
      <c r="J381" s="73"/>
      <c r="K381" s="48"/>
      <c r="L381" s="48"/>
      <c r="M381" s="14"/>
      <c r="N381" s="48"/>
    </row>
    <row r="382" spans="1:14" x14ac:dyDescent="0.25">
      <c r="A382" s="303" t="s">
        <v>490</v>
      </c>
      <c r="B382" s="303" t="s">
        <v>188</v>
      </c>
      <c r="C382" s="304" t="s">
        <v>443</v>
      </c>
      <c r="D382" s="304" t="s">
        <v>444</v>
      </c>
      <c r="E382" s="304">
        <v>3000</v>
      </c>
      <c r="F382" s="304">
        <v>1312</v>
      </c>
      <c r="G382" s="304">
        <v>1609</v>
      </c>
      <c r="H382" s="304">
        <v>1350</v>
      </c>
      <c r="I382" s="304">
        <f t="shared" si="7"/>
        <v>472478.69379399356</v>
      </c>
      <c r="J382" s="73"/>
      <c r="K382" s="48"/>
      <c r="L382" s="48"/>
      <c r="M382" s="14"/>
      <c r="N382" s="48"/>
    </row>
    <row r="383" spans="1:14" x14ac:dyDescent="0.25">
      <c r="A383" s="303" t="s">
        <v>490</v>
      </c>
      <c r="B383" s="303" t="s">
        <v>188</v>
      </c>
      <c r="C383" s="304" t="s">
        <v>443</v>
      </c>
      <c r="D383" s="304" t="s">
        <v>444</v>
      </c>
      <c r="E383" s="304">
        <v>20000</v>
      </c>
      <c r="F383" s="304">
        <v>4373</v>
      </c>
      <c r="G383" s="304">
        <v>4768</v>
      </c>
      <c r="H383" s="304">
        <v>5059</v>
      </c>
      <c r="I383" s="304">
        <f t="shared" si="7"/>
        <v>1642876.8183567831</v>
      </c>
      <c r="J383" s="73"/>
      <c r="K383" s="48"/>
      <c r="L383" s="48"/>
      <c r="M383" s="14"/>
      <c r="N383" s="48"/>
    </row>
    <row r="384" spans="1:14" x14ac:dyDescent="0.25">
      <c r="A384" s="303" t="s">
        <v>490</v>
      </c>
      <c r="B384" s="303" t="s">
        <v>188</v>
      </c>
      <c r="C384" s="304" t="s">
        <v>443</v>
      </c>
      <c r="D384" s="304" t="s">
        <v>444</v>
      </c>
      <c r="E384" s="304">
        <v>5300</v>
      </c>
      <c r="F384" s="304">
        <v>5422</v>
      </c>
      <c r="G384" s="304">
        <v>5373</v>
      </c>
      <c r="H384" s="304">
        <v>5079</v>
      </c>
      <c r="I384" s="304">
        <f t="shared" si="7"/>
        <v>879530.05118750595</v>
      </c>
      <c r="J384" s="73"/>
      <c r="K384" s="48"/>
      <c r="L384" s="48"/>
      <c r="M384" s="14"/>
      <c r="N384" s="48"/>
    </row>
    <row r="385" spans="1:14" x14ac:dyDescent="0.25">
      <c r="A385" s="303" t="s">
        <v>490</v>
      </c>
      <c r="B385" s="303" t="s">
        <v>188</v>
      </c>
      <c r="C385" s="304" t="s">
        <v>443</v>
      </c>
      <c r="D385" s="304" t="s">
        <v>444</v>
      </c>
      <c r="E385" s="304">
        <v>20000</v>
      </c>
      <c r="F385" s="304">
        <v>18722</v>
      </c>
      <c r="G385" s="304">
        <v>17350</v>
      </c>
      <c r="H385" s="304">
        <v>16916</v>
      </c>
      <c r="I385" s="304">
        <f t="shared" si="7"/>
        <v>2263104.552907275</v>
      </c>
      <c r="J385" s="73"/>
      <c r="K385" s="48"/>
      <c r="L385" s="48"/>
      <c r="M385" s="14"/>
      <c r="N385" s="48"/>
    </row>
    <row r="386" spans="1:14" x14ac:dyDescent="0.25">
      <c r="A386" s="303" t="s">
        <v>490</v>
      </c>
      <c r="B386" s="303" t="s">
        <v>188</v>
      </c>
      <c r="C386" s="304" t="s">
        <v>443</v>
      </c>
      <c r="D386" s="304" t="s">
        <v>448</v>
      </c>
      <c r="E386" s="304">
        <v>3000</v>
      </c>
      <c r="F386" s="304">
        <v>1985</v>
      </c>
      <c r="G386" s="304">
        <v>2292</v>
      </c>
      <c r="H386" s="304">
        <v>1945</v>
      </c>
      <c r="I386" s="304">
        <f t="shared" si="7"/>
        <v>523060.45919983345</v>
      </c>
      <c r="J386" s="73"/>
      <c r="K386" s="48"/>
      <c r="L386" s="48"/>
      <c r="M386" s="14"/>
      <c r="N386" s="48"/>
    </row>
    <row r="387" spans="1:14" x14ac:dyDescent="0.25">
      <c r="A387" s="303" t="s">
        <v>491</v>
      </c>
      <c r="B387" s="303" t="s">
        <v>190</v>
      </c>
      <c r="C387" s="304" t="s">
        <v>443</v>
      </c>
      <c r="D387" s="304" t="s">
        <v>448</v>
      </c>
      <c r="E387" s="304">
        <v>1507</v>
      </c>
      <c r="F387" s="304">
        <v>1732</v>
      </c>
      <c r="G387" s="304">
        <v>2613</v>
      </c>
      <c r="H387" s="304">
        <v>1203</v>
      </c>
      <c r="I387" s="304">
        <f t="shared" ref="I387:I450" si="8">IF(D387="M",(AVERAGE(E387,MAX(F387:H387))^0.519)*3203.7913,IF(OR(D387="MB",D387="MK",D387="MBK",D387="MBN"),(AVERAGE(E387,MAX(F387:H387))^0.6289)*3234.9142,IF(AND(C387="Landzone og sommerhusområde",OR(D387="MBNKD",D387="MBNK/MBND")),(AVERAGE(E387,MAX(F387:H387))^0.736)*1583.1635,IF(AND(C387="Byzone",OR(D387="MBNKD",D387="MBNK/MBND")),(AVERAGE(E387,MAX(F387:H387))^0.736)*1812.7138,0))))</f>
        <v>435042.85746348789</v>
      </c>
      <c r="J387" s="73"/>
      <c r="K387" s="48"/>
      <c r="L387" s="48"/>
      <c r="M387" s="14"/>
      <c r="N387" s="48"/>
    </row>
    <row r="388" spans="1:14" x14ac:dyDescent="0.25">
      <c r="A388" s="303" t="s">
        <v>491</v>
      </c>
      <c r="B388" s="303" t="s">
        <v>190</v>
      </c>
      <c r="C388" s="304" t="s">
        <v>446</v>
      </c>
      <c r="D388" s="304" t="s">
        <v>444</v>
      </c>
      <c r="E388" s="304">
        <v>1897</v>
      </c>
      <c r="F388" s="304">
        <v>820</v>
      </c>
      <c r="G388" s="304">
        <v>1023</v>
      </c>
      <c r="H388" s="304">
        <v>975</v>
      </c>
      <c r="I388" s="304">
        <f t="shared" si="8"/>
        <v>386627.67948544241</v>
      </c>
      <c r="J388" s="73"/>
      <c r="K388" s="48"/>
      <c r="L388" s="48"/>
      <c r="M388" s="14"/>
      <c r="N388" s="48"/>
    </row>
    <row r="389" spans="1:14" x14ac:dyDescent="0.25">
      <c r="A389" s="303" t="s">
        <v>491</v>
      </c>
      <c r="B389" s="303" t="s">
        <v>190</v>
      </c>
      <c r="C389" s="304" t="s">
        <v>443</v>
      </c>
      <c r="D389" s="304" t="s">
        <v>456</v>
      </c>
      <c r="E389" s="304">
        <v>70</v>
      </c>
      <c r="F389" s="304">
        <v>9</v>
      </c>
      <c r="G389" s="304">
        <v>20</v>
      </c>
      <c r="H389" s="304">
        <v>40</v>
      </c>
      <c r="I389" s="304">
        <f t="shared" si="8"/>
        <v>25639.671318829664</v>
      </c>
      <c r="J389" s="73"/>
      <c r="K389" s="48"/>
      <c r="L389" s="48"/>
      <c r="M389" s="14"/>
      <c r="N389" s="48"/>
    </row>
    <row r="390" spans="1:14" x14ac:dyDescent="0.25">
      <c r="A390" s="303" t="s">
        <v>491</v>
      </c>
      <c r="B390" s="303" t="s">
        <v>190</v>
      </c>
      <c r="C390" s="304" t="s">
        <v>443</v>
      </c>
      <c r="D390" s="304" t="s">
        <v>444</v>
      </c>
      <c r="E390" s="304">
        <v>5591</v>
      </c>
      <c r="F390" s="304">
        <v>5867</v>
      </c>
      <c r="G390" s="304">
        <v>6803</v>
      </c>
      <c r="H390" s="304">
        <v>5533</v>
      </c>
      <c r="I390" s="304">
        <f t="shared" si="8"/>
        <v>978523.70219062036</v>
      </c>
      <c r="J390" s="73"/>
      <c r="K390" s="48"/>
      <c r="L390" s="48"/>
      <c r="M390" s="14"/>
      <c r="N390" s="48"/>
    </row>
    <row r="391" spans="1:14" x14ac:dyDescent="0.25">
      <c r="A391" s="303" t="s">
        <v>491</v>
      </c>
      <c r="B391" s="303" t="s">
        <v>190</v>
      </c>
      <c r="C391" s="304" t="s">
        <v>443</v>
      </c>
      <c r="D391" s="304" t="s">
        <v>444</v>
      </c>
      <c r="E391" s="304">
        <v>14523</v>
      </c>
      <c r="F391" s="304">
        <v>10739</v>
      </c>
      <c r="G391" s="304">
        <v>13709</v>
      </c>
      <c r="H391" s="304">
        <v>8885</v>
      </c>
      <c r="I391" s="304">
        <f t="shared" si="8"/>
        <v>1793550.2249882726</v>
      </c>
      <c r="J391" s="73"/>
      <c r="K391" s="48"/>
      <c r="L391" s="48"/>
      <c r="M391" s="14"/>
      <c r="N391" s="48"/>
    </row>
    <row r="392" spans="1:14" x14ac:dyDescent="0.25">
      <c r="A392" s="303" t="s">
        <v>491</v>
      </c>
      <c r="B392" s="303" t="s">
        <v>190</v>
      </c>
      <c r="C392" s="304" t="s">
        <v>443</v>
      </c>
      <c r="D392" s="304" t="s">
        <v>448</v>
      </c>
      <c r="E392" s="304">
        <v>2971</v>
      </c>
      <c r="F392" s="304">
        <v>1421</v>
      </c>
      <c r="G392" s="304">
        <v>1739</v>
      </c>
      <c r="H392" s="304">
        <v>2391</v>
      </c>
      <c r="I392" s="304">
        <f t="shared" si="8"/>
        <v>528143.84600033076</v>
      </c>
      <c r="J392" s="73"/>
      <c r="K392" s="48"/>
      <c r="L392" s="48"/>
      <c r="M392" s="14"/>
      <c r="N392" s="48"/>
    </row>
    <row r="393" spans="1:14" x14ac:dyDescent="0.25">
      <c r="A393" s="303" t="s">
        <v>491</v>
      </c>
      <c r="B393" s="303" t="s">
        <v>190</v>
      </c>
      <c r="C393" s="304" t="s">
        <v>443</v>
      </c>
      <c r="D393" s="304" t="s">
        <v>444</v>
      </c>
      <c r="E393" s="304">
        <v>3811</v>
      </c>
      <c r="F393" s="304">
        <v>3010</v>
      </c>
      <c r="G393" s="304">
        <v>3253</v>
      </c>
      <c r="H393" s="304">
        <v>2116</v>
      </c>
      <c r="I393" s="304">
        <f t="shared" si="8"/>
        <v>646947.44205159962</v>
      </c>
      <c r="J393" s="73"/>
      <c r="K393" s="48"/>
      <c r="L393" s="48"/>
      <c r="M393" s="14"/>
      <c r="N393" s="48"/>
    </row>
    <row r="394" spans="1:14" x14ac:dyDescent="0.25">
      <c r="A394" s="303" t="s">
        <v>491</v>
      </c>
      <c r="B394" s="303" t="s">
        <v>190</v>
      </c>
      <c r="C394" s="304" t="s">
        <v>443</v>
      </c>
      <c r="D394" s="304" t="s">
        <v>449</v>
      </c>
      <c r="E394" s="304">
        <v>65</v>
      </c>
      <c r="F394" s="304">
        <v>43</v>
      </c>
      <c r="G394" s="304">
        <v>51</v>
      </c>
      <c r="H394" s="304">
        <v>55</v>
      </c>
      <c r="I394" s="304">
        <f t="shared" si="8"/>
        <v>42475.850902276092</v>
      </c>
      <c r="J394" s="73"/>
      <c r="K394" s="48"/>
      <c r="L394" s="48"/>
      <c r="M394" s="14"/>
      <c r="N394" s="48"/>
    </row>
    <row r="395" spans="1:14" x14ac:dyDescent="0.25">
      <c r="A395" s="303" t="s">
        <v>491</v>
      </c>
      <c r="B395" s="303" t="s">
        <v>190</v>
      </c>
      <c r="C395" s="304" t="s">
        <v>443</v>
      </c>
      <c r="D395" s="304" t="s">
        <v>449</v>
      </c>
      <c r="E395" s="304">
        <v>100</v>
      </c>
      <c r="F395" s="304">
        <v>32</v>
      </c>
      <c r="G395" s="304">
        <v>55</v>
      </c>
      <c r="H395" s="304">
        <v>62</v>
      </c>
      <c r="I395" s="304">
        <f t="shared" si="8"/>
        <v>51299.011273170203</v>
      </c>
      <c r="J395" s="73"/>
      <c r="K395" s="48"/>
      <c r="L395" s="48"/>
      <c r="M395" s="14"/>
      <c r="N395" s="48"/>
    </row>
    <row r="396" spans="1:14" x14ac:dyDescent="0.25">
      <c r="A396" s="303" t="s">
        <v>491</v>
      </c>
      <c r="B396" s="303" t="s">
        <v>190</v>
      </c>
      <c r="C396" s="304" t="s">
        <v>443</v>
      </c>
      <c r="D396" s="304" t="s">
        <v>444</v>
      </c>
      <c r="E396" s="304">
        <v>23753</v>
      </c>
      <c r="F396" s="304">
        <v>14860</v>
      </c>
      <c r="G396" s="304">
        <v>16751</v>
      </c>
      <c r="H396" s="304">
        <v>11188</v>
      </c>
      <c r="I396" s="304">
        <f t="shared" si="8"/>
        <v>2339301.2709930609</v>
      </c>
      <c r="J396" s="73"/>
      <c r="K396" s="48"/>
      <c r="L396" s="48"/>
      <c r="M396" s="14"/>
      <c r="N396" s="48"/>
    </row>
    <row r="397" spans="1:14" x14ac:dyDescent="0.25">
      <c r="A397" s="303" t="s">
        <v>492</v>
      </c>
      <c r="B397" s="303" t="s">
        <v>192</v>
      </c>
      <c r="C397" s="304" t="s">
        <v>443</v>
      </c>
      <c r="D397" s="304" t="s">
        <v>444</v>
      </c>
      <c r="E397" s="304">
        <v>57000</v>
      </c>
      <c r="F397" s="304">
        <v>33247</v>
      </c>
      <c r="G397" s="304">
        <v>41089</v>
      </c>
      <c r="H397" s="304">
        <v>44538</v>
      </c>
      <c r="I397" s="304">
        <f t="shared" si="8"/>
        <v>4600937.6185191991</v>
      </c>
      <c r="J397" s="73"/>
      <c r="K397" s="48"/>
      <c r="L397" s="48"/>
      <c r="M397" s="14"/>
      <c r="N397" s="48"/>
    </row>
    <row r="398" spans="1:14" x14ac:dyDescent="0.25">
      <c r="A398" s="303" t="s">
        <v>492</v>
      </c>
      <c r="B398" s="303" t="s">
        <v>192</v>
      </c>
      <c r="C398" s="304" t="s">
        <v>443</v>
      </c>
      <c r="D398" s="304" t="s">
        <v>444</v>
      </c>
      <c r="E398" s="304">
        <v>5000</v>
      </c>
      <c r="F398" s="304">
        <v>1410</v>
      </c>
      <c r="G398" s="304">
        <v>2249</v>
      </c>
      <c r="H398" s="304">
        <v>2380</v>
      </c>
      <c r="I398" s="304">
        <f t="shared" si="8"/>
        <v>668124.15625592158</v>
      </c>
      <c r="J398" s="73"/>
      <c r="K398" s="48"/>
      <c r="L398" s="48"/>
      <c r="M398" s="14"/>
      <c r="N398" s="48"/>
    </row>
    <row r="399" spans="1:14" x14ac:dyDescent="0.25">
      <c r="A399" s="303" t="s">
        <v>492</v>
      </c>
      <c r="B399" s="303" t="s">
        <v>192</v>
      </c>
      <c r="C399" s="304" t="s">
        <v>443</v>
      </c>
      <c r="D399" s="304" t="s">
        <v>444</v>
      </c>
      <c r="E399" s="304">
        <v>15000</v>
      </c>
      <c r="F399" s="304">
        <v>7445</v>
      </c>
      <c r="G399" s="304">
        <v>9809</v>
      </c>
      <c r="H399" s="304">
        <v>11351</v>
      </c>
      <c r="I399" s="304">
        <f t="shared" si="8"/>
        <v>1704803.6170290306</v>
      </c>
      <c r="J399" s="73"/>
      <c r="K399" s="48"/>
      <c r="L399" s="48"/>
      <c r="M399" s="14"/>
      <c r="N399" s="48"/>
    </row>
    <row r="400" spans="1:14" x14ac:dyDescent="0.25">
      <c r="A400" s="303" t="s">
        <v>492</v>
      </c>
      <c r="B400" s="303" t="s">
        <v>192</v>
      </c>
      <c r="C400" s="304" t="s">
        <v>443</v>
      </c>
      <c r="D400" s="304" t="s">
        <v>444</v>
      </c>
      <c r="E400" s="304">
        <v>52200</v>
      </c>
      <c r="F400" s="304">
        <v>16388</v>
      </c>
      <c r="G400" s="304">
        <v>15450</v>
      </c>
      <c r="H400" s="304">
        <v>14794</v>
      </c>
      <c r="I400" s="304">
        <f t="shared" si="8"/>
        <v>3447039.9934784449</v>
      </c>
      <c r="J400" s="73"/>
      <c r="K400" s="48"/>
      <c r="L400" s="48"/>
      <c r="M400" s="14"/>
      <c r="N400" s="48"/>
    </row>
    <row r="401" spans="1:14" x14ac:dyDescent="0.25">
      <c r="A401" s="303" t="s">
        <v>492</v>
      </c>
      <c r="B401" s="303" t="s">
        <v>192</v>
      </c>
      <c r="C401" s="304" t="s">
        <v>443</v>
      </c>
      <c r="D401" s="304" t="s">
        <v>444</v>
      </c>
      <c r="E401" s="304">
        <v>10000</v>
      </c>
      <c r="F401" s="304">
        <v>8899</v>
      </c>
      <c r="G401" s="304">
        <v>8553</v>
      </c>
      <c r="H401" s="304">
        <v>7287</v>
      </c>
      <c r="I401" s="304">
        <f t="shared" si="8"/>
        <v>1334832.176863123</v>
      </c>
      <c r="J401" s="73"/>
      <c r="K401" s="48"/>
      <c r="L401" s="48"/>
      <c r="M401" s="14"/>
      <c r="N401" s="48"/>
    </row>
    <row r="402" spans="1:14" x14ac:dyDescent="0.25">
      <c r="A402" s="303" t="s">
        <v>493</v>
      </c>
      <c r="B402" s="303" t="s">
        <v>194</v>
      </c>
      <c r="C402" s="304" t="s">
        <v>443</v>
      </c>
      <c r="D402" s="304" t="s">
        <v>444</v>
      </c>
      <c r="E402" s="304">
        <v>9000</v>
      </c>
      <c r="F402" s="304">
        <v>2506</v>
      </c>
      <c r="G402" s="304">
        <v>4842</v>
      </c>
      <c r="H402" s="304">
        <v>4809</v>
      </c>
      <c r="I402" s="304">
        <f t="shared" si="8"/>
        <v>1061426.7821656726</v>
      </c>
      <c r="J402" s="73"/>
      <c r="K402" s="48"/>
      <c r="L402" s="48"/>
      <c r="M402" s="14"/>
      <c r="N402" s="48"/>
    </row>
    <row r="403" spans="1:14" x14ac:dyDescent="0.25">
      <c r="A403" s="303" t="s">
        <v>493</v>
      </c>
      <c r="B403" s="303" t="s">
        <v>194</v>
      </c>
      <c r="C403" s="304" t="s">
        <v>443</v>
      </c>
      <c r="D403" s="304" t="s">
        <v>444</v>
      </c>
      <c r="E403" s="304">
        <v>25000</v>
      </c>
      <c r="F403" s="304">
        <v>7011</v>
      </c>
      <c r="G403" s="304">
        <v>10577</v>
      </c>
      <c r="H403" s="304">
        <v>8142</v>
      </c>
      <c r="I403" s="304">
        <f t="shared" si="8"/>
        <v>2126318.4820255409</v>
      </c>
      <c r="J403" s="73"/>
      <c r="K403" s="48"/>
      <c r="L403" s="48"/>
      <c r="M403" s="14"/>
      <c r="N403" s="48"/>
    </row>
    <row r="404" spans="1:14" x14ac:dyDescent="0.25">
      <c r="A404" s="303" t="s">
        <v>493</v>
      </c>
      <c r="B404" s="303" t="s">
        <v>194</v>
      </c>
      <c r="C404" s="304" t="s">
        <v>443</v>
      </c>
      <c r="D404" s="304" t="s">
        <v>444</v>
      </c>
      <c r="E404" s="304">
        <v>5000</v>
      </c>
      <c r="F404" s="304">
        <v>1771</v>
      </c>
      <c r="G404" s="304">
        <v>2054</v>
      </c>
      <c r="H404" s="304">
        <v>2221</v>
      </c>
      <c r="I404" s="304">
        <f t="shared" si="8"/>
        <v>657499.36498119973</v>
      </c>
      <c r="J404" s="73"/>
      <c r="K404" s="48"/>
      <c r="L404" s="48"/>
      <c r="M404" s="14"/>
      <c r="N404" s="48"/>
    </row>
    <row r="405" spans="1:14" x14ac:dyDescent="0.25">
      <c r="A405" s="303" t="s">
        <v>493</v>
      </c>
      <c r="B405" s="303" t="s">
        <v>194</v>
      </c>
      <c r="C405" s="304" t="s">
        <v>446</v>
      </c>
      <c r="D405" s="304" t="s">
        <v>444</v>
      </c>
      <c r="E405" s="304">
        <v>130000</v>
      </c>
      <c r="F405" s="304">
        <v>25606</v>
      </c>
      <c r="G405" s="304">
        <v>21780</v>
      </c>
      <c r="H405" s="304">
        <v>22438</v>
      </c>
      <c r="I405" s="304">
        <f t="shared" si="8"/>
        <v>7212777.7384736678</v>
      </c>
      <c r="J405" s="73"/>
      <c r="K405" s="48"/>
      <c r="L405" s="48"/>
      <c r="M405" s="14"/>
      <c r="N405" s="48"/>
    </row>
    <row r="406" spans="1:14" x14ac:dyDescent="0.25">
      <c r="A406" s="303" t="s">
        <v>493</v>
      </c>
      <c r="B406" s="303" t="s">
        <v>194</v>
      </c>
      <c r="C406" s="304" t="s">
        <v>446</v>
      </c>
      <c r="D406" s="304" t="s">
        <v>444</v>
      </c>
      <c r="E406" s="304">
        <v>130000</v>
      </c>
      <c r="F406" s="304">
        <v>89485</v>
      </c>
      <c r="G406" s="304">
        <v>87820</v>
      </c>
      <c r="H406" s="304">
        <v>67908</v>
      </c>
      <c r="I406" s="304">
        <f t="shared" si="8"/>
        <v>9290629.2639156822</v>
      </c>
      <c r="J406" s="73"/>
      <c r="K406" s="48"/>
      <c r="L406" s="48"/>
      <c r="M406" s="14"/>
      <c r="N406" s="48"/>
    </row>
    <row r="407" spans="1:14" x14ac:dyDescent="0.25">
      <c r="A407" s="303" t="s">
        <v>494</v>
      </c>
      <c r="B407" s="303" t="s">
        <v>198</v>
      </c>
      <c r="C407" s="304" t="s">
        <v>443</v>
      </c>
      <c r="D407" s="304" t="s">
        <v>445</v>
      </c>
      <c r="E407" s="304">
        <v>120</v>
      </c>
      <c r="F407" s="304">
        <v>79</v>
      </c>
      <c r="G407" s="304">
        <v>110</v>
      </c>
      <c r="H407" s="304">
        <v>88</v>
      </c>
      <c r="I407" s="304">
        <f t="shared" si="8"/>
        <v>63949.276901793157</v>
      </c>
      <c r="J407" s="73"/>
      <c r="K407" s="48"/>
      <c r="L407" s="48"/>
      <c r="M407" s="14"/>
      <c r="N407" s="48"/>
    </row>
    <row r="408" spans="1:14" x14ac:dyDescent="0.25">
      <c r="A408" s="303" t="s">
        <v>494</v>
      </c>
      <c r="B408" s="303" t="s">
        <v>198</v>
      </c>
      <c r="C408" s="304" t="s">
        <v>443</v>
      </c>
      <c r="D408" s="304" t="s">
        <v>447</v>
      </c>
      <c r="E408" s="304">
        <v>750</v>
      </c>
      <c r="F408" s="304">
        <v>362</v>
      </c>
      <c r="G408" s="304">
        <v>372</v>
      </c>
      <c r="H408" s="304">
        <v>461</v>
      </c>
      <c r="I408" s="304">
        <f t="shared" si="8"/>
        <v>181775.08385651326</v>
      </c>
      <c r="J408" s="73"/>
      <c r="K408" s="48"/>
      <c r="L408" s="48"/>
      <c r="M408" s="14"/>
      <c r="N408" s="48"/>
    </row>
    <row r="409" spans="1:14" x14ac:dyDescent="0.25">
      <c r="A409" s="303" t="s">
        <v>494</v>
      </c>
      <c r="B409" s="303" t="s">
        <v>198</v>
      </c>
      <c r="C409" s="304" t="s">
        <v>446</v>
      </c>
      <c r="D409" s="304" t="s">
        <v>444</v>
      </c>
      <c r="E409" s="304">
        <v>27500</v>
      </c>
      <c r="F409" s="304">
        <v>23498</v>
      </c>
      <c r="G409" s="304">
        <v>27932</v>
      </c>
      <c r="H409" s="304">
        <v>20865</v>
      </c>
      <c r="I409" s="304">
        <f t="shared" si="8"/>
        <v>3374262.9844204369</v>
      </c>
      <c r="J409" s="73"/>
      <c r="K409" s="48"/>
      <c r="L409" s="48"/>
      <c r="M409" s="14"/>
      <c r="N409" s="48"/>
    </row>
    <row r="410" spans="1:14" x14ac:dyDescent="0.25">
      <c r="A410" s="303" t="s">
        <v>494</v>
      </c>
      <c r="B410" s="303" t="s">
        <v>198</v>
      </c>
      <c r="C410" s="304" t="s">
        <v>446</v>
      </c>
      <c r="D410" s="304" t="s">
        <v>448</v>
      </c>
      <c r="E410" s="304">
        <v>5000</v>
      </c>
      <c r="F410" s="304">
        <v>2940</v>
      </c>
      <c r="G410" s="304">
        <v>3820</v>
      </c>
      <c r="H410" s="304">
        <v>3805</v>
      </c>
      <c r="I410" s="304">
        <f t="shared" si="8"/>
        <v>872240.08790887136</v>
      </c>
      <c r="J410" s="73"/>
      <c r="K410" s="48"/>
      <c r="L410" s="48"/>
      <c r="M410" s="14"/>
      <c r="N410" s="48"/>
    </row>
    <row r="411" spans="1:14" x14ac:dyDescent="0.25">
      <c r="A411" s="303" t="s">
        <v>494</v>
      </c>
      <c r="B411" s="303" t="s">
        <v>198</v>
      </c>
      <c r="C411" s="304" t="s">
        <v>443</v>
      </c>
      <c r="D411" s="304" t="s">
        <v>448</v>
      </c>
      <c r="E411" s="304">
        <v>15000</v>
      </c>
      <c r="F411" s="304">
        <v>5639</v>
      </c>
      <c r="G411" s="304">
        <v>7059</v>
      </c>
      <c r="H411" s="304">
        <v>8024</v>
      </c>
      <c r="I411" s="304">
        <f t="shared" si="8"/>
        <v>1543592.7971924399</v>
      </c>
      <c r="J411" s="73"/>
      <c r="K411" s="48"/>
      <c r="L411" s="48"/>
      <c r="M411" s="14"/>
      <c r="N411" s="48"/>
    </row>
    <row r="412" spans="1:14" x14ac:dyDescent="0.25">
      <c r="A412" s="303" t="s">
        <v>494</v>
      </c>
      <c r="B412" s="303" t="s">
        <v>198</v>
      </c>
      <c r="C412" s="304" t="s">
        <v>443</v>
      </c>
      <c r="D412" s="304" t="s">
        <v>449</v>
      </c>
      <c r="E412" s="304">
        <v>900</v>
      </c>
      <c r="F412" s="304">
        <v>34</v>
      </c>
      <c r="G412" s="304">
        <v>47</v>
      </c>
      <c r="H412" s="304">
        <v>109</v>
      </c>
      <c r="I412" s="304">
        <f t="shared" si="8"/>
        <v>162066.0907512026</v>
      </c>
      <c r="J412" s="73"/>
      <c r="K412" s="48"/>
      <c r="L412" s="48"/>
      <c r="M412" s="14"/>
      <c r="N412" s="48"/>
    </row>
    <row r="413" spans="1:14" x14ac:dyDescent="0.25">
      <c r="A413" s="303" t="s">
        <v>494</v>
      </c>
      <c r="B413" s="303" t="s">
        <v>198</v>
      </c>
      <c r="C413" s="304" t="s">
        <v>443</v>
      </c>
      <c r="D413" s="304" t="s">
        <v>445</v>
      </c>
      <c r="E413" s="304">
        <v>450</v>
      </c>
      <c r="F413" s="304">
        <v>203</v>
      </c>
      <c r="G413" s="304">
        <v>306</v>
      </c>
      <c r="H413" s="304">
        <v>394</v>
      </c>
      <c r="I413" s="304">
        <f t="shared" si="8"/>
        <v>144851.0897065785</v>
      </c>
      <c r="J413" s="73"/>
      <c r="K413" s="48"/>
      <c r="L413" s="48"/>
      <c r="M413" s="14"/>
      <c r="N413" s="48"/>
    </row>
    <row r="414" spans="1:14" x14ac:dyDescent="0.25">
      <c r="A414" s="303" t="s">
        <v>494</v>
      </c>
      <c r="B414" s="303" t="s">
        <v>198</v>
      </c>
      <c r="C414" s="304" t="s">
        <v>443</v>
      </c>
      <c r="D414" s="304" t="s">
        <v>444</v>
      </c>
      <c r="E414" s="304">
        <v>6700</v>
      </c>
      <c r="F414" s="304">
        <v>4324</v>
      </c>
      <c r="G414" s="304">
        <v>6632</v>
      </c>
      <c r="H414" s="304">
        <v>4809</v>
      </c>
      <c r="I414" s="304">
        <f t="shared" si="8"/>
        <v>1032501.3692599419</v>
      </c>
      <c r="J414" s="73"/>
      <c r="K414" s="48"/>
      <c r="L414" s="48"/>
      <c r="M414" s="14"/>
      <c r="N414" s="48"/>
    </row>
    <row r="415" spans="1:14" x14ac:dyDescent="0.25">
      <c r="A415" s="303" t="s">
        <v>494</v>
      </c>
      <c r="B415" s="303" t="s">
        <v>198</v>
      </c>
      <c r="C415" s="304" t="s">
        <v>443</v>
      </c>
      <c r="D415" s="304" t="s">
        <v>447</v>
      </c>
      <c r="E415" s="304">
        <v>400</v>
      </c>
      <c r="F415" s="304">
        <v>229</v>
      </c>
      <c r="G415" s="304">
        <v>301</v>
      </c>
      <c r="H415" s="304">
        <v>321</v>
      </c>
      <c r="I415" s="304">
        <f t="shared" si="8"/>
        <v>131189.92688539671</v>
      </c>
      <c r="J415" s="73"/>
      <c r="K415" s="48"/>
      <c r="L415" s="48"/>
      <c r="M415" s="14"/>
      <c r="N415" s="48"/>
    </row>
    <row r="416" spans="1:14" x14ac:dyDescent="0.25">
      <c r="A416" s="303" t="s">
        <v>494</v>
      </c>
      <c r="B416" s="303" t="s">
        <v>198</v>
      </c>
      <c r="C416" s="304" t="s">
        <v>443</v>
      </c>
      <c r="D416" s="304" t="s">
        <v>448</v>
      </c>
      <c r="E416" s="304">
        <v>4500</v>
      </c>
      <c r="F416" s="304">
        <v>1146</v>
      </c>
      <c r="G416" s="304">
        <v>1601</v>
      </c>
      <c r="H416" s="304">
        <v>1695</v>
      </c>
      <c r="I416" s="304">
        <f t="shared" si="8"/>
        <v>587367.74865538476</v>
      </c>
      <c r="J416" s="73"/>
      <c r="K416" s="48"/>
      <c r="L416" s="48"/>
      <c r="M416" s="14"/>
      <c r="N416" s="48"/>
    </row>
    <row r="417" spans="1:14" x14ac:dyDescent="0.25">
      <c r="A417" s="303" t="s">
        <v>494</v>
      </c>
      <c r="B417" s="303" t="s">
        <v>198</v>
      </c>
      <c r="C417" s="304" t="s">
        <v>443</v>
      </c>
      <c r="D417" s="304" t="s">
        <v>445</v>
      </c>
      <c r="E417" s="304">
        <v>600</v>
      </c>
      <c r="F417" s="304">
        <v>57</v>
      </c>
      <c r="G417" s="304">
        <v>99</v>
      </c>
      <c r="H417" s="304">
        <v>137</v>
      </c>
      <c r="I417" s="304">
        <f t="shared" si="8"/>
        <v>133013.37256032421</v>
      </c>
      <c r="J417" s="73"/>
      <c r="K417" s="48"/>
      <c r="L417" s="48"/>
      <c r="M417" s="14"/>
      <c r="N417" s="48"/>
    </row>
    <row r="418" spans="1:14" x14ac:dyDescent="0.25">
      <c r="A418" s="303" t="s">
        <v>494</v>
      </c>
      <c r="B418" s="303" t="s">
        <v>198</v>
      </c>
      <c r="C418" s="304" t="s">
        <v>446</v>
      </c>
      <c r="D418" s="304" t="s">
        <v>448</v>
      </c>
      <c r="E418" s="304">
        <v>4500</v>
      </c>
      <c r="F418" s="304">
        <v>855</v>
      </c>
      <c r="G418" s="304">
        <v>1022</v>
      </c>
      <c r="H418" s="304">
        <v>1169</v>
      </c>
      <c r="I418" s="304">
        <f t="shared" si="8"/>
        <v>630016.48963155074</v>
      </c>
      <c r="J418" s="73"/>
      <c r="K418" s="48"/>
      <c r="L418" s="48"/>
      <c r="M418" s="14"/>
      <c r="N418" s="48"/>
    </row>
    <row r="419" spans="1:14" x14ac:dyDescent="0.25">
      <c r="A419" s="303" t="s">
        <v>494</v>
      </c>
      <c r="B419" s="303" t="s">
        <v>198</v>
      </c>
      <c r="C419" s="304" t="s">
        <v>443</v>
      </c>
      <c r="D419" s="304" t="s">
        <v>445</v>
      </c>
      <c r="E419" s="304">
        <v>730</v>
      </c>
      <c r="F419" s="304">
        <v>456</v>
      </c>
      <c r="G419" s="304">
        <v>671</v>
      </c>
      <c r="H419" s="304">
        <v>677</v>
      </c>
      <c r="I419" s="304">
        <f t="shared" si="8"/>
        <v>199759.37011448151</v>
      </c>
      <c r="J419" s="73"/>
      <c r="K419" s="48"/>
      <c r="L419" s="48"/>
      <c r="M419" s="14"/>
      <c r="N419" s="48"/>
    </row>
    <row r="420" spans="1:14" x14ac:dyDescent="0.25">
      <c r="A420" s="303" t="s">
        <v>494</v>
      </c>
      <c r="B420" s="303" t="s">
        <v>198</v>
      </c>
      <c r="C420" s="304" t="s">
        <v>443</v>
      </c>
      <c r="D420" s="304" t="s">
        <v>447</v>
      </c>
      <c r="E420" s="304">
        <v>2800</v>
      </c>
      <c r="F420" s="304">
        <v>1142</v>
      </c>
      <c r="G420" s="304">
        <v>1511</v>
      </c>
      <c r="H420" s="304">
        <v>1377</v>
      </c>
      <c r="I420" s="304">
        <f t="shared" si="8"/>
        <v>403953.26304396975</v>
      </c>
      <c r="J420" s="73"/>
      <c r="K420" s="48"/>
      <c r="L420" s="48"/>
      <c r="M420" s="14"/>
      <c r="N420" s="48"/>
    </row>
    <row r="421" spans="1:14" x14ac:dyDescent="0.25">
      <c r="A421" s="303" t="s">
        <v>494</v>
      </c>
      <c r="B421" s="303" t="s">
        <v>198</v>
      </c>
      <c r="C421" s="304" t="s">
        <v>443</v>
      </c>
      <c r="D421" s="304" t="s">
        <v>445</v>
      </c>
      <c r="E421" s="304">
        <v>800</v>
      </c>
      <c r="F421" s="304">
        <v>370</v>
      </c>
      <c r="G421" s="304">
        <v>335</v>
      </c>
      <c r="H421" s="304">
        <v>925</v>
      </c>
      <c r="I421" s="304">
        <f t="shared" si="8"/>
        <v>227070.9969183958</v>
      </c>
      <c r="J421" s="73"/>
      <c r="K421" s="48"/>
      <c r="L421" s="48"/>
      <c r="M421" s="14"/>
      <c r="N421" s="48"/>
    </row>
    <row r="422" spans="1:14" x14ac:dyDescent="0.25">
      <c r="A422" s="303" t="s">
        <v>494</v>
      </c>
      <c r="B422" s="303" t="s">
        <v>198</v>
      </c>
      <c r="C422" s="304" t="s">
        <v>443</v>
      </c>
      <c r="D422" s="304" t="s">
        <v>445</v>
      </c>
      <c r="E422" s="304">
        <v>2200</v>
      </c>
      <c r="F422" s="304">
        <v>817</v>
      </c>
      <c r="G422" s="304">
        <v>963</v>
      </c>
      <c r="H422" s="304">
        <v>1022</v>
      </c>
      <c r="I422" s="304">
        <f t="shared" si="8"/>
        <v>336360.62569924089</v>
      </c>
      <c r="J422" s="73"/>
      <c r="K422" s="48"/>
      <c r="L422" s="48"/>
      <c r="M422" s="14"/>
      <c r="N422" s="48"/>
    </row>
    <row r="423" spans="1:14" x14ac:dyDescent="0.25">
      <c r="A423" s="303" t="s">
        <v>494</v>
      </c>
      <c r="B423" s="303" t="s">
        <v>198</v>
      </c>
      <c r="C423" s="304" t="s">
        <v>443</v>
      </c>
      <c r="D423" s="304" t="s">
        <v>447</v>
      </c>
      <c r="E423" s="304">
        <v>2600</v>
      </c>
      <c r="F423" s="304">
        <v>1023</v>
      </c>
      <c r="G423" s="304">
        <v>1306</v>
      </c>
      <c r="H423" s="304">
        <v>1457</v>
      </c>
      <c r="I423" s="304">
        <f t="shared" si="8"/>
        <v>388816.89823733299</v>
      </c>
      <c r="J423" s="73"/>
      <c r="K423" s="48"/>
      <c r="L423" s="48"/>
      <c r="M423" s="14"/>
      <c r="N423" s="48"/>
    </row>
    <row r="424" spans="1:14" x14ac:dyDescent="0.25">
      <c r="A424" s="303" t="s">
        <v>495</v>
      </c>
      <c r="B424" s="303" t="s">
        <v>200</v>
      </c>
      <c r="C424" s="304" t="s">
        <v>446</v>
      </c>
      <c r="D424" s="304" t="s">
        <v>444</v>
      </c>
      <c r="E424" s="304">
        <v>71500</v>
      </c>
      <c r="F424" s="304">
        <v>43007</v>
      </c>
      <c r="G424" s="304">
        <v>44391</v>
      </c>
      <c r="H424" s="304">
        <v>48318</v>
      </c>
      <c r="I424" s="304">
        <f t="shared" si="8"/>
        <v>5950636.2673489321</v>
      </c>
      <c r="J424" s="73"/>
      <c r="K424" s="48"/>
      <c r="L424" s="48"/>
      <c r="M424" s="14"/>
      <c r="N424" s="48"/>
    </row>
    <row r="425" spans="1:14" x14ac:dyDescent="0.25">
      <c r="A425" s="303" t="s">
        <v>496</v>
      </c>
      <c r="B425" s="303" t="s">
        <v>202</v>
      </c>
      <c r="C425" s="304" t="s">
        <v>443</v>
      </c>
      <c r="D425" s="304" t="s">
        <v>444</v>
      </c>
      <c r="E425" s="304">
        <v>30000</v>
      </c>
      <c r="F425" s="304">
        <v>11431</v>
      </c>
      <c r="G425" s="304">
        <v>12737</v>
      </c>
      <c r="H425" s="304">
        <v>10300</v>
      </c>
      <c r="I425" s="304">
        <f t="shared" si="8"/>
        <v>2433545.4400307629</v>
      </c>
      <c r="J425" s="73"/>
      <c r="K425" s="48"/>
      <c r="L425" s="48"/>
      <c r="M425" s="14"/>
      <c r="N425" s="48"/>
    </row>
    <row r="426" spans="1:14" x14ac:dyDescent="0.25">
      <c r="A426" s="303" t="s">
        <v>496</v>
      </c>
      <c r="B426" s="303" t="s">
        <v>202</v>
      </c>
      <c r="C426" s="304" t="s">
        <v>443</v>
      </c>
      <c r="D426" s="304" t="s">
        <v>444</v>
      </c>
      <c r="E426" s="304">
        <v>12500</v>
      </c>
      <c r="F426" s="304">
        <v>12469</v>
      </c>
      <c r="G426" s="304">
        <v>11932</v>
      </c>
      <c r="H426" s="304">
        <v>12304</v>
      </c>
      <c r="I426" s="304">
        <f t="shared" si="8"/>
        <v>1638532.0388299907</v>
      </c>
      <c r="J426" s="73"/>
      <c r="K426" s="48"/>
      <c r="L426" s="48"/>
      <c r="M426" s="14"/>
      <c r="N426" s="48"/>
    </row>
    <row r="427" spans="1:14" x14ac:dyDescent="0.25">
      <c r="A427" s="303" t="s">
        <v>496</v>
      </c>
      <c r="B427" s="303" t="s">
        <v>202</v>
      </c>
      <c r="C427" s="304" t="s">
        <v>443</v>
      </c>
      <c r="D427" s="304" t="s">
        <v>444</v>
      </c>
      <c r="E427" s="304">
        <v>37000</v>
      </c>
      <c r="F427" s="304">
        <v>19750</v>
      </c>
      <c r="G427" s="304">
        <v>24921</v>
      </c>
      <c r="H427" s="304">
        <v>20038</v>
      </c>
      <c r="I427" s="304">
        <f t="shared" si="8"/>
        <v>3197130.9991399553</v>
      </c>
      <c r="J427" s="73"/>
      <c r="K427" s="48"/>
      <c r="L427" s="48"/>
      <c r="M427" s="14"/>
      <c r="N427" s="48"/>
    </row>
    <row r="428" spans="1:14" x14ac:dyDescent="0.25">
      <c r="A428" s="303" t="s">
        <v>496</v>
      </c>
      <c r="B428" s="303" t="s">
        <v>202</v>
      </c>
      <c r="C428" s="304" t="s">
        <v>443</v>
      </c>
      <c r="D428" s="304" t="s">
        <v>444</v>
      </c>
      <c r="E428" s="304">
        <v>75000</v>
      </c>
      <c r="F428" s="304">
        <v>40955</v>
      </c>
      <c r="G428" s="304">
        <v>56059</v>
      </c>
      <c r="H428" s="304">
        <v>44367</v>
      </c>
      <c r="I428" s="304">
        <f t="shared" si="8"/>
        <v>5551665.5292109037</v>
      </c>
      <c r="J428" s="73"/>
      <c r="K428" s="48"/>
      <c r="L428" s="48"/>
      <c r="M428" s="14"/>
      <c r="N428" s="48"/>
    </row>
    <row r="429" spans="1:14" x14ac:dyDescent="0.25">
      <c r="A429" s="303" t="s">
        <v>496</v>
      </c>
      <c r="B429" s="303" t="s">
        <v>202</v>
      </c>
      <c r="C429" s="304" t="s">
        <v>443</v>
      </c>
      <c r="D429" s="304" t="s">
        <v>448</v>
      </c>
      <c r="E429" s="304">
        <v>3200</v>
      </c>
      <c r="F429" s="304">
        <v>801</v>
      </c>
      <c r="G429" s="304">
        <v>871</v>
      </c>
      <c r="H429" s="304">
        <v>1245</v>
      </c>
      <c r="I429" s="304">
        <f t="shared" si="8"/>
        <v>460046.05519704887</v>
      </c>
      <c r="J429" s="73"/>
      <c r="K429" s="48"/>
      <c r="L429" s="48"/>
      <c r="M429" s="14"/>
      <c r="N429" s="48"/>
    </row>
    <row r="430" spans="1:14" x14ac:dyDescent="0.25">
      <c r="A430" s="303" t="s">
        <v>496</v>
      </c>
      <c r="B430" s="303" t="s">
        <v>202</v>
      </c>
      <c r="C430" s="304" t="s">
        <v>443</v>
      </c>
      <c r="D430" s="304" t="s">
        <v>448</v>
      </c>
      <c r="E430" s="304">
        <v>7500</v>
      </c>
      <c r="F430" s="304">
        <v>1551</v>
      </c>
      <c r="G430" s="304">
        <v>1820</v>
      </c>
      <c r="H430" s="304">
        <v>1985</v>
      </c>
      <c r="I430" s="304">
        <f t="shared" si="8"/>
        <v>803650.40984861751</v>
      </c>
      <c r="J430" s="73"/>
      <c r="K430" s="48"/>
      <c r="L430" s="48"/>
      <c r="M430" s="14"/>
      <c r="N430" s="48"/>
    </row>
    <row r="431" spans="1:14" x14ac:dyDescent="0.25">
      <c r="A431" s="303" t="s">
        <v>496</v>
      </c>
      <c r="B431" s="303" t="s">
        <v>202</v>
      </c>
      <c r="C431" s="304" t="s">
        <v>446</v>
      </c>
      <c r="D431" s="304" t="s">
        <v>444</v>
      </c>
      <c r="E431" s="304">
        <v>410000</v>
      </c>
      <c r="F431" s="304">
        <v>219918</v>
      </c>
      <c r="G431" s="304">
        <v>238976</v>
      </c>
      <c r="H431" s="304">
        <v>150784</v>
      </c>
      <c r="I431" s="304">
        <f t="shared" si="8"/>
        <v>20633430.549134135</v>
      </c>
      <c r="J431" s="73"/>
      <c r="K431" s="48"/>
      <c r="L431" s="48"/>
      <c r="M431" s="14"/>
      <c r="N431" s="48"/>
    </row>
    <row r="432" spans="1:14" x14ac:dyDescent="0.25">
      <c r="A432" s="303" t="s">
        <v>496</v>
      </c>
      <c r="B432" s="303" t="s">
        <v>202</v>
      </c>
      <c r="C432" s="304" t="s">
        <v>443</v>
      </c>
      <c r="D432" s="304" t="s">
        <v>448</v>
      </c>
      <c r="E432" s="304">
        <v>9500</v>
      </c>
      <c r="F432" s="304">
        <v>6877</v>
      </c>
      <c r="G432" s="304">
        <v>7127</v>
      </c>
      <c r="H432" s="304">
        <v>7409</v>
      </c>
      <c r="I432" s="304">
        <f t="shared" si="8"/>
        <v>1229879.2772589345</v>
      </c>
      <c r="J432" s="73"/>
      <c r="K432" s="48"/>
      <c r="L432" s="48"/>
      <c r="M432" s="14"/>
      <c r="N432" s="48"/>
    </row>
    <row r="433" spans="1:14" x14ac:dyDescent="0.25">
      <c r="A433" s="303" t="s">
        <v>497</v>
      </c>
      <c r="B433" s="303" t="s">
        <v>204</v>
      </c>
      <c r="C433" s="304" t="s">
        <v>443</v>
      </c>
      <c r="D433" s="304" t="s">
        <v>445</v>
      </c>
      <c r="E433" s="304">
        <v>1000</v>
      </c>
      <c r="F433" s="304">
        <v>127</v>
      </c>
      <c r="G433" s="304">
        <v>176</v>
      </c>
      <c r="H433" s="304">
        <v>58</v>
      </c>
      <c r="I433" s="304">
        <f t="shared" si="8"/>
        <v>178453.12875331924</v>
      </c>
      <c r="J433" s="73"/>
      <c r="K433" s="48"/>
      <c r="L433" s="48"/>
      <c r="M433" s="14"/>
      <c r="N433" s="48"/>
    </row>
    <row r="434" spans="1:14" x14ac:dyDescent="0.25">
      <c r="A434" s="303" t="s">
        <v>497</v>
      </c>
      <c r="B434" s="303" t="s">
        <v>204</v>
      </c>
      <c r="C434" s="304" t="s">
        <v>443</v>
      </c>
      <c r="D434" s="304" t="s">
        <v>445</v>
      </c>
      <c r="E434" s="304">
        <v>1000</v>
      </c>
      <c r="F434" s="304">
        <v>1055</v>
      </c>
      <c r="G434" s="304">
        <v>1217</v>
      </c>
      <c r="H434" s="304">
        <v>390</v>
      </c>
      <c r="I434" s="304">
        <f t="shared" si="8"/>
        <v>265886.96481520974</v>
      </c>
      <c r="J434" s="73"/>
      <c r="K434" s="48"/>
      <c r="L434" s="48"/>
      <c r="M434" s="14"/>
      <c r="N434" s="48"/>
    </row>
    <row r="435" spans="1:14" x14ac:dyDescent="0.25">
      <c r="A435" s="303" t="s">
        <v>497</v>
      </c>
      <c r="B435" s="303" t="s">
        <v>204</v>
      </c>
      <c r="C435" s="304" t="s">
        <v>443</v>
      </c>
      <c r="D435" s="304" t="s">
        <v>444</v>
      </c>
      <c r="E435" s="304">
        <v>27000</v>
      </c>
      <c r="F435" s="304">
        <v>16456</v>
      </c>
      <c r="G435" s="304">
        <v>15746</v>
      </c>
      <c r="H435" s="304">
        <v>4961</v>
      </c>
      <c r="I435" s="304">
        <f t="shared" si="8"/>
        <v>2463611.9755846495</v>
      </c>
      <c r="J435" s="73"/>
      <c r="K435" s="48"/>
      <c r="L435" s="48"/>
      <c r="M435" s="14"/>
      <c r="N435" s="48"/>
    </row>
    <row r="436" spans="1:14" x14ac:dyDescent="0.25">
      <c r="A436" s="303" t="s">
        <v>497</v>
      </c>
      <c r="B436" s="303" t="s">
        <v>204</v>
      </c>
      <c r="C436" s="304" t="s">
        <v>443</v>
      </c>
      <c r="D436" s="304" t="s">
        <v>444</v>
      </c>
      <c r="E436" s="304">
        <v>28000</v>
      </c>
      <c r="F436" s="304">
        <v>37104</v>
      </c>
      <c r="G436" s="304">
        <v>35655</v>
      </c>
      <c r="H436" s="304">
        <v>10285</v>
      </c>
      <c r="I436" s="304">
        <f t="shared" si="8"/>
        <v>3317286.1749959164</v>
      </c>
      <c r="J436" s="73"/>
      <c r="K436" s="48"/>
      <c r="L436" s="48"/>
      <c r="M436" s="14"/>
      <c r="N436" s="48"/>
    </row>
    <row r="437" spans="1:14" x14ac:dyDescent="0.25">
      <c r="A437" s="303" t="s">
        <v>497</v>
      </c>
      <c r="B437" s="303" t="s">
        <v>204</v>
      </c>
      <c r="C437" s="304" t="s">
        <v>443</v>
      </c>
      <c r="D437" s="304" t="s">
        <v>444</v>
      </c>
      <c r="E437" s="304">
        <v>12400</v>
      </c>
      <c r="F437" s="304">
        <v>4833</v>
      </c>
      <c r="G437" s="304">
        <v>5226</v>
      </c>
      <c r="H437" s="304">
        <v>2347</v>
      </c>
      <c r="I437" s="304">
        <f t="shared" si="8"/>
        <v>1268051.4162001046</v>
      </c>
      <c r="J437" s="73"/>
      <c r="K437" s="48"/>
      <c r="L437" s="48"/>
      <c r="M437" s="14"/>
      <c r="N437" s="48"/>
    </row>
    <row r="438" spans="1:14" x14ac:dyDescent="0.25">
      <c r="A438" s="303" t="s">
        <v>497</v>
      </c>
      <c r="B438" s="303" t="s">
        <v>204</v>
      </c>
      <c r="C438" s="304" t="s">
        <v>443</v>
      </c>
      <c r="D438" s="304" t="s">
        <v>444</v>
      </c>
      <c r="E438" s="304">
        <v>18000</v>
      </c>
      <c r="F438" s="304">
        <v>14049</v>
      </c>
      <c r="G438" s="304">
        <v>14036</v>
      </c>
      <c r="H438" s="304">
        <v>6363</v>
      </c>
      <c r="I438" s="304">
        <f t="shared" si="8"/>
        <v>1969006.5070597567</v>
      </c>
      <c r="J438" s="73"/>
      <c r="K438" s="48"/>
      <c r="L438" s="48"/>
      <c r="M438" s="14"/>
      <c r="N438" s="48"/>
    </row>
    <row r="439" spans="1:14" x14ac:dyDescent="0.25">
      <c r="A439" s="303" t="s">
        <v>498</v>
      </c>
      <c r="B439" s="303" t="s">
        <v>208</v>
      </c>
      <c r="C439" s="304" t="s">
        <v>446</v>
      </c>
      <c r="D439" s="304" t="s">
        <v>444</v>
      </c>
      <c r="E439" s="304">
        <v>3400</v>
      </c>
      <c r="F439" s="304">
        <v>2573</v>
      </c>
      <c r="G439" s="304">
        <v>2995</v>
      </c>
      <c r="H439" s="304">
        <v>3339</v>
      </c>
      <c r="I439" s="304">
        <f t="shared" si="8"/>
        <v>715512.82093226793</v>
      </c>
      <c r="J439" s="73"/>
      <c r="K439" s="48"/>
      <c r="L439" s="48"/>
      <c r="M439" s="14"/>
      <c r="N439" s="48"/>
    </row>
    <row r="440" spans="1:14" x14ac:dyDescent="0.25">
      <c r="A440" s="303" t="s">
        <v>498</v>
      </c>
      <c r="B440" s="303" t="s">
        <v>208</v>
      </c>
      <c r="C440" s="304" t="s">
        <v>446</v>
      </c>
      <c r="D440" s="304" t="s">
        <v>444</v>
      </c>
      <c r="E440" s="304">
        <v>170000</v>
      </c>
      <c r="F440" s="304">
        <v>105147</v>
      </c>
      <c r="G440" s="304">
        <v>115562</v>
      </c>
      <c r="H440" s="304">
        <v>77182</v>
      </c>
      <c r="I440" s="304">
        <f t="shared" si="8"/>
        <v>11276301.248587092</v>
      </c>
      <c r="J440" s="73"/>
      <c r="K440" s="48"/>
      <c r="L440" s="48"/>
      <c r="M440" s="14"/>
      <c r="N440" s="48"/>
    </row>
    <row r="441" spans="1:14" x14ac:dyDescent="0.25">
      <c r="A441" s="303" t="s">
        <v>498</v>
      </c>
      <c r="B441" s="303" t="s">
        <v>208</v>
      </c>
      <c r="C441" s="304" t="s">
        <v>446</v>
      </c>
      <c r="D441" s="304" t="s">
        <v>444</v>
      </c>
      <c r="E441" s="304">
        <v>4500</v>
      </c>
      <c r="F441" s="304">
        <v>1818</v>
      </c>
      <c r="G441" s="304">
        <v>2071</v>
      </c>
      <c r="H441" s="304">
        <v>2195</v>
      </c>
      <c r="I441" s="304">
        <f t="shared" si="8"/>
        <v>712071.48061776184</v>
      </c>
      <c r="J441" s="73"/>
      <c r="K441" s="48"/>
      <c r="L441" s="48"/>
      <c r="M441" s="14"/>
      <c r="N441" s="48"/>
    </row>
    <row r="442" spans="1:14" x14ac:dyDescent="0.25">
      <c r="A442" s="303" t="s">
        <v>498</v>
      </c>
      <c r="B442" s="303" t="s">
        <v>208</v>
      </c>
      <c r="C442" s="304" t="s">
        <v>443</v>
      </c>
      <c r="D442" s="304" t="s">
        <v>444</v>
      </c>
      <c r="E442" s="304">
        <v>24000</v>
      </c>
      <c r="F442" s="304">
        <v>12587</v>
      </c>
      <c r="G442" s="304">
        <v>14746</v>
      </c>
      <c r="H442" s="304">
        <v>15958</v>
      </c>
      <c r="I442" s="304">
        <f t="shared" si="8"/>
        <v>2316050.6154289856</v>
      </c>
      <c r="J442" s="73"/>
      <c r="K442" s="48"/>
      <c r="L442" s="48"/>
      <c r="M442" s="14"/>
      <c r="N442" s="48"/>
    </row>
    <row r="443" spans="1:14" x14ac:dyDescent="0.25">
      <c r="A443" s="303" t="s">
        <v>498</v>
      </c>
      <c r="B443" s="303" t="s">
        <v>208</v>
      </c>
      <c r="C443" s="304" t="s">
        <v>443</v>
      </c>
      <c r="D443" s="304" t="s">
        <v>444</v>
      </c>
      <c r="E443" s="304">
        <v>3600</v>
      </c>
      <c r="F443" s="304">
        <v>803</v>
      </c>
      <c r="G443" s="304">
        <v>1026</v>
      </c>
      <c r="H443" s="304">
        <v>947</v>
      </c>
      <c r="I443" s="304">
        <f t="shared" si="8"/>
        <v>473760.70283129829</v>
      </c>
      <c r="J443" s="73"/>
      <c r="K443" s="48"/>
      <c r="L443" s="48"/>
      <c r="M443" s="14"/>
      <c r="N443" s="48"/>
    </row>
    <row r="444" spans="1:14" x14ac:dyDescent="0.25">
      <c r="A444" s="303" t="s">
        <v>498</v>
      </c>
      <c r="B444" s="303" t="s">
        <v>208</v>
      </c>
      <c r="C444" s="304" t="s">
        <v>446</v>
      </c>
      <c r="D444" s="304" t="s">
        <v>444</v>
      </c>
      <c r="E444" s="304">
        <v>42000</v>
      </c>
      <c r="F444" s="304">
        <v>25530</v>
      </c>
      <c r="G444" s="304">
        <v>25872</v>
      </c>
      <c r="H444" s="304">
        <v>15079</v>
      </c>
      <c r="I444" s="304">
        <f t="shared" si="8"/>
        <v>3916476.0966222649</v>
      </c>
      <c r="J444" s="73"/>
      <c r="K444" s="48"/>
      <c r="L444" s="48"/>
      <c r="M444" s="14"/>
      <c r="N444" s="48"/>
    </row>
    <row r="445" spans="1:14" x14ac:dyDescent="0.25">
      <c r="A445" s="303" t="s">
        <v>498</v>
      </c>
      <c r="B445" s="303" t="s">
        <v>208</v>
      </c>
      <c r="C445" s="304" t="s">
        <v>446</v>
      </c>
      <c r="D445" s="304" t="s">
        <v>444</v>
      </c>
      <c r="E445" s="304">
        <v>3150</v>
      </c>
      <c r="F445" s="304">
        <v>1626</v>
      </c>
      <c r="G445" s="304">
        <v>1878</v>
      </c>
      <c r="H445" s="304">
        <v>2517</v>
      </c>
      <c r="I445" s="304">
        <f t="shared" si="8"/>
        <v>629852.89332416467</v>
      </c>
      <c r="J445" s="73"/>
      <c r="K445" s="48"/>
      <c r="L445" s="48"/>
      <c r="M445" s="14"/>
      <c r="N445" s="48"/>
    </row>
    <row r="446" spans="1:14" x14ac:dyDescent="0.25">
      <c r="A446" s="303" t="s">
        <v>498</v>
      </c>
      <c r="B446" s="303" t="s">
        <v>208</v>
      </c>
      <c r="C446" s="304" t="s">
        <v>443</v>
      </c>
      <c r="D446" s="304" t="s">
        <v>444</v>
      </c>
      <c r="E446" s="304">
        <v>19600</v>
      </c>
      <c r="F446" s="304">
        <v>12587</v>
      </c>
      <c r="G446" s="304">
        <v>13940</v>
      </c>
      <c r="H446" s="304">
        <v>10098</v>
      </c>
      <c r="I446" s="304">
        <f t="shared" si="8"/>
        <v>2036020.2948321332</v>
      </c>
      <c r="J446" s="73"/>
      <c r="K446" s="48"/>
      <c r="L446" s="48"/>
      <c r="M446" s="14"/>
      <c r="N446" s="48"/>
    </row>
    <row r="447" spans="1:14" x14ac:dyDescent="0.25">
      <c r="A447" s="303" t="s">
        <v>499</v>
      </c>
      <c r="B447" s="303" t="s">
        <v>210</v>
      </c>
      <c r="C447" s="304" t="s">
        <v>446</v>
      </c>
      <c r="D447" s="304" t="s">
        <v>444</v>
      </c>
      <c r="E447" s="304">
        <v>188000</v>
      </c>
      <c r="F447" s="304">
        <v>103030</v>
      </c>
      <c r="G447" s="304">
        <v>102617</v>
      </c>
      <c r="H447" s="304">
        <v>75218</v>
      </c>
      <c r="I447" s="304">
        <f t="shared" si="8"/>
        <v>11434820.590930475</v>
      </c>
      <c r="J447" s="73"/>
      <c r="K447" s="48"/>
      <c r="L447" s="48"/>
      <c r="M447" s="14"/>
      <c r="N447" s="48"/>
    </row>
    <row r="448" spans="1:14" x14ac:dyDescent="0.25">
      <c r="A448" s="303" t="s">
        <v>499</v>
      </c>
      <c r="B448" s="303" t="s">
        <v>210</v>
      </c>
      <c r="C448" s="304" t="s">
        <v>443</v>
      </c>
      <c r="D448" s="304" t="s">
        <v>444</v>
      </c>
      <c r="E448" s="304">
        <v>2500</v>
      </c>
      <c r="F448" s="304">
        <v>555</v>
      </c>
      <c r="G448" s="304">
        <v>839</v>
      </c>
      <c r="H448" s="304">
        <v>624</v>
      </c>
      <c r="I448" s="304">
        <f t="shared" si="8"/>
        <v>372691.4041793627</v>
      </c>
      <c r="J448" s="73"/>
      <c r="K448" s="48"/>
      <c r="L448" s="48"/>
      <c r="M448" s="14"/>
      <c r="N448" s="48"/>
    </row>
    <row r="449" spans="1:14" x14ac:dyDescent="0.25">
      <c r="A449" s="303" t="s">
        <v>499</v>
      </c>
      <c r="B449" s="303" t="s">
        <v>210</v>
      </c>
      <c r="C449" s="304" t="s">
        <v>446</v>
      </c>
      <c r="D449" s="304" t="s">
        <v>444</v>
      </c>
      <c r="E449" s="304">
        <v>8500</v>
      </c>
      <c r="F449" s="304">
        <v>4446</v>
      </c>
      <c r="G449" s="304">
        <v>5534</v>
      </c>
      <c r="H449" s="304">
        <v>5238</v>
      </c>
      <c r="I449" s="304">
        <f t="shared" si="8"/>
        <v>1227712.6415565712</v>
      </c>
      <c r="J449" s="73"/>
      <c r="K449" s="48"/>
      <c r="L449" s="48"/>
      <c r="M449" s="14"/>
      <c r="N449" s="48"/>
    </row>
    <row r="450" spans="1:14" x14ac:dyDescent="0.25">
      <c r="A450" s="303" t="s">
        <v>499</v>
      </c>
      <c r="B450" s="303" t="s">
        <v>210</v>
      </c>
      <c r="C450" s="304" t="s">
        <v>446</v>
      </c>
      <c r="D450" s="304" t="s">
        <v>444</v>
      </c>
      <c r="E450" s="304">
        <v>15000</v>
      </c>
      <c r="F450" s="304">
        <v>8173</v>
      </c>
      <c r="G450" s="304">
        <v>8531</v>
      </c>
      <c r="H450" s="304">
        <v>8292</v>
      </c>
      <c r="I450" s="304">
        <f t="shared" si="8"/>
        <v>1795967.5551164106</v>
      </c>
      <c r="J450" s="73"/>
      <c r="K450" s="48"/>
      <c r="L450" s="48"/>
      <c r="M450" s="14"/>
      <c r="N450" s="48"/>
    </row>
    <row r="451" spans="1:14" x14ac:dyDescent="0.25">
      <c r="A451" s="303" t="s">
        <v>499</v>
      </c>
      <c r="B451" s="303" t="s">
        <v>210</v>
      </c>
      <c r="C451" s="304" t="s">
        <v>446</v>
      </c>
      <c r="D451" s="304" t="s">
        <v>444</v>
      </c>
      <c r="E451" s="304">
        <v>2700</v>
      </c>
      <c r="F451" s="304">
        <v>1397</v>
      </c>
      <c r="G451" s="304">
        <v>1676</v>
      </c>
      <c r="H451" s="304">
        <v>1338</v>
      </c>
      <c r="I451" s="304">
        <f t="shared" ref="I451:I481" si="9">IF(D451="M",(AVERAGE(E451,MAX(F451:H451))^0.519)*3203.7913,IF(OR(D451="MB",D451="MK",D451="MBK",D451="MBN"),(AVERAGE(E451,MAX(F451:H451))^0.6289)*3234.9142,IF(AND(C451="Landzone og sommerhusområde",OR(D451="MBNKD",D451="MBNK/MBND")),(AVERAGE(E451,MAX(F451:H451))^0.736)*1583.1635,IF(AND(C451="Byzone",OR(D451="MBNKD",D451="MBNK/MBND")),(AVERAGE(E451,MAX(F451:H451))^0.736)*1812.7138,0))))</f>
        <v>520719.7701091991</v>
      </c>
      <c r="J451" s="73"/>
      <c r="K451" s="48"/>
      <c r="L451" s="48"/>
      <c r="M451" s="14"/>
      <c r="N451" s="48"/>
    </row>
    <row r="452" spans="1:14" x14ac:dyDescent="0.25">
      <c r="A452" s="303" t="s">
        <v>499</v>
      </c>
      <c r="B452" s="303" t="s">
        <v>210</v>
      </c>
      <c r="C452" s="304" t="s">
        <v>443</v>
      </c>
      <c r="D452" s="304" t="s">
        <v>448</v>
      </c>
      <c r="E452" s="304">
        <v>445</v>
      </c>
      <c r="F452" s="304">
        <v>256</v>
      </c>
      <c r="G452" s="304">
        <v>340</v>
      </c>
      <c r="H452" s="304">
        <v>282</v>
      </c>
      <c r="I452" s="304">
        <f t="shared" si="9"/>
        <v>128407.90462528331</v>
      </c>
      <c r="J452" s="73"/>
      <c r="K452" s="48"/>
      <c r="L452" s="48"/>
      <c r="M452" s="14"/>
      <c r="N452" s="48"/>
    </row>
    <row r="453" spans="1:14" x14ac:dyDescent="0.25">
      <c r="A453" s="303" t="s">
        <v>500</v>
      </c>
      <c r="B453" s="303" t="s">
        <v>212</v>
      </c>
      <c r="C453" s="304" t="s">
        <v>443</v>
      </c>
      <c r="D453" s="304" t="s">
        <v>444</v>
      </c>
      <c r="E453" s="304">
        <v>105000</v>
      </c>
      <c r="F453" s="304">
        <v>52019</v>
      </c>
      <c r="G453" s="304">
        <v>44914</v>
      </c>
      <c r="H453" s="304">
        <v>33858</v>
      </c>
      <c r="I453" s="304">
        <f t="shared" si="9"/>
        <v>6341449.1782151312</v>
      </c>
      <c r="J453" s="73"/>
      <c r="K453" s="48"/>
      <c r="L453" s="48"/>
      <c r="M453" s="14"/>
      <c r="N453" s="48"/>
    </row>
    <row r="454" spans="1:14" x14ac:dyDescent="0.25">
      <c r="A454" s="303" t="s">
        <v>500</v>
      </c>
      <c r="B454" s="303" t="s">
        <v>212</v>
      </c>
      <c r="C454" s="304" t="s">
        <v>443</v>
      </c>
      <c r="D454" s="304" t="s">
        <v>444</v>
      </c>
      <c r="E454" s="304">
        <v>20000</v>
      </c>
      <c r="F454" s="304">
        <v>14389</v>
      </c>
      <c r="G454" s="304">
        <v>15677</v>
      </c>
      <c r="H454" s="304">
        <v>14839</v>
      </c>
      <c r="I454" s="304">
        <f t="shared" si="9"/>
        <v>2130715.6780911651</v>
      </c>
      <c r="J454" s="73"/>
      <c r="K454" s="48"/>
      <c r="L454" s="48"/>
      <c r="M454" s="14"/>
      <c r="N454" s="48"/>
    </row>
    <row r="455" spans="1:14" x14ac:dyDescent="0.25">
      <c r="A455" s="303" t="s">
        <v>500</v>
      </c>
      <c r="B455" s="303" t="s">
        <v>212</v>
      </c>
      <c r="C455" s="304" t="s">
        <v>446</v>
      </c>
      <c r="D455" s="304" t="s">
        <v>444</v>
      </c>
      <c r="E455" s="304">
        <v>73000</v>
      </c>
      <c r="F455" s="304">
        <v>39069</v>
      </c>
      <c r="G455" s="304">
        <v>28198</v>
      </c>
      <c r="H455" s="304">
        <v>35293</v>
      </c>
      <c r="I455" s="304">
        <f t="shared" si="9"/>
        <v>5664903.155484248</v>
      </c>
      <c r="J455" s="73"/>
      <c r="K455" s="48"/>
      <c r="L455" s="48"/>
      <c r="M455" s="14"/>
      <c r="N455" s="48"/>
    </row>
    <row r="456" spans="1:14" x14ac:dyDescent="0.25">
      <c r="A456" s="303" t="s">
        <v>501</v>
      </c>
      <c r="B456" s="303" t="s">
        <v>214</v>
      </c>
      <c r="C456" s="304" t="s">
        <v>446</v>
      </c>
      <c r="D456" s="304" t="s">
        <v>444</v>
      </c>
      <c r="E456" s="304">
        <v>47000</v>
      </c>
      <c r="F456" s="304">
        <v>28432</v>
      </c>
      <c r="G456" s="304">
        <v>34134</v>
      </c>
      <c r="H456" s="304">
        <v>24755</v>
      </c>
      <c r="I456" s="304">
        <f t="shared" si="9"/>
        <v>4466265.0181162339</v>
      </c>
      <c r="J456" s="73"/>
      <c r="K456" s="48"/>
      <c r="L456" s="48"/>
      <c r="M456" s="14"/>
      <c r="N456" s="48"/>
    </row>
    <row r="457" spans="1:14" x14ac:dyDescent="0.25">
      <c r="A457" s="303" t="s">
        <v>501</v>
      </c>
      <c r="B457" s="303" t="s">
        <v>214</v>
      </c>
      <c r="C457" s="304" t="s">
        <v>443</v>
      </c>
      <c r="D457" s="304" t="s">
        <v>444</v>
      </c>
      <c r="E457" s="304">
        <v>17500</v>
      </c>
      <c r="F457" s="304">
        <v>10075</v>
      </c>
      <c r="G457" s="304">
        <v>13188</v>
      </c>
      <c r="H457" s="304">
        <v>10465</v>
      </c>
      <c r="I457" s="304">
        <f t="shared" si="9"/>
        <v>1907113.6330287103</v>
      </c>
      <c r="J457" s="73"/>
      <c r="K457" s="48"/>
      <c r="L457" s="48"/>
      <c r="M457" s="14"/>
      <c r="N457" s="48"/>
    </row>
    <row r="458" spans="1:14" x14ac:dyDescent="0.25">
      <c r="A458" s="303" t="s">
        <v>501</v>
      </c>
      <c r="B458" s="303" t="s">
        <v>214</v>
      </c>
      <c r="C458" s="304" t="s">
        <v>443</v>
      </c>
      <c r="D458" s="304" t="s">
        <v>445</v>
      </c>
      <c r="E458" s="304">
        <v>1200</v>
      </c>
      <c r="F458" s="304">
        <v>174</v>
      </c>
      <c r="G458" s="304">
        <v>187</v>
      </c>
      <c r="H458" s="304">
        <v>344</v>
      </c>
      <c r="I458" s="304">
        <f t="shared" si="9"/>
        <v>211780.16703058852</v>
      </c>
      <c r="J458" s="73"/>
      <c r="K458" s="48"/>
      <c r="L458" s="48"/>
      <c r="M458" s="14"/>
      <c r="N458" s="48"/>
    </row>
    <row r="459" spans="1:14" x14ac:dyDescent="0.25">
      <c r="A459" s="303" t="s">
        <v>501</v>
      </c>
      <c r="B459" s="303" t="s">
        <v>214</v>
      </c>
      <c r="C459" s="304" t="s">
        <v>443</v>
      </c>
      <c r="D459" s="304" t="s">
        <v>444</v>
      </c>
      <c r="E459" s="304">
        <v>12000</v>
      </c>
      <c r="F459" s="304">
        <v>10319</v>
      </c>
      <c r="G459" s="304">
        <v>10470</v>
      </c>
      <c r="H459" s="304">
        <v>7042</v>
      </c>
      <c r="I459" s="304">
        <f t="shared" si="9"/>
        <v>1516168.7919598371</v>
      </c>
      <c r="J459" s="73"/>
      <c r="K459" s="48"/>
      <c r="L459" s="48"/>
      <c r="M459" s="14"/>
      <c r="N459" s="48"/>
    </row>
    <row r="460" spans="1:14" x14ac:dyDescent="0.25">
      <c r="A460" s="303" t="s">
        <v>501</v>
      </c>
      <c r="B460" s="303" t="s">
        <v>214</v>
      </c>
      <c r="C460" s="304" t="s">
        <v>443</v>
      </c>
      <c r="D460" s="304" t="s">
        <v>448</v>
      </c>
      <c r="E460" s="304">
        <v>4500</v>
      </c>
      <c r="F460" s="304">
        <v>1857</v>
      </c>
      <c r="G460" s="304">
        <v>2149</v>
      </c>
      <c r="H460" s="304">
        <v>1989</v>
      </c>
      <c r="I460" s="304">
        <f t="shared" si="9"/>
        <v>618751.62548599939</v>
      </c>
      <c r="J460" s="73"/>
      <c r="K460" s="48"/>
      <c r="L460" s="48"/>
      <c r="M460" s="14"/>
      <c r="N460" s="48"/>
    </row>
    <row r="461" spans="1:14" x14ac:dyDescent="0.25">
      <c r="A461" s="303" t="s">
        <v>501</v>
      </c>
      <c r="B461" s="303" t="s">
        <v>214</v>
      </c>
      <c r="C461" s="304" t="s">
        <v>443</v>
      </c>
      <c r="D461" s="304" t="s">
        <v>448</v>
      </c>
      <c r="E461" s="304">
        <v>1150</v>
      </c>
      <c r="F461" s="304">
        <v>242</v>
      </c>
      <c r="G461" s="304">
        <v>350</v>
      </c>
      <c r="H461" s="304">
        <v>338</v>
      </c>
      <c r="I461" s="304">
        <f t="shared" si="9"/>
        <v>206809.67801966402</v>
      </c>
      <c r="J461" s="73"/>
      <c r="K461" s="48"/>
      <c r="L461" s="48"/>
      <c r="M461" s="14"/>
      <c r="N461" s="48"/>
    </row>
    <row r="462" spans="1:14" x14ac:dyDescent="0.25">
      <c r="A462" s="303" t="s">
        <v>501</v>
      </c>
      <c r="B462" s="303" t="s">
        <v>214</v>
      </c>
      <c r="C462" s="304" t="s">
        <v>443</v>
      </c>
      <c r="D462" s="304" t="s">
        <v>445</v>
      </c>
      <c r="E462" s="304">
        <v>2300</v>
      </c>
      <c r="F462" s="304">
        <v>536</v>
      </c>
      <c r="G462" s="304">
        <v>593</v>
      </c>
      <c r="H462" s="304">
        <v>882</v>
      </c>
      <c r="I462" s="304">
        <f t="shared" si="9"/>
        <v>333728.38154237712</v>
      </c>
      <c r="J462" s="73"/>
      <c r="K462" s="48"/>
      <c r="L462" s="48"/>
      <c r="M462" s="14"/>
      <c r="N462" s="48"/>
    </row>
    <row r="463" spans="1:14" x14ac:dyDescent="0.25">
      <c r="A463" s="303" t="s">
        <v>501</v>
      </c>
      <c r="B463" s="303" t="s">
        <v>214</v>
      </c>
      <c r="C463" s="304" t="s">
        <v>443</v>
      </c>
      <c r="D463" s="304" t="s">
        <v>448</v>
      </c>
      <c r="E463" s="304">
        <v>1400</v>
      </c>
      <c r="F463" s="304">
        <v>412</v>
      </c>
      <c r="G463" s="304">
        <v>644</v>
      </c>
      <c r="H463" s="304">
        <v>537</v>
      </c>
      <c r="I463" s="304">
        <f t="shared" si="9"/>
        <v>259705.78749996715</v>
      </c>
      <c r="J463" s="73"/>
      <c r="K463" s="48"/>
      <c r="L463" s="48"/>
      <c r="M463" s="14"/>
      <c r="N463" s="48"/>
    </row>
    <row r="464" spans="1:14" x14ac:dyDescent="0.25">
      <c r="A464" s="303" t="s">
        <v>501</v>
      </c>
      <c r="B464" s="303" t="s">
        <v>214</v>
      </c>
      <c r="C464" s="304" t="s">
        <v>443</v>
      </c>
      <c r="D464" s="304" t="s">
        <v>448</v>
      </c>
      <c r="E464" s="304">
        <v>1795</v>
      </c>
      <c r="F464" s="304">
        <v>320</v>
      </c>
      <c r="G464" s="304">
        <v>518</v>
      </c>
      <c r="H464" s="304">
        <v>564</v>
      </c>
      <c r="I464" s="304">
        <f t="shared" si="9"/>
        <v>288599.42155371228</v>
      </c>
      <c r="J464" s="73"/>
      <c r="K464" s="48"/>
      <c r="L464" s="48"/>
      <c r="M464" s="14"/>
      <c r="N464" s="48"/>
    </row>
    <row r="465" spans="1:14" x14ac:dyDescent="0.25">
      <c r="A465" s="303" t="s">
        <v>501</v>
      </c>
      <c r="B465" s="303" t="s">
        <v>214</v>
      </c>
      <c r="C465" s="304" t="s">
        <v>443</v>
      </c>
      <c r="D465" s="304" t="s">
        <v>448</v>
      </c>
      <c r="E465" s="304">
        <v>1650</v>
      </c>
      <c r="F465" s="304">
        <v>621</v>
      </c>
      <c r="G465" s="304">
        <v>608</v>
      </c>
      <c r="H465" s="304">
        <v>750</v>
      </c>
      <c r="I465" s="304">
        <f t="shared" si="9"/>
        <v>292282.73712020862</v>
      </c>
      <c r="J465" s="73"/>
      <c r="K465" s="48"/>
      <c r="L465" s="48"/>
      <c r="M465" s="14"/>
      <c r="N465" s="48"/>
    </row>
    <row r="466" spans="1:14" x14ac:dyDescent="0.25">
      <c r="A466" s="303" t="s">
        <v>215</v>
      </c>
      <c r="B466" s="303" t="s">
        <v>216</v>
      </c>
      <c r="C466" s="304" t="s">
        <v>446</v>
      </c>
      <c r="D466" s="304" t="s">
        <v>444</v>
      </c>
      <c r="E466" s="304">
        <v>330000</v>
      </c>
      <c r="F466" s="304">
        <v>183143</v>
      </c>
      <c r="G466" s="304">
        <v>208983</v>
      </c>
      <c r="H466" s="304">
        <v>158169</v>
      </c>
      <c r="I466" s="304">
        <f t="shared" si="9"/>
        <v>17997426.713806525</v>
      </c>
      <c r="J466" s="73"/>
      <c r="K466" s="48"/>
      <c r="L466" s="48"/>
      <c r="M466" s="14"/>
      <c r="N466" s="48"/>
    </row>
    <row r="467" spans="1:14" x14ac:dyDescent="0.25">
      <c r="A467" s="303" t="s">
        <v>215</v>
      </c>
      <c r="B467" s="303" t="s">
        <v>216</v>
      </c>
      <c r="C467" s="304" t="s">
        <v>443</v>
      </c>
      <c r="D467" s="304" t="s">
        <v>444</v>
      </c>
      <c r="E467" s="304">
        <v>150000</v>
      </c>
      <c r="F467" s="304">
        <v>81532</v>
      </c>
      <c r="G467" s="304">
        <v>90411</v>
      </c>
      <c r="H467" s="304">
        <v>89269</v>
      </c>
      <c r="I467" s="304">
        <f t="shared" si="9"/>
        <v>8676610.1052089911</v>
      </c>
      <c r="J467" s="73"/>
      <c r="K467" s="48"/>
      <c r="L467" s="48"/>
      <c r="M467" s="14"/>
      <c r="N467" s="48"/>
    </row>
    <row r="468" spans="1:14" x14ac:dyDescent="0.25">
      <c r="A468" s="303" t="s">
        <v>502</v>
      </c>
      <c r="B468" s="303" t="s">
        <v>218</v>
      </c>
      <c r="C468" s="304" t="s">
        <v>446</v>
      </c>
      <c r="D468" s="304" t="s">
        <v>444</v>
      </c>
      <c r="E468" s="304">
        <v>84000</v>
      </c>
      <c r="F468" s="304">
        <v>54851</v>
      </c>
      <c r="G468" s="304">
        <v>55878</v>
      </c>
      <c r="H468" s="304">
        <v>60751</v>
      </c>
      <c r="I468" s="304">
        <f t="shared" si="9"/>
        <v>6838937.6085802773</v>
      </c>
      <c r="J468" s="73"/>
      <c r="K468" s="48"/>
      <c r="L468" s="48"/>
      <c r="M468" s="14"/>
      <c r="N468" s="48"/>
    </row>
    <row r="469" spans="1:14" x14ac:dyDescent="0.25">
      <c r="A469" s="303" t="s">
        <v>502</v>
      </c>
      <c r="B469" s="303" t="s">
        <v>218</v>
      </c>
      <c r="C469" s="304" t="s">
        <v>446</v>
      </c>
      <c r="D469" s="304" t="s">
        <v>444</v>
      </c>
      <c r="E469" s="304">
        <v>100000</v>
      </c>
      <c r="F469" s="304">
        <v>73690</v>
      </c>
      <c r="G469" s="304">
        <v>76090</v>
      </c>
      <c r="H469" s="304">
        <v>84080</v>
      </c>
      <c r="I469" s="304">
        <f t="shared" si="9"/>
        <v>8162365.2734989626</v>
      </c>
      <c r="J469" s="73"/>
      <c r="K469" s="48"/>
      <c r="L469" s="48"/>
      <c r="M469" s="14"/>
      <c r="N469" s="48"/>
    </row>
    <row r="470" spans="1:14" x14ac:dyDescent="0.25">
      <c r="A470" s="303" t="s">
        <v>502</v>
      </c>
      <c r="B470" s="303" t="s">
        <v>218</v>
      </c>
      <c r="C470" s="304" t="s">
        <v>446</v>
      </c>
      <c r="D470" s="304" t="s">
        <v>444</v>
      </c>
      <c r="E470" s="304">
        <v>220000</v>
      </c>
      <c r="F470" s="304">
        <v>166902</v>
      </c>
      <c r="G470" s="304">
        <v>162955</v>
      </c>
      <c r="H470" s="304">
        <v>153001</v>
      </c>
      <c r="I470" s="304">
        <f t="shared" si="9"/>
        <v>14100856.131320627</v>
      </c>
      <c r="J470" s="73"/>
      <c r="K470" s="48"/>
      <c r="L470" s="48"/>
      <c r="M470" s="14"/>
      <c r="N470" s="48"/>
    </row>
    <row r="471" spans="1:14" x14ac:dyDescent="0.25">
      <c r="A471" s="303" t="s">
        <v>502</v>
      </c>
      <c r="B471" s="303" t="s">
        <v>218</v>
      </c>
      <c r="C471" s="304" t="s">
        <v>443</v>
      </c>
      <c r="D471" s="304" t="s">
        <v>444</v>
      </c>
      <c r="E471" s="304">
        <v>120000</v>
      </c>
      <c r="F471" s="304">
        <v>82524</v>
      </c>
      <c r="G471" s="304">
        <v>82372</v>
      </c>
      <c r="H471" s="304">
        <v>84095</v>
      </c>
      <c r="I471" s="304">
        <f t="shared" si="9"/>
        <v>7691380.7803409472</v>
      </c>
      <c r="J471" s="73"/>
      <c r="K471" s="48"/>
      <c r="L471" s="48"/>
      <c r="M471" s="14"/>
      <c r="N471" s="48"/>
    </row>
    <row r="472" spans="1:14" x14ac:dyDescent="0.25">
      <c r="A472" s="303" t="s">
        <v>219</v>
      </c>
      <c r="B472" s="303" t="s">
        <v>220</v>
      </c>
      <c r="C472" s="304" t="s">
        <v>446</v>
      </c>
      <c r="D472" s="304" t="s">
        <v>444</v>
      </c>
      <c r="E472" s="304">
        <v>26000</v>
      </c>
      <c r="F472" s="304">
        <v>5728</v>
      </c>
      <c r="G472" s="304">
        <v>6470</v>
      </c>
      <c r="H472" s="304">
        <v>5951</v>
      </c>
      <c r="I472" s="304">
        <f t="shared" si="9"/>
        <v>2276261.3726017685</v>
      </c>
      <c r="J472" s="73"/>
      <c r="K472" s="48"/>
      <c r="L472" s="48"/>
      <c r="M472" s="14"/>
      <c r="N472" s="48"/>
    </row>
    <row r="473" spans="1:14" x14ac:dyDescent="0.25">
      <c r="A473" s="303" t="s">
        <v>219</v>
      </c>
      <c r="B473" s="303" t="s">
        <v>220</v>
      </c>
      <c r="C473" s="304" t="s">
        <v>443</v>
      </c>
      <c r="D473" s="304" t="s">
        <v>448</v>
      </c>
      <c r="E473" s="304">
        <v>1400</v>
      </c>
      <c r="F473" s="304">
        <v>621</v>
      </c>
      <c r="G473" s="304">
        <v>860</v>
      </c>
      <c r="H473" s="304">
        <v>787</v>
      </c>
      <c r="I473" s="304">
        <f t="shared" si="9"/>
        <v>279634.98381780443</v>
      </c>
      <c r="J473" s="73"/>
      <c r="K473" s="48"/>
      <c r="L473" s="48"/>
      <c r="M473" s="14"/>
      <c r="N473" s="48"/>
    </row>
    <row r="474" spans="1:14" x14ac:dyDescent="0.25">
      <c r="A474" s="303" t="s">
        <v>219</v>
      </c>
      <c r="B474" s="303" t="s">
        <v>220</v>
      </c>
      <c r="C474" s="304" t="s">
        <v>446</v>
      </c>
      <c r="D474" s="304" t="s">
        <v>444</v>
      </c>
      <c r="E474" s="304">
        <v>63000</v>
      </c>
      <c r="F474" s="304">
        <v>56474</v>
      </c>
      <c r="G474" s="304">
        <v>60552</v>
      </c>
      <c r="H474" s="304">
        <v>24688</v>
      </c>
      <c r="I474" s="304">
        <f t="shared" si="9"/>
        <v>6086569.7357435795</v>
      </c>
      <c r="J474" s="73"/>
      <c r="K474" s="203"/>
      <c r="L474" s="203"/>
      <c r="M474" s="14"/>
      <c r="N474" s="48"/>
    </row>
    <row r="475" spans="1:14" x14ac:dyDescent="0.25">
      <c r="A475" s="303" t="s">
        <v>219</v>
      </c>
      <c r="B475" s="303" t="s">
        <v>220</v>
      </c>
      <c r="C475" s="304" t="s">
        <v>443</v>
      </c>
      <c r="D475" s="304" t="s">
        <v>448</v>
      </c>
      <c r="E475" s="304">
        <v>2000</v>
      </c>
      <c r="F475" s="304">
        <v>282</v>
      </c>
      <c r="G475" s="304">
        <v>495</v>
      </c>
      <c r="H475" s="304">
        <v>538</v>
      </c>
      <c r="I475" s="304">
        <f t="shared" si="9"/>
        <v>304560.46190548432</v>
      </c>
      <c r="J475" s="73"/>
      <c r="K475" s="48"/>
      <c r="L475" s="48"/>
      <c r="M475" s="14"/>
      <c r="N475" s="48"/>
    </row>
    <row r="476" spans="1:14" x14ac:dyDescent="0.25">
      <c r="A476" s="303" t="s">
        <v>219</v>
      </c>
      <c r="B476" s="303" t="s">
        <v>220</v>
      </c>
      <c r="C476" s="304" t="s">
        <v>443</v>
      </c>
      <c r="D476" s="304" t="s">
        <v>448</v>
      </c>
      <c r="E476" s="304">
        <v>4000</v>
      </c>
      <c r="F476" s="304">
        <v>933</v>
      </c>
      <c r="G476" s="304">
        <v>1396</v>
      </c>
      <c r="H476" s="304">
        <v>1285</v>
      </c>
      <c r="I476" s="304">
        <f t="shared" si="9"/>
        <v>530606.5910611914</v>
      </c>
      <c r="J476" s="73"/>
      <c r="K476" s="48"/>
      <c r="L476" s="48"/>
      <c r="M476" s="14"/>
      <c r="N476" s="48"/>
    </row>
    <row r="477" spans="1:14" x14ac:dyDescent="0.25">
      <c r="A477" s="303" t="s">
        <v>219</v>
      </c>
      <c r="B477" s="303" t="s">
        <v>220</v>
      </c>
      <c r="C477" s="304" t="s">
        <v>446</v>
      </c>
      <c r="D477" s="304" t="s">
        <v>444</v>
      </c>
      <c r="E477" s="304">
        <v>42500</v>
      </c>
      <c r="F477" s="304">
        <v>15240</v>
      </c>
      <c r="G477" s="304">
        <v>20979</v>
      </c>
      <c r="H477" s="304">
        <v>16430</v>
      </c>
      <c r="I477" s="304">
        <f t="shared" si="9"/>
        <v>3728266.0878691943</v>
      </c>
      <c r="J477" s="73"/>
      <c r="K477" s="48"/>
      <c r="L477" s="48"/>
      <c r="M477" s="14"/>
      <c r="N477" s="48"/>
    </row>
    <row r="478" spans="1:14" x14ac:dyDescent="0.25">
      <c r="A478" s="303" t="s">
        <v>219</v>
      </c>
      <c r="B478" s="303" t="s">
        <v>220</v>
      </c>
      <c r="C478" s="304" t="s">
        <v>446</v>
      </c>
      <c r="D478" s="304" t="s">
        <v>444</v>
      </c>
      <c r="E478" s="304">
        <v>24000</v>
      </c>
      <c r="F478" s="304">
        <v>4875</v>
      </c>
      <c r="G478" s="304">
        <v>5839</v>
      </c>
      <c r="H478" s="304">
        <v>4653</v>
      </c>
      <c r="I478" s="304">
        <f t="shared" si="9"/>
        <v>2139007.871794288</v>
      </c>
      <c r="J478" s="73"/>
      <c r="K478" s="48"/>
      <c r="L478" s="48"/>
      <c r="M478" s="14"/>
      <c r="N478" s="48"/>
    </row>
    <row r="479" spans="1:14" x14ac:dyDescent="0.25">
      <c r="A479" s="303" t="s">
        <v>219</v>
      </c>
      <c r="B479" s="303" t="s">
        <v>220</v>
      </c>
      <c r="C479" s="304" t="s">
        <v>443</v>
      </c>
      <c r="D479" s="304" t="s">
        <v>448</v>
      </c>
      <c r="E479" s="304">
        <v>900</v>
      </c>
      <c r="F479" s="304">
        <v>161</v>
      </c>
      <c r="G479" s="304">
        <v>280</v>
      </c>
      <c r="H479" s="304">
        <v>265</v>
      </c>
      <c r="I479" s="304">
        <f t="shared" si="9"/>
        <v>173329.64565706789</v>
      </c>
      <c r="J479" s="73"/>
      <c r="K479" s="48"/>
      <c r="L479" s="48"/>
      <c r="M479" s="14"/>
      <c r="N479" s="48"/>
    </row>
    <row r="480" spans="1:14" x14ac:dyDescent="0.25">
      <c r="A480" s="303" t="s">
        <v>219</v>
      </c>
      <c r="B480" s="303" t="s">
        <v>220</v>
      </c>
      <c r="C480" s="304" t="s">
        <v>443</v>
      </c>
      <c r="D480" s="304" t="s">
        <v>448</v>
      </c>
      <c r="E480" s="304">
        <v>4000</v>
      </c>
      <c r="F480" s="304">
        <v>1007</v>
      </c>
      <c r="G480" s="304">
        <v>1598</v>
      </c>
      <c r="H480" s="304">
        <v>1075</v>
      </c>
      <c r="I480" s="304">
        <f t="shared" si="9"/>
        <v>545154.87725994876</v>
      </c>
      <c r="J480" s="73"/>
      <c r="K480" s="48"/>
      <c r="L480" s="48"/>
      <c r="M480" s="14"/>
      <c r="N480" s="48"/>
    </row>
    <row r="481" spans="1:14" ht="15.75" thickBot="1" x14ac:dyDescent="0.3">
      <c r="A481" s="303" t="s">
        <v>221</v>
      </c>
      <c r="B481" s="303" t="s">
        <v>222</v>
      </c>
      <c r="C481" s="304" t="s">
        <v>443</v>
      </c>
      <c r="D481" s="304" t="s">
        <v>444</v>
      </c>
      <c r="E481" s="304">
        <v>100000</v>
      </c>
      <c r="F481" s="304">
        <v>59399</v>
      </c>
      <c r="G481" s="304">
        <v>56666</v>
      </c>
      <c r="H481" s="304">
        <v>48083</v>
      </c>
      <c r="I481" s="304">
        <f t="shared" si="9"/>
        <v>6412052.7702424442</v>
      </c>
      <c r="J481" s="73"/>
      <c r="K481" s="48"/>
      <c r="L481" s="48"/>
      <c r="M481" s="14"/>
      <c r="N481" s="48"/>
    </row>
    <row r="482" spans="1:14" x14ac:dyDescent="0.25">
      <c r="A482" s="71"/>
      <c r="B482" s="71"/>
      <c r="C482" s="71"/>
      <c r="D482" s="71"/>
      <c r="E482" s="71"/>
      <c r="F482" s="71"/>
      <c r="G482" s="71"/>
      <c r="H482" s="71"/>
      <c r="I482" s="71"/>
      <c r="J482" s="48"/>
      <c r="K482" s="48"/>
      <c r="L482" s="48"/>
      <c r="M482" s="14"/>
      <c r="N482" s="48"/>
    </row>
  </sheetData>
  <mergeCells count="1">
    <mergeCell ref="K1:M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0A02E-BE56-4610-BBC1-A30BC62CAA33}">
  <sheetPr codeName="Ark13"/>
  <dimension ref="A1:N482"/>
  <sheetViews>
    <sheetView workbookViewId="0"/>
  </sheetViews>
  <sheetFormatPr defaultRowHeight="15" x14ac:dyDescent="0.25"/>
  <cols>
    <col min="1" max="1" width="40.28515625" bestFit="1" customWidth="1"/>
    <col min="2" max="2" width="10.85546875" bestFit="1" customWidth="1"/>
    <col min="3" max="3" width="9.42578125" customWidth="1"/>
    <col min="4" max="4" width="14" customWidth="1"/>
    <col min="5" max="5" width="11" customWidth="1"/>
    <col min="6" max="6" width="12.5703125" bestFit="1" customWidth="1"/>
    <col min="7" max="7" width="10.42578125" customWidth="1"/>
    <col min="8" max="8" width="11.140625" customWidth="1"/>
    <col min="9" max="9" width="18.42578125" bestFit="1" customWidth="1"/>
    <col min="10" max="10" width="18.42578125" customWidth="1"/>
    <col min="11" max="11" width="46.28515625" customWidth="1"/>
    <col min="12" max="12" width="17" customWidth="1"/>
    <col min="13" max="13" width="18.85546875" style="182" bestFit="1" customWidth="1"/>
    <col min="14" max="14" width="10" bestFit="1" customWidth="1"/>
  </cols>
  <sheetData>
    <row r="1" spans="1:14" ht="60.75" thickBot="1" x14ac:dyDescent="0.3">
      <c r="A1" s="297" t="s">
        <v>0</v>
      </c>
      <c r="B1" s="298" t="s">
        <v>1</v>
      </c>
      <c r="C1" s="299" t="s">
        <v>320</v>
      </c>
      <c r="D1" s="297" t="s">
        <v>321</v>
      </c>
      <c r="E1" s="300" t="s">
        <v>322</v>
      </c>
      <c r="F1" s="301" t="s">
        <v>323</v>
      </c>
      <c r="G1" s="301" t="s">
        <v>324</v>
      </c>
      <c r="H1" s="302" t="s">
        <v>325</v>
      </c>
      <c r="I1" s="178" t="s">
        <v>326</v>
      </c>
      <c r="J1" s="179"/>
      <c r="K1" s="180" t="s">
        <v>327</v>
      </c>
      <c r="L1" s="180"/>
      <c r="M1" s="181"/>
      <c r="N1" s="48"/>
    </row>
    <row r="2" spans="1:14" ht="15.75" thickBot="1" x14ac:dyDescent="0.3">
      <c r="A2" s="303" t="s">
        <v>21</v>
      </c>
      <c r="B2" s="303" t="s">
        <v>22</v>
      </c>
      <c r="C2" s="304" t="s">
        <v>443</v>
      </c>
      <c r="D2" s="304" t="s">
        <v>444</v>
      </c>
      <c r="E2" s="304">
        <v>16210</v>
      </c>
      <c r="F2" s="304">
        <v>14883</v>
      </c>
      <c r="G2" s="304">
        <v>18400</v>
      </c>
      <c r="H2" s="304">
        <v>25748</v>
      </c>
      <c r="I2" s="304">
        <f>IF(D2="M",(AVERAGE(E2,MAX(F2:H2))^0.519)*3203.7913,IF(OR(D2="MB",D2="MK",D2="MBK",D2="MBN"),(AVERAGE(E2,MAX(F2:H2))^0.6289)*3234.9142,IF(AND(C2="Landzone og sommerhusområde",OR(D2="MBNKD",D2="MBNK/MBND")),(AVERAGE(E2,MAX(F2:H2))^0.736)*1583.1635,IF(AND(C2="Byzone",OR(D2="MBNKD",D2="MBNK/MBND")),(AVERAGE(E2,MAX(F2:H2))^0.736)*1812.7138,0))))</f>
        <v>2400818.7205296028</v>
      </c>
      <c r="J2" s="305"/>
      <c r="K2" s="306" t="s">
        <v>0</v>
      </c>
      <c r="L2" s="307" t="s">
        <v>1</v>
      </c>
      <c r="M2" s="308" t="s">
        <v>326</v>
      </c>
      <c r="N2" s="48"/>
    </row>
    <row r="3" spans="1:14" x14ac:dyDescent="0.25">
      <c r="A3" s="303" t="s">
        <v>21</v>
      </c>
      <c r="B3" s="303" t="s">
        <v>22</v>
      </c>
      <c r="C3" s="304" t="s">
        <v>443</v>
      </c>
      <c r="D3" s="304" t="s">
        <v>444</v>
      </c>
      <c r="E3" s="304">
        <v>4350</v>
      </c>
      <c r="F3" s="304">
        <v>2453</v>
      </c>
      <c r="G3" s="304">
        <v>4554</v>
      </c>
      <c r="H3" s="304">
        <v>3553</v>
      </c>
      <c r="I3" s="304">
        <f t="shared" ref="I3:I66" si="0">IF(D3="M",(AVERAGE(E3,MAX(F3:H3))^0.519)*3203.7913,IF(OR(D3="MB",D3="MK",D3="MBK",D3="MBN"),(AVERAGE(E3,MAX(F3:H3))^0.6289)*3234.9142,IF(AND(C3="Landzone og sommerhusområde",OR(D3="MBNKD",D3="MBNK/MBND")),(AVERAGE(E3,MAX(F3:H3))^0.736)*1583.1635,IF(AND(C3="Byzone",OR(D3="MBNKD",D3="MBNK/MBND")),(AVERAGE(E3,MAX(F3:H3))^0.736)*1812.7138,0))))</f>
        <v>767118.33530925761</v>
      </c>
      <c r="J3" s="305"/>
      <c r="K3" s="309" t="s">
        <v>19</v>
      </c>
      <c r="L3" s="309" t="s">
        <v>20</v>
      </c>
      <c r="M3" s="161">
        <f>SUMIF(B:B,L3,I:I)</f>
        <v>0</v>
      </c>
      <c r="N3" s="48"/>
    </row>
    <row r="4" spans="1:14" x14ac:dyDescent="0.25">
      <c r="A4" s="303" t="s">
        <v>21</v>
      </c>
      <c r="B4" s="303" t="s">
        <v>22</v>
      </c>
      <c r="C4" s="304" t="s">
        <v>443</v>
      </c>
      <c r="D4" s="304" t="s">
        <v>444</v>
      </c>
      <c r="E4" s="304">
        <v>7340</v>
      </c>
      <c r="F4" s="304">
        <v>2395</v>
      </c>
      <c r="G4" s="304">
        <v>3595</v>
      </c>
      <c r="H4" s="304">
        <v>4175</v>
      </c>
      <c r="I4" s="304">
        <f t="shared" si="0"/>
        <v>926953.5101032668</v>
      </c>
      <c r="J4" s="305"/>
      <c r="K4" s="304" t="s">
        <v>21</v>
      </c>
      <c r="L4" s="304" t="s">
        <v>22</v>
      </c>
      <c r="M4" s="88">
        <f t="shared" ref="M4:M67" si="1">SUMIF(B:B,L4,I:I)</f>
        <v>4094890.5659421273</v>
      </c>
      <c r="N4" s="203"/>
    </row>
    <row r="5" spans="1:14" x14ac:dyDescent="0.25">
      <c r="A5" s="303" t="s">
        <v>23</v>
      </c>
      <c r="B5" s="303" t="s">
        <v>24</v>
      </c>
      <c r="C5" s="304" t="s">
        <v>443</v>
      </c>
      <c r="D5" s="304" t="s">
        <v>445</v>
      </c>
      <c r="E5" s="304">
        <v>1366</v>
      </c>
      <c r="F5" s="304">
        <v>94</v>
      </c>
      <c r="G5" s="304">
        <v>0</v>
      </c>
      <c r="H5" s="304">
        <v>0</v>
      </c>
      <c r="I5" s="304">
        <f t="shared" si="0"/>
        <v>204459.13214751572</v>
      </c>
      <c r="J5" s="305"/>
      <c r="K5" s="304" t="s">
        <v>23</v>
      </c>
      <c r="L5" s="304" t="s">
        <v>24</v>
      </c>
      <c r="M5" s="88">
        <f t="shared" si="1"/>
        <v>6570443.7115863515</v>
      </c>
      <c r="N5" s="48"/>
    </row>
    <row r="6" spans="1:14" x14ac:dyDescent="0.25">
      <c r="A6" s="303" t="s">
        <v>23</v>
      </c>
      <c r="B6" s="303" t="s">
        <v>24</v>
      </c>
      <c r="C6" s="304" t="s">
        <v>443</v>
      </c>
      <c r="D6" s="304" t="s">
        <v>444</v>
      </c>
      <c r="E6" s="304">
        <v>62000</v>
      </c>
      <c r="F6" s="304">
        <v>76861</v>
      </c>
      <c r="G6" s="304">
        <v>95845</v>
      </c>
      <c r="H6" s="304">
        <v>67529</v>
      </c>
      <c r="I6" s="304">
        <f t="shared" si="0"/>
        <v>6365984.5794388354</v>
      </c>
      <c r="J6" s="305"/>
      <c r="K6" s="304" t="s">
        <v>25</v>
      </c>
      <c r="L6" s="304" t="s">
        <v>26</v>
      </c>
      <c r="M6" s="88">
        <f t="shared" si="1"/>
        <v>13237366.608642645</v>
      </c>
      <c r="N6" s="48"/>
    </row>
    <row r="7" spans="1:14" x14ac:dyDescent="0.25">
      <c r="A7" s="303" t="s">
        <v>25</v>
      </c>
      <c r="B7" s="303" t="s">
        <v>26</v>
      </c>
      <c r="C7" s="304" t="s">
        <v>443</v>
      </c>
      <c r="D7" s="304" t="s">
        <v>448</v>
      </c>
      <c r="E7" s="304">
        <v>15000</v>
      </c>
      <c r="F7" s="304">
        <v>14871</v>
      </c>
      <c r="G7" s="304">
        <v>16010</v>
      </c>
      <c r="H7" s="304">
        <v>1890</v>
      </c>
      <c r="I7" s="304">
        <f t="shared" si="0"/>
        <v>1921821.2525997604</v>
      </c>
      <c r="J7" s="305"/>
      <c r="K7" s="304" t="s">
        <v>27</v>
      </c>
      <c r="L7" s="304" t="s">
        <v>28</v>
      </c>
      <c r="M7" s="88">
        <f t="shared" si="1"/>
        <v>10394316.232195869</v>
      </c>
      <c r="N7" s="48"/>
    </row>
    <row r="8" spans="1:14" x14ac:dyDescent="0.25">
      <c r="A8" s="303" t="s">
        <v>25</v>
      </c>
      <c r="B8" s="303" t="s">
        <v>26</v>
      </c>
      <c r="C8" s="304" t="s">
        <v>446</v>
      </c>
      <c r="D8" s="304" t="s">
        <v>444</v>
      </c>
      <c r="E8" s="304">
        <v>83000</v>
      </c>
      <c r="F8" s="304">
        <v>45669</v>
      </c>
      <c r="G8" s="304">
        <v>73531</v>
      </c>
      <c r="H8" s="304">
        <v>47152</v>
      </c>
      <c r="I8" s="304">
        <f t="shared" si="0"/>
        <v>7244310.0418067407</v>
      </c>
      <c r="J8" s="305"/>
      <c r="K8" s="304" t="s">
        <v>29</v>
      </c>
      <c r="L8" s="304" t="s">
        <v>30</v>
      </c>
      <c r="M8" s="88">
        <f t="shared" si="1"/>
        <v>0</v>
      </c>
      <c r="N8" s="48"/>
    </row>
    <row r="9" spans="1:14" x14ac:dyDescent="0.25">
      <c r="A9" s="303" t="s">
        <v>25</v>
      </c>
      <c r="B9" s="303" t="s">
        <v>26</v>
      </c>
      <c r="C9" s="304" t="s">
        <v>443</v>
      </c>
      <c r="D9" s="304" t="s">
        <v>447</v>
      </c>
      <c r="E9" s="304">
        <v>10500</v>
      </c>
      <c r="F9" s="304">
        <v>1920</v>
      </c>
      <c r="G9" s="304">
        <v>2317</v>
      </c>
      <c r="H9" s="304">
        <v>1257</v>
      </c>
      <c r="I9" s="304">
        <f t="shared" si="0"/>
        <v>801552.28986078233</v>
      </c>
      <c r="J9" s="305"/>
      <c r="K9" s="304" t="s">
        <v>31</v>
      </c>
      <c r="L9" s="304" t="s">
        <v>32</v>
      </c>
      <c r="M9" s="88">
        <f t="shared" si="1"/>
        <v>1835981.5048812681</v>
      </c>
      <c r="N9" s="48"/>
    </row>
    <row r="10" spans="1:14" x14ac:dyDescent="0.25">
      <c r="A10" s="303" t="s">
        <v>25</v>
      </c>
      <c r="B10" s="303" t="s">
        <v>26</v>
      </c>
      <c r="C10" s="304" t="s">
        <v>443</v>
      </c>
      <c r="D10" s="304" t="s">
        <v>444</v>
      </c>
      <c r="E10" s="304">
        <v>19000</v>
      </c>
      <c r="F10" s="304">
        <v>6128</v>
      </c>
      <c r="G10" s="304">
        <v>7479</v>
      </c>
      <c r="H10" s="304">
        <v>6197</v>
      </c>
      <c r="I10" s="304">
        <f t="shared" si="0"/>
        <v>1710894.5953702983</v>
      </c>
      <c r="J10" s="305"/>
      <c r="K10" s="304" t="s">
        <v>33</v>
      </c>
      <c r="L10" s="304" t="s">
        <v>34</v>
      </c>
      <c r="M10" s="88">
        <f t="shared" si="1"/>
        <v>63656208.007070474</v>
      </c>
      <c r="N10" s="48"/>
    </row>
    <row r="11" spans="1:14" x14ac:dyDescent="0.25">
      <c r="A11" s="303" t="s">
        <v>25</v>
      </c>
      <c r="B11" s="303" t="s">
        <v>26</v>
      </c>
      <c r="C11" s="304" t="s">
        <v>443</v>
      </c>
      <c r="D11" s="304" t="s">
        <v>445</v>
      </c>
      <c r="E11" s="304">
        <v>1500</v>
      </c>
      <c r="F11" s="304">
        <v>472</v>
      </c>
      <c r="G11" s="304">
        <v>605</v>
      </c>
      <c r="H11" s="304">
        <v>732</v>
      </c>
      <c r="I11" s="304">
        <f t="shared" si="0"/>
        <v>267016.91767878016</v>
      </c>
      <c r="J11" s="305"/>
      <c r="K11" s="304" t="s">
        <v>35</v>
      </c>
      <c r="L11" s="304" t="s">
        <v>36</v>
      </c>
      <c r="M11" s="88">
        <f t="shared" si="1"/>
        <v>23456410.585237827</v>
      </c>
      <c r="N11" s="48"/>
    </row>
    <row r="12" spans="1:14" x14ac:dyDescent="0.25">
      <c r="A12" s="303" t="s">
        <v>25</v>
      </c>
      <c r="B12" s="303" t="s">
        <v>26</v>
      </c>
      <c r="C12" s="304" t="s">
        <v>443</v>
      </c>
      <c r="D12" s="304" t="s">
        <v>444</v>
      </c>
      <c r="E12" s="304">
        <v>4500</v>
      </c>
      <c r="F12" s="304">
        <v>2079</v>
      </c>
      <c r="G12" s="304">
        <v>3212</v>
      </c>
      <c r="H12" s="304">
        <v>4203</v>
      </c>
      <c r="I12" s="304">
        <f t="shared" si="0"/>
        <v>754334.66109919362</v>
      </c>
      <c r="J12" s="305"/>
      <c r="K12" s="304" t="s">
        <v>37</v>
      </c>
      <c r="L12" s="304" t="s">
        <v>38</v>
      </c>
      <c r="M12" s="88">
        <f t="shared" si="1"/>
        <v>10553222.235489201</v>
      </c>
      <c r="N12" s="48"/>
    </row>
    <row r="13" spans="1:14" x14ac:dyDescent="0.25">
      <c r="A13" s="303" t="s">
        <v>25</v>
      </c>
      <c r="B13" s="303" t="s">
        <v>26</v>
      </c>
      <c r="C13" s="304" t="s">
        <v>443</v>
      </c>
      <c r="D13" s="304" t="s">
        <v>449</v>
      </c>
      <c r="E13" s="304">
        <v>4650</v>
      </c>
      <c r="F13" s="304">
        <v>1189</v>
      </c>
      <c r="G13" s="304">
        <v>1620</v>
      </c>
      <c r="H13" s="304">
        <v>2138</v>
      </c>
      <c r="I13" s="304">
        <f t="shared" si="0"/>
        <v>537436.85022708797</v>
      </c>
      <c r="J13" s="305"/>
      <c r="K13" s="304" t="s">
        <v>39</v>
      </c>
      <c r="L13" s="304" t="s">
        <v>40</v>
      </c>
      <c r="M13" s="88">
        <f t="shared" si="1"/>
        <v>0</v>
      </c>
      <c r="N13" s="48"/>
    </row>
    <row r="14" spans="1:14" x14ac:dyDescent="0.25">
      <c r="A14" s="303" t="s">
        <v>27</v>
      </c>
      <c r="B14" s="303" t="s">
        <v>28</v>
      </c>
      <c r="C14" s="304" t="s">
        <v>443</v>
      </c>
      <c r="D14" s="304" t="s">
        <v>444</v>
      </c>
      <c r="E14" s="304">
        <v>6000</v>
      </c>
      <c r="F14" s="304">
        <v>5516</v>
      </c>
      <c r="G14" s="304">
        <v>4365</v>
      </c>
      <c r="H14" s="304">
        <v>5673</v>
      </c>
      <c r="I14" s="304">
        <f t="shared" si="0"/>
        <v>936297.79614605673</v>
      </c>
      <c r="J14" s="305"/>
      <c r="K14" s="304" t="s">
        <v>41</v>
      </c>
      <c r="L14" s="304" t="s">
        <v>42</v>
      </c>
      <c r="M14" s="88">
        <f t="shared" si="1"/>
        <v>5528008.1575319394</v>
      </c>
      <c r="N14" s="48"/>
    </row>
    <row r="15" spans="1:14" x14ac:dyDescent="0.25">
      <c r="A15" s="303" t="s">
        <v>27</v>
      </c>
      <c r="B15" s="303" t="s">
        <v>28</v>
      </c>
      <c r="C15" s="304" t="s">
        <v>446</v>
      </c>
      <c r="D15" s="304" t="s">
        <v>444</v>
      </c>
      <c r="E15" s="304">
        <v>35000</v>
      </c>
      <c r="F15" s="304">
        <v>25470</v>
      </c>
      <c r="G15" s="304">
        <v>19894</v>
      </c>
      <c r="H15" s="304">
        <v>10296</v>
      </c>
      <c r="I15" s="304">
        <f t="shared" si="0"/>
        <v>3597365.6307107923</v>
      </c>
      <c r="J15" s="305"/>
      <c r="K15" s="304" t="s">
        <v>43</v>
      </c>
      <c r="L15" s="304" t="s">
        <v>44</v>
      </c>
      <c r="M15" s="88">
        <f t="shared" si="1"/>
        <v>4522133.2733905222</v>
      </c>
      <c r="N15" s="48"/>
    </row>
    <row r="16" spans="1:14" x14ac:dyDescent="0.25">
      <c r="A16" s="303" t="s">
        <v>27</v>
      </c>
      <c r="B16" s="303" t="s">
        <v>28</v>
      </c>
      <c r="C16" s="304" t="s">
        <v>446</v>
      </c>
      <c r="D16" s="304" t="s">
        <v>444</v>
      </c>
      <c r="E16" s="304">
        <v>7800</v>
      </c>
      <c r="F16" s="304">
        <v>2590</v>
      </c>
      <c r="G16" s="304">
        <v>2302</v>
      </c>
      <c r="H16" s="304">
        <v>3213</v>
      </c>
      <c r="I16" s="304">
        <f t="shared" si="0"/>
        <v>1027102.330554511</v>
      </c>
      <c r="J16" s="305"/>
      <c r="K16" s="304" t="s">
        <v>45</v>
      </c>
      <c r="L16" s="304" t="s">
        <v>46</v>
      </c>
      <c r="M16" s="88">
        <f t="shared" si="1"/>
        <v>18966526.134022694</v>
      </c>
      <c r="N16" s="48"/>
    </row>
    <row r="17" spans="1:14" x14ac:dyDescent="0.25">
      <c r="A17" s="303" t="s">
        <v>27</v>
      </c>
      <c r="B17" s="303" t="s">
        <v>28</v>
      </c>
      <c r="C17" s="304" t="s">
        <v>446</v>
      </c>
      <c r="D17" s="304" t="s">
        <v>444</v>
      </c>
      <c r="E17" s="304">
        <v>3200</v>
      </c>
      <c r="F17" s="304">
        <v>2174</v>
      </c>
      <c r="G17" s="304">
        <v>1330</v>
      </c>
      <c r="H17" s="304">
        <v>2172</v>
      </c>
      <c r="I17" s="304">
        <f t="shared" si="0"/>
        <v>605717.67056488059</v>
      </c>
      <c r="J17" s="305"/>
      <c r="K17" s="304" t="s">
        <v>47</v>
      </c>
      <c r="L17" s="304" t="s">
        <v>48</v>
      </c>
      <c r="M17" s="88">
        <f t="shared" si="1"/>
        <v>38342238.902836524</v>
      </c>
      <c r="N17" s="48"/>
    </row>
    <row r="18" spans="1:14" x14ac:dyDescent="0.25">
      <c r="A18" s="303" t="s">
        <v>27</v>
      </c>
      <c r="B18" s="303" t="s">
        <v>28</v>
      </c>
      <c r="C18" s="304" t="s">
        <v>446</v>
      </c>
      <c r="D18" s="304" t="s">
        <v>444</v>
      </c>
      <c r="E18" s="304">
        <v>8000</v>
      </c>
      <c r="F18" s="304">
        <v>4753</v>
      </c>
      <c r="G18" s="304">
        <v>2038</v>
      </c>
      <c r="H18" s="304">
        <v>4809</v>
      </c>
      <c r="I18" s="304">
        <f t="shared" si="0"/>
        <v>1147895.5446999113</v>
      </c>
      <c r="J18" s="305"/>
      <c r="K18" s="304" t="s">
        <v>49</v>
      </c>
      <c r="L18" s="304" t="s">
        <v>50</v>
      </c>
      <c r="M18" s="88">
        <f t="shared" si="1"/>
        <v>9777652.2760170698</v>
      </c>
      <c r="N18" s="48"/>
    </row>
    <row r="19" spans="1:14" x14ac:dyDescent="0.25">
      <c r="A19" s="303" t="s">
        <v>27</v>
      </c>
      <c r="B19" s="303" t="s">
        <v>28</v>
      </c>
      <c r="C19" s="304" t="s">
        <v>443</v>
      </c>
      <c r="D19" s="304" t="s">
        <v>444</v>
      </c>
      <c r="E19" s="304">
        <v>6500</v>
      </c>
      <c r="F19" s="304">
        <v>5045</v>
      </c>
      <c r="G19" s="304">
        <v>3107</v>
      </c>
      <c r="H19" s="304">
        <v>5650</v>
      </c>
      <c r="I19" s="304">
        <f t="shared" si="0"/>
        <v>964308.13906649675</v>
      </c>
      <c r="J19" s="305"/>
      <c r="K19" s="304" t="s">
        <v>51</v>
      </c>
      <c r="L19" s="304" t="s">
        <v>52</v>
      </c>
      <c r="M19" s="88">
        <f t="shared" si="1"/>
        <v>0</v>
      </c>
      <c r="N19" s="48"/>
    </row>
    <row r="20" spans="1:14" x14ac:dyDescent="0.25">
      <c r="A20" s="303" t="s">
        <v>27</v>
      </c>
      <c r="B20" s="303" t="s">
        <v>28</v>
      </c>
      <c r="C20" s="304" t="s">
        <v>446</v>
      </c>
      <c r="D20" s="304" t="s">
        <v>444</v>
      </c>
      <c r="E20" s="304">
        <v>6000</v>
      </c>
      <c r="F20" s="304">
        <v>5245</v>
      </c>
      <c r="G20" s="304">
        <v>3940</v>
      </c>
      <c r="H20" s="304">
        <v>5527</v>
      </c>
      <c r="I20" s="304">
        <f t="shared" si="0"/>
        <v>1062170.7947246793</v>
      </c>
      <c r="J20" s="305"/>
      <c r="K20" s="304" t="s">
        <v>53</v>
      </c>
      <c r="L20" s="304" t="s">
        <v>54</v>
      </c>
      <c r="M20" s="88">
        <f t="shared" si="1"/>
        <v>22290341.631627303</v>
      </c>
      <c r="N20" s="48"/>
    </row>
    <row r="21" spans="1:14" x14ac:dyDescent="0.25">
      <c r="A21" s="303" t="s">
        <v>27</v>
      </c>
      <c r="B21" s="303" t="s">
        <v>28</v>
      </c>
      <c r="C21" s="304" t="s">
        <v>443</v>
      </c>
      <c r="D21" s="304" t="s">
        <v>444</v>
      </c>
      <c r="E21" s="304">
        <v>9130</v>
      </c>
      <c r="F21" s="304">
        <v>4571</v>
      </c>
      <c r="G21" s="304">
        <v>2779</v>
      </c>
      <c r="H21" s="304">
        <v>4562</v>
      </c>
      <c r="I21" s="304">
        <f t="shared" si="0"/>
        <v>1053458.3257285419</v>
      </c>
      <c r="J21" s="305"/>
      <c r="K21" s="304" t="s">
        <v>55</v>
      </c>
      <c r="L21" s="304" t="s">
        <v>56</v>
      </c>
      <c r="M21" s="88">
        <f t="shared" si="1"/>
        <v>11440194.208783671</v>
      </c>
      <c r="N21" s="48"/>
    </row>
    <row r="22" spans="1:14" x14ac:dyDescent="0.25">
      <c r="A22" s="303" t="s">
        <v>450</v>
      </c>
      <c r="B22" s="303" t="s">
        <v>32</v>
      </c>
      <c r="C22" s="304" t="s">
        <v>443</v>
      </c>
      <c r="D22" s="304" t="s">
        <v>444</v>
      </c>
      <c r="E22" s="304">
        <v>5000</v>
      </c>
      <c r="F22" s="304">
        <v>2525</v>
      </c>
      <c r="G22" s="304">
        <v>2504</v>
      </c>
      <c r="H22" s="304">
        <v>2250</v>
      </c>
      <c r="I22" s="304">
        <f t="shared" si="0"/>
        <v>677760.85029145994</v>
      </c>
      <c r="J22" s="305"/>
      <c r="K22" s="304" t="s">
        <v>57</v>
      </c>
      <c r="L22" s="304" t="s">
        <v>58</v>
      </c>
      <c r="M22" s="88">
        <f t="shared" si="1"/>
        <v>11102442.568827089</v>
      </c>
      <c r="N22" s="48"/>
    </row>
    <row r="23" spans="1:14" x14ac:dyDescent="0.25">
      <c r="A23" s="303" t="s">
        <v>450</v>
      </c>
      <c r="B23" s="303" t="s">
        <v>32</v>
      </c>
      <c r="C23" s="304" t="s">
        <v>443</v>
      </c>
      <c r="D23" s="304" t="s">
        <v>449</v>
      </c>
      <c r="E23" s="304">
        <v>300</v>
      </c>
      <c r="F23" s="304">
        <v>75</v>
      </c>
      <c r="G23" s="304">
        <v>75</v>
      </c>
      <c r="H23" s="304">
        <v>75</v>
      </c>
      <c r="I23" s="304">
        <f t="shared" si="0"/>
        <v>86966.755163476759</v>
      </c>
      <c r="J23" s="305"/>
      <c r="K23" s="304" t="s">
        <v>59</v>
      </c>
      <c r="L23" s="304" t="s">
        <v>60</v>
      </c>
      <c r="M23" s="88">
        <f t="shared" si="1"/>
        <v>4324084.8615319328</v>
      </c>
      <c r="N23" s="48"/>
    </row>
    <row r="24" spans="1:14" x14ac:dyDescent="0.25">
      <c r="A24" s="303" t="s">
        <v>450</v>
      </c>
      <c r="B24" s="303" t="s">
        <v>32</v>
      </c>
      <c r="C24" s="304" t="s">
        <v>443</v>
      </c>
      <c r="D24" s="304" t="s">
        <v>444</v>
      </c>
      <c r="E24" s="304">
        <v>2000</v>
      </c>
      <c r="F24" s="304">
        <v>1345</v>
      </c>
      <c r="G24" s="304">
        <v>1201</v>
      </c>
      <c r="H24" s="304">
        <v>1250</v>
      </c>
      <c r="I24" s="304">
        <f t="shared" si="0"/>
        <v>373184.19098871807</v>
      </c>
      <c r="J24" s="305"/>
      <c r="K24" s="304" t="s">
        <v>61</v>
      </c>
      <c r="L24" s="304" t="s">
        <v>62</v>
      </c>
      <c r="M24" s="88">
        <f t="shared" si="1"/>
        <v>18168749.795814674</v>
      </c>
      <c r="N24" s="48"/>
    </row>
    <row r="25" spans="1:14" x14ac:dyDescent="0.25">
      <c r="A25" s="303" t="s">
        <v>450</v>
      </c>
      <c r="B25" s="303" t="s">
        <v>32</v>
      </c>
      <c r="C25" s="304" t="s">
        <v>443</v>
      </c>
      <c r="D25" s="304" t="s">
        <v>444</v>
      </c>
      <c r="E25" s="304">
        <v>5000</v>
      </c>
      <c r="F25" s="304">
        <v>1716</v>
      </c>
      <c r="G25" s="304">
        <v>1620</v>
      </c>
      <c r="H25" s="304">
        <v>2833</v>
      </c>
      <c r="I25" s="304">
        <f t="shared" si="0"/>
        <v>698069.70843761344</v>
      </c>
      <c r="J25" s="305"/>
      <c r="K25" s="304" t="s">
        <v>63</v>
      </c>
      <c r="L25" s="304" t="s">
        <v>64</v>
      </c>
      <c r="M25" s="88">
        <f t="shared" si="1"/>
        <v>0</v>
      </c>
      <c r="N25" s="48"/>
    </row>
    <row r="26" spans="1:14" x14ac:dyDescent="0.25">
      <c r="A26" s="303" t="s">
        <v>451</v>
      </c>
      <c r="B26" s="303" t="s">
        <v>34</v>
      </c>
      <c r="C26" s="304" t="s">
        <v>446</v>
      </c>
      <c r="D26" s="304" t="s">
        <v>444</v>
      </c>
      <c r="E26" s="304">
        <v>1670000</v>
      </c>
      <c r="F26" s="304">
        <v>1014475</v>
      </c>
      <c r="G26" s="304">
        <v>1329140</v>
      </c>
      <c r="H26" s="304">
        <v>1048858</v>
      </c>
      <c r="I26" s="304">
        <f t="shared" si="0"/>
        <v>63656208.007070474</v>
      </c>
      <c r="J26" s="305"/>
      <c r="K26" s="304" t="s">
        <v>65</v>
      </c>
      <c r="L26" s="304" t="s">
        <v>66</v>
      </c>
      <c r="M26" s="88">
        <f t="shared" si="1"/>
        <v>31263182.412904229</v>
      </c>
      <c r="N26" s="48"/>
    </row>
    <row r="27" spans="1:14" x14ac:dyDescent="0.25">
      <c r="A27" s="303" t="s">
        <v>452</v>
      </c>
      <c r="B27" s="303" t="s">
        <v>36</v>
      </c>
      <c r="C27" s="304" t="s">
        <v>446</v>
      </c>
      <c r="D27" s="304" t="s">
        <v>444</v>
      </c>
      <c r="E27" s="304">
        <v>400000</v>
      </c>
      <c r="F27" s="304">
        <v>264840</v>
      </c>
      <c r="G27" s="304">
        <v>372493</v>
      </c>
      <c r="H27" s="304">
        <v>285616</v>
      </c>
      <c r="I27" s="304">
        <f t="shared" si="0"/>
        <v>23456410.585237827</v>
      </c>
      <c r="J27" s="305"/>
      <c r="K27" s="304" t="s">
        <v>67</v>
      </c>
      <c r="L27" s="304" t="s">
        <v>68</v>
      </c>
      <c r="M27" s="88">
        <f t="shared" si="1"/>
        <v>9615587.9525737651</v>
      </c>
      <c r="N27" s="48"/>
    </row>
    <row r="28" spans="1:14" x14ac:dyDescent="0.25">
      <c r="A28" s="303" t="s">
        <v>453</v>
      </c>
      <c r="B28" s="303" t="s">
        <v>38</v>
      </c>
      <c r="C28" s="304" t="s">
        <v>446</v>
      </c>
      <c r="D28" s="304" t="s">
        <v>444</v>
      </c>
      <c r="E28" s="304">
        <v>10000</v>
      </c>
      <c r="F28" s="304">
        <v>4837</v>
      </c>
      <c r="G28" s="304">
        <v>8195</v>
      </c>
      <c r="H28" s="304">
        <v>5634</v>
      </c>
      <c r="I28" s="304">
        <f t="shared" si="0"/>
        <v>1486263.7322818285</v>
      </c>
      <c r="J28" s="305"/>
      <c r="K28" s="304" t="s">
        <v>69</v>
      </c>
      <c r="L28" s="304" t="s">
        <v>70</v>
      </c>
      <c r="M28" s="88">
        <f t="shared" si="1"/>
        <v>3833726.7580057401</v>
      </c>
      <c r="N28" s="48"/>
    </row>
    <row r="29" spans="1:14" x14ac:dyDescent="0.25">
      <c r="A29" s="303" t="s">
        <v>453</v>
      </c>
      <c r="B29" s="303" t="s">
        <v>38</v>
      </c>
      <c r="C29" s="304" t="s">
        <v>443</v>
      </c>
      <c r="D29" s="304" t="s">
        <v>444</v>
      </c>
      <c r="E29" s="304">
        <v>4500</v>
      </c>
      <c r="F29" s="304">
        <v>2932</v>
      </c>
      <c r="G29" s="304">
        <v>3730</v>
      </c>
      <c r="H29" s="304">
        <v>4090</v>
      </c>
      <c r="I29" s="304">
        <f t="shared" si="0"/>
        <v>747113.63142526196</v>
      </c>
      <c r="J29" s="305"/>
      <c r="K29" s="304" t="s">
        <v>71</v>
      </c>
      <c r="L29" s="304" t="s">
        <v>72</v>
      </c>
      <c r="M29" s="88">
        <f t="shared" si="1"/>
        <v>0</v>
      </c>
      <c r="N29" s="48"/>
    </row>
    <row r="30" spans="1:14" x14ac:dyDescent="0.25">
      <c r="A30" s="303" t="s">
        <v>453</v>
      </c>
      <c r="B30" s="303" t="s">
        <v>38</v>
      </c>
      <c r="C30" s="304" t="s">
        <v>446</v>
      </c>
      <c r="D30" s="304" t="s">
        <v>444</v>
      </c>
      <c r="E30" s="304">
        <v>62500</v>
      </c>
      <c r="F30" s="304">
        <v>32900</v>
      </c>
      <c r="G30" s="304">
        <v>46867</v>
      </c>
      <c r="H30" s="304">
        <v>29284</v>
      </c>
      <c r="I30" s="304">
        <f t="shared" si="0"/>
        <v>5564055.8482478494</v>
      </c>
      <c r="J30" s="305"/>
      <c r="K30" s="304" t="s">
        <v>73</v>
      </c>
      <c r="L30" s="304" t="s">
        <v>74</v>
      </c>
      <c r="M30" s="88">
        <f t="shared" si="1"/>
        <v>0</v>
      </c>
      <c r="N30" s="48"/>
    </row>
    <row r="31" spans="1:14" x14ac:dyDescent="0.25">
      <c r="A31" s="303" t="s">
        <v>453</v>
      </c>
      <c r="B31" s="303" t="s">
        <v>38</v>
      </c>
      <c r="C31" s="304" t="s">
        <v>443</v>
      </c>
      <c r="D31" s="304" t="s">
        <v>444</v>
      </c>
      <c r="E31" s="304">
        <v>5500</v>
      </c>
      <c r="F31" s="304">
        <v>5110</v>
      </c>
      <c r="G31" s="304">
        <v>7467</v>
      </c>
      <c r="H31" s="304">
        <v>4736</v>
      </c>
      <c r="I31" s="304">
        <f t="shared" si="0"/>
        <v>1011620.3841228973</v>
      </c>
      <c r="J31" s="305"/>
      <c r="K31" s="304" t="s">
        <v>75</v>
      </c>
      <c r="L31" s="304" t="s">
        <v>76</v>
      </c>
      <c r="M31" s="88">
        <f t="shared" si="1"/>
        <v>0</v>
      </c>
      <c r="N31" s="48"/>
    </row>
    <row r="32" spans="1:14" x14ac:dyDescent="0.25">
      <c r="A32" s="303" t="s">
        <v>453</v>
      </c>
      <c r="B32" s="303" t="s">
        <v>38</v>
      </c>
      <c r="C32" s="304" t="s">
        <v>443</v>
      </c>
      <c r="D32" s="304" t="s">
        <v>444</v>
      </c>
      <c r="E32" s="304">
        <v>2200</v>
      </c>
      <c r="F32" s="304">
        <v>629</v>
      </c>
      <c r="G32" s="304">
        <v>942</v>
      </c>
      <c r="H32" s="304">
        <v>875</v>
      </c>
      <c r="I32" s="304">
        <f t="shared" si="0"/>
        <v>356378.45506907429</v>
      </c>
      <c r="J32" s="305"/>
      <c r="K32" s="304" t="s">
        <v>77</v>
      </c>
      <c r="L32" s="304" t="s">
        <v>78</v>
      </c>
      <c r="M32" s="88">
        <f t="shared" si="1"/>
        <v>6339663.1142663127</v>
      </c>
      <c r="N32" s="48"/>
    </row>
    <row r="33" spans="1:14" x14ac:dyDescent="0.25">
      <c r="A33" s="303" t="s">
        <v>453</v>
      </c>
      <c r="B33" s="303" t="s">
        <v>38</v>
      </c>
      <c r="C33" s="304" t="s">
        <v>443</v>
      </c>
      <c r="D33" s="304" t="s">
        <v>444</v>
      </c>
      <c r="E33" s="304">
        <v>14000</v>
      </c>
      <c r="F33" s="304">
        <v>2385</v>
      </c>
      <c r="G33" s="304">
        <v>3113</v>
      </c>
      <c r="H33" s="304">
        <v>3546</v>
      </c>
      <c r="I33" s="304">
        <f t="shared" si="0"/>
        <v>1263812.9227933551</v>
      </c>
      <c r="J33" s="305"/>
      <c r="K33" s="304" t="s">
        <v>79</v>
      </c>
      <c r="L33" s="304" t="s">
        <v>80</v>
      </c>
      <c r="M33" s="88">
        <f t="shared" si="1"/>
        <v>11382303.355619159</v>
      </c>
      <c r="N33" s="48"/>
    </row>
    <row r="34" spans="1:14" x14ac:dyDescent="0.25">
      <c r="A34" s="303" t="s">
        <v>453</v>
      </c>
      <c r="B34" s="303" t="s">
        <v>38</v>
      </c>
      <c r="C34" s="304" t="s">
        <v>443</v>
      </c>
      <c r="D34" s="304" t="s">
        <v>445</v>
      </c>
      <c r="E34" s="304">
        <v>400</v>
      </c>
      <c r="F34" s="304">
        <v>146</v>
      </c>
      <c r="G34" s="304">
        <v>201</v>
      </c>
      <c r="H34" s="304">
        <v>259</v>
      </c>
      <c r="I34" s="304">
        <f t="shared" si="0"/>
        <v>123977.26154893404</v>
      </c>
      <c r="J34" s="305"/>
      <c r="K34" s="304" t="s">
        <v>81</v>
      </c>
      <c r="L34" s="304" t="s">
        <v>82</v>
      </c>
      <c r="M34" s="88">
        <f t="shared" si="1"/>
        <v>11012973.83737722</v>
      </c>
      <c r="N34" s="48"/>
    </row>
    <row r="35" spans="1:14" x14ac:dyDescent="0.25">
      <c r="A35" s="303" t="s">
        <v>454</v>
      </c>
      <c r="B35" s="303" t="s">
        <v>42</v>
      </c>
      <c r="C35" s="304" t="s">
        <v>443</v>
      </c>
      <c r="D35" s="304" t="s">
        <v>444</v>
      </c>
      <c r="E35" s="304">
        <v>10000</v>
      </c>
      <c r="F35" s="304">
        <v>2819</v>
      </c>
      <c r="G35" s="304">
        <v>5621</v>
      </c>
      <c r="H35" s="304">
        <v>6298</v>
      </c>
      <c r="I35" s="304">
        <f t="shared" si="0"/>
        <v>1197012.116585077</v>
      </c>
      <c r="J35" s="305"/>
      <c r="K35" s="304" t="s">
        <v>83</v>
      </c>
      <c r="L35" s="304" t="s">
        <v>84</v>
      </c>
      <c r="M35" s="88">
        <f t="shared" si="1"/>
        <v>13199282.381242724</v>
      </c>
      <c r="N35" s="48"/>
    </row>
    <row r="36" spans="1:14" x14ac:dyDescent="0.25">
      <c r="A36" s="303" t="s">
        <v>454</v>
      </c>
      <c r="B36" s="303" t="s">
        <v>42</v>
      </c>
      <c r="C36" s="304" t="s">
        <v>443</v>
      </c>
      <c r="D36" s="304" t="s">
        <v>444</v>
      </c>
      <c r="E36" s="304">
        <v>36000</v>
      </c>
      <c r="F36" s="304">
        <v>28645</v>
      </c>
      <c r="G36" s="304">
        <v>29740</v>
      </c>
      <c r="H36" s="304">
        <v>25389</v>
      </c>
      <c r="I36" s="304">
        <f t="shared" si="0"/>
        <v>3341106.7425496113</v>
      </c>
      <c r="J36" s="305"/>
      <c r="K36" s="304" t="s">
        <v>85</v>
      </c>
      <c r="L36" s="304" t="s">
        <v>86</v>
      </c>
      <c r="M36" s="88">
        <f t="shared" si="1"/>
        <v>3619930.7184181064</v>
      </c>
      <c r="N36" s="48"/>
    </row>
    <row r="37" spans="1:14" x14ac:dyDescent="0.25">
      <c r="A37" s="303" t="s">
        <v>454</v>
      </c>
      <c r="B37" s="303" t="s">
        <v>42</v>
      </c>
      <c r="C37" s="304" t="s">
        <v>443</v>
      </c>
      <c r="D37" s="304" t="s">
        <v>444</v>
      </c>
      <c r="E37" s="304">
        <v>6800</v>
      </c>
      <c r="F37" s="304">
        <v>4479</v>
      </c>
      <c r="G37" s="304">
        <v>4582</v>
      </c>
      <c r="H37" s="304">
        <v>5790</v>
      </c>
      <c r="I37" s="304">
        <f t="shared" si="0"/>
        <v>989889.2983972514</v>
      </c>
      <c r="J37" s="305"/>
      <c r="K37" s="304" t="s">
        <v>87</v>
      </c>
      <c r="L37" s="304" t="s">
        <v>88</v>
      </c>
      <c r="M37" s="88">
        <f t="shared" si="1"/>
        <v>8173855.7166246092</v>
      </c>
      <c r="N37" s="48"/>
    </row>
    <row r="38" spans="1:14" x14ac:dyDescent="0.25">
      <c r="A38" s="303" t="s">
        <v>43</v>
      </c>
      <c r="B38" s="303" t="s">
        <v>44</v>
      </c>
      <c r="C38" s="304" t="s">
        <v>443</v>
      </c>
      <c r="D38" s="304" t="s">
        <v>444</v>
      </c>
      <c r="E38" s="304">
        <v>16000</v>
      </c>
      <c r="F38" s="304">
        <v>6773</v>
      </c>
      <c r="G38" s="304">
        <v>9397</v>
      </c>
      <c r="H38" s="304">
        <v>9702</v>
      </c>
      <c r="I38" s="304">
        <f t="shared" si="0"/>
        <v>1673799.1553718171</v>
      </c>
      <c r="J38" s="305"/>
      <c r="K38" s="304" t="s">
        <v>89</v>
      </c>
      <c r="L38" s="304" t="s">
        <v>90</v>
      </c>
      <c r="M38" s="88">
        <f t="shared" si="1"/>
        <v>16925019.792773765</v>
      </c>
      <c r="N38" s="48"/>
    </row>
    <row r="39" spans="1:14" x14ac:dyDescent="0.25">
      <c r="A39" s="303" t="s">
        <v>43</v>
      </c>
      <c r="B39" s="303" t="s">
        <v>44</v>
      </c>
      <c r="C39" s="304" t="s">
        <v>443</v>
      </c>
      <c r="D39" s="304" t="s">
        <v>444</v>
      </c>
      <c r="E39" s="304">
        <v>2400</v>
      </c>
      <c r="F39" s="304">
        <v>1163</v>
      </c>
      <c r="G39" s="304">
        <v>1492</v>
      </c>
      <c r="H39" s="304">
        <v>1697</v>
      </c>
      <c r="I39" s="304">
        <f t="shared" si="0"/>
        <v>433254.06011486443</v>
      </c>
      <c r="J39" s="305"/>
      <c r="K39" s="304" t="s">
        <v>91</v>
      </c>
      <c r="L39" s="304" t="s">
        <v>92</v>
      </c>
      <c r="M39" s="88">
        <f t="shared" si="1"/>
        <v>0</v>
      </c>
      <c r="N39" s="48"/>
    </row>
    <row r="40" spans="1:14" x14ac:dyDescent="0.25">
      <c r="A40" s="303" t="s">
        <v>43</v>
      </c>
      <c r="B40" s="303" t="s">
        <v>44</v>
      </c>
      <c r="C40" s="304" t="s">
        <v>443</v>
      </c>
      <c r="D40" s="304" t="s">
        <v>444</v>
      </c>
      <c r="E40" s="304">
        <v>24000</v>
      </c>
      <c r="F40" s="304">
        <v>11090</v>
      </c>
      <c r="G40" s="304">
        <v>18297</v>
      </c>
      <c r="H40" s="304">
        <v>13883</v>
      </c>
      <c r="I40" s="304">
        <f t="shared" si="0"/>
        <v>2415080.0579038411</v>
      </c>
      <c r="J40" s="305"/>
      <c r="K40" s="304" t="s">
        <v>93</v>
      </c>
      <c r="L40" s="304" t="s">
        <v>94</v>
      </c>
      <c r="M40" s="88">
        <f t="shared" si="1"/>
        <v>10153450.531071652</v>
      </c>
      <c r="N40" s="48"/>
    </row>
    <row r="41" spans="1:14" x14ac:dyDescent="0.25">
      <c r="A41" s="303" t="s">
        <v>455</v>
      </c>
      <c r="B41" s="303" t="s">
        <v>46</v>
      </c>
      <c r="C41" s="304" t="s">
        <v>443</v>
      </c>
      <c r="D41" s="304" t="s">
        <v>447</v>
      </c>
      <c r="E41" s="304">
        <v>0</v>
      </c>
      <c r="F41" s="304">
        <v>0</v>
      </c>
      <c r="G41" s="304">
        <v>0</v>
      </c>
      <c r="H41" s="304">
        <v>0</v>
      </c>
      <c r="I41" s="304">
        <f t="shared" si="0"/>
        <v>0</v>
      </c>
      <c r="J41" s="305"/>
      <c r="K41" s="304" t="s">
        <v>95</v>
      </c>
      <c r="L41" s="304" t="s">
        <v>96</v>
      </c>
      <c r="M41" s="88">
        <f t="shared" si="1"/>
        <v>19936976.787991181</v>
      </c>
      <c r="N41" s="48"/>
    </row>
    <row r="42" spans="1:14" x14ac:dyDescent="0.25">
      <c r="A42" s="303" t="s">
        <v>455</v>
      </c>
      <c r="B42" s="303" t="s">
        <v>46</v>
      </c>
      <c r="C42" s="304" t="s">
        <v>443</v>
      </c>
      <c r="D42" s="304" t="s">
        <v>447</v>
      </c>
      <c r="E42" s="304">
        <v>3150</v>
      </c>
      <c r="F42" s="304">
        <v>978</v>
      </c>
      <c r="G42" s="304">
        <v>1313</v>
      </c>
      <c r="H42" s="304">
        <v>1796</v>
      </c>
      <c r="I42" s="304">
        <f t="shared" si="0"/>
        <v>440414.30129106482</v>
      </c>
      <c r="J42" s="305"/>
      <c r="K42" s="304" t="s">
        <v>97</v>
      </c>
      <c r="L42" s="304" t="s">
        <v>98</v>
      </c>
      <c r="M42" s="88">
        <f t="shared" si="1"/>
        <v>0</v>
      </c>
      <c r="N42" s="48"/>
    </row>
    <row r="43" spans="1:14" x14ac:dyDescent="0.25">
      <c r="A43" s="303" t="s">
        <v>455</v>
      </c>
      <c r="B43" s="303" t="s">
        <v>46</v>
      </c>
      <c r="C43" s="304" t="s">
        <v>446</v>
      </c>
      <c r="D43" s="304" t="s">
        <v>444</v>
      </c>
      <c r="E43" s="304">
        <v>80000</v>
      </c>
      <c r="F43" s="304">
        <v>15926</v>
      </c>
      <c r="G43" s="304">
        <v>18362</v>
      </c>
      <c r="H43" s="304">
        <v>15181</v>
      </c>
      <c r="I43" s="304">
        <f t="shared" si="0"/>
        <v>5146264.3890097765</v>
      </c>
      <c r="J43" s="305"/>
      <c r="K43" s="304" t="s">
        <v>99</v>
      </c>
      <c r="L43" s="304" t="s">
        <v>100</v>
      </c>
      <c r="M43" s="88">
        <f t="shared" si="1"/>
        <v>0</v>
      </c>
      <c r="N43" s="48"/>
    </row>
    <row r="44" spans="1:14" x14ac:dyDescent="0.25">
      <c r="A44" s="303" t="s">
        <v>455</v>
      </c>
      <c r="B44" s="303" t="s">
        <v>46</v>
      </c>
      <c r="C44" s="304" t="s">
        <v>443</v>
      </c>
      <c r="D44" s="304" t="s">
        <v>444</v>
      </c>
      <c r="E44" s="304">
        <v>0</v>
      </c>
      <c r="F44" s="304">
        <v>0</v>
      </c>
      <c r="G44" s="304">
        <v>0</v>
      </c>
      <c r="H44" s="304">
        <v>0</v>
      </c>
      <c r="I44" s="304">
        <f t="shared" si="0"/>
        <v>0</v>
      </c>
      <c r="J44" s="305"/>
      <c r="K44" s="304" t="s">
        <v>101</v>
      </c>
      <c r="L44" s="304" t="s">
        <v>102</v>
      </c>
      <c r="M44" s="88">
        <f t="shared" si="1"/>
        <v>0</v>
      </c>
      <c r="N44" s="48"/>
    </row>
    <row r="45" spans="1:14" x14ac:dyDescent="0.25">
      <c r="A45" s="303" t="s">
        <v>455</v>
      </c>
      <c r="B45" s="303" t="s">
        <v>46</v>
      </c>
      <c r="C45" s="304" t="s">
        <v>443</v>
      </c>
      <c r="D45" s="304" t="s">
        <v>456</v>
      </c>
      <c r="E45" s="304">
        <v>0</v>
      </c>
      <c r="F45" s="304">
        <v>0</v>
      </c>
      <c r="G45" s="304">
        <v>0</v>
      </c>
      <c r="H45" s="304">
        <v>0</v>
      </c>
      <c r="I45" s="304">
        <f t="shared" si="0"/>
        <v>0</v>
      </c>
      <c r="J45" s="305"/>
      <c r="K45" s="304" t="s">
        <v>103</v>
      </c>
      <c r="L45" s="304" t="s">
        <v>104</v>
      </c>
      <c r="M45" s="88">
        <f t="shared" si="1"/>
        <v>0</v>
      </c>
      <c r="N45" s="48"/>
    </row>
    <row r="46" spans="1:14" x14ac:dyDescent="0.25">
      <c r="A46" s="303" t="s">
        <v>455</v>
      </c>
      <c r="B46" s="303" t="s">
        <v>46</v>
      </c>
      <c r="C46" s="304" t="s">
        <v>446</v>
      </c>
      <c r="D46" s="304" t="s">
        <v>444</v>
      </c>
      <c r="E46" s="304">
        <v>6000</v>
      </c>
      <c r="F46" s="304">
        <v>3762</v>
      </c>
      <c r="G46" s="304">
        <v>7514</v>
      </c>
      <c r="H46" s="304">
        <v>4926</v>
      </c>
      <c r="I46" s="304">
        <f t="shared" si="0"/>
        <v>1194065.4307870071</v>
      </c>
      <c r="J46" s="305"/>
      <c r="K46" s="304" t="s">
        <v>105</v>
      </c>
      <c r="L46" s="304" t="s">
        <v>106</v>
      </c>
      <c r="M46" s="88">
        <f t="shared" si="1"/>
        <v>0</v>
      </c>
      <c r="N46" s="48"/>
    </row>
    <row r="47" spans="1:14" x14ac:dyDescent="0.25">
      <c r="A47" s="303" t="s">
        <v>455</v>
      </c>
      <c r="B47" s="303" t="s">
        <v>46</v>
      </c>
      <c r="C47" s="304" t="s">
        <v>443</v>
      </c>
      <c r="D47" s="304" t="s">
        <v>449</v>
      </c>
      <c r="E47" s="304">
        <v>700</v>
      </c>
      <c r="F47" s="304">
        <v>261</v>
      </c>
      <c r="G47" s="304">
        <v>430</v>
      </c>
      <c r="H47" s="304">
        <v>561</v>
      </c>
      <c r="I47" s="304">
        <f t="shared" si="0"/>
        <v>186459.5878782942</v>
      </c>
      <c r="J47" s="305"/>
      <c r="K47" s="304" t="s">
        <v>107</v>
      </c>
      <c r="L47" s="304" t="s">
        <v>108</v>
      </c>
      <c r="M47" s="88">
        <f t="shared" si="1"/>
        <v>12041837.871108882</v>
      </c>
      <c r="N47" s="48"/>
    </row>
    <row r="48" spans="1:14" x14ac:dyDescent="0.25">
      <c r="A48" s="303" t="s">
        <v>455</v>
      </c>
      <c r="B48" s="303" t="s">
        <v>46</v>
      </c>
      <c r="C48" s="304" t="s">
        <v>443</v>
      </c>
      <c r="D48" s="304" t="s">
        <v>444</v>
      </c>
      <c r="E48" s="304">
        <v>15000</v>
      </c>
      <c r="F48" s="304">
        <v>4887</v>
      </c>
      <c r="G48" s="304">
        <v>20861</v>
      </c>
      <c r="H48" s="304">
        <v>16661</v>
      </c>
      <c r="I48" s="304">
        <f t="shared" si="0"/>
        <v>2138798.0288501242</v>
      </c>
      <c r="J48" s="305"/>
      <c r="K48" s="304" t="s">
        <v>109</v>
      </c>
      <c r="L48" s="304" t="s">
        <v>110</v>
      </c>
      <c r="M48" s="88">
        <f t="shared" si="1"/>
        <v>24247821.249595456</v>
      </c>
      <c r="N48" s="48"/>
    </row>
    <row r="49" spans="1:14" x14ac:dyDescent="0.25">
      <c r="A49" s="303" t="s">
        <v>455</v>
      </c>
      <c r="B49" s="303" t="s">
        <v>46</v>
      </c>
      <c r="C49" s="304" t="s">
        <v>443</v>
      </c>
      <c r="D49" s="304" t="s">
        <v>447</v>
      </c>
      <c r="E49" s="304">
        <v>0</v>
      </c>
      <c r="F49" s="304">
        <v>0</v>
      </c>
      <c r="G49" s="304">
        <v>0</v>
      </c>
      <c r="H49" s="304">
        <v>0</v>
      </c>
      <c r="I49" s="304">
        <f t="shared" si="0"/>
        <v>0</v>
      </c>
      <c r="J49" s="305"/>
      <c r="K49" s="304" t="s">
        <v>111</v>
      </c>
      <c r="L49" s="304" t="s">
        <v>112</v>
      </c>
      <c r="M49" s="88">
        <f t="shared" si="1"/>
        <v>1124536.7121258602</v>
      </c>
      <c r="N49" s="48"/>
    </row>
    <row r="50" spans="1:14" x14ac:dyDescent="0.25">
      <c r="A50" s="303" t="s">
        <v>455</v>
      </c>
      <c r="B50" s="303" t="s">
        <v>46</v>
      </c>
      <c r="C50" s="304" t="s">
        <v>443</v>
      </c>
      <c r="D50" s="304" t="s">
        <v>456</v>
      </c>
      <c r="E50" s="304">
        <v>70</v>
      </c>
      <c r="F50" s="304">
        <v>0</v>
      </c>
      <c r="G50" s="304">
        <v>0</v>
      </c>
      <c r="H50" s="304">
        <v>0</v>
      </c>
      <c r="I50" s="304">
        <f t="shared" si="0"/>
        <v>20278.486254807827</v>
      </c>
      <c r="J50" s="305"/>
      <c r="K50" s="304" t="s">
        <v>113</v>
      </c>
      <c r="L50" s="304" t="s">
        <v>114</v>
      </c>
      <c r="M50" s="88">
        <f t="shared" si="1"/>
        <v>4971485.7381845126</v>
      </c>
      <c r="N50" s="48"/>
    </row>
    <row r="51" spans="1:14" x14ac:dyDescent="0.25">
      <c r="A51" s="303" t="s">
        <v>455</v>
      </c>
      <c r="B51" s="303" t="s">
        <v>46</v>
      </c>
      <c r="C51" s="304" t="s">
        <v>443</v>
      </c>
      <c r="D51" s="304" t="s">
        <v>444</v>
      </c>
      <c r="E51" s="304">
        <v>4400</v>
      </c>
      <c r="F51" s="304">
        <v>2404</v>
      </c>
      <c r="G51" s="304">
        <v>3617</v>
      </c>
      <c r="H51" s="304">
        <v>4674</v>
      </c>
      <c r="I51" s="304">
        <f t="shared" si="0"/>
        <v>777871.01683182479</v>
      </c>
      <c r="J51" s="305"/>
      <c r="K51" s="304" t="s">
        <v>115</v>
      </c>
      <c r="L51" s="304" t="s">
        <v>116</v>
      </c>
      <c r="M51" s="88">
        <f t="shared" si="1"/>
        <v>6646459.0085479617</v>
      </c>
      <c r="N51" s="48"/>
    </row>
    <row r="52" spans="1:14" x14ac:dyDescent="0.25">
      <c r="A52" s="303" t="s">
        <v>455</v>
      </c>
      <c r="B52" s="303" t="s">
        <v>46</v>
      </c>
      <c r="C52" s="304" t="s">
        <v>443</v>
      </c>
      <c r="D52" s="304" t="s">
        <v>444</v>
      </c>
      <c r="E52" s="304">
        <v>3000</v>
      </c>
      <c r="F52" s="304">
        <v>906</v>
      </c>
      <c r="G52" s="304">
        <v>1402</v>
      </c>
      <c r="H52" s="304">
        <v>2061</v>
      </c>
      <c r="I52" s="304">
        <f t="shared" si="0"/>
        <v>506157.45298410911</v>
      </c>
      <c r="J52" s="305"/>
      <c r="K52" s="304" t="s">
        <v>117</v>
      </c>
      <c r="L52" s="304" t="s">
        <v>118</v>
      </c>
      <c r="M52" s="88">
        <f t="shared" si="1"/>
        <v>0</v>
      </c>
      <c r="N52" s="48"/>
    </row>
    <row r="53" spans="1:14" x14ac:dyDescent="0.25">
      <c r="A53" s="303" t="s">
        <v>455</v>
      </c>
      <c r="B53" s="303" t="s">
        <v>46</v>
      </c>
      <c r="C53" s="304" t="s">
        <v>443</v>
      </c>
      <c r="D53" s="304" t="s">
        <v>448</v>
      </c>
      <c r="E53" s="304">
        <v>0</v>
      </c>
      <c r="F53" s="304">
        <v>0</v>
      </c>
      <c r="G53" s="304">
        <v>0</v>
      </c>
      <c r="H53" s="304">
        <v>0</v>
      </c>
      <c r="I53" s="304">
        <f t="shared" si="0"/>
        <v>0</v>
      </c>
      <c r="J53" s="305"/>
      <c r="K53" s="304" t="s">
        <v>119</v>
      </c>
      <c r="L53" s="304" t="s">
        <v>120</v>
      </c>
      <c r="M53" s="88">
        <f t="shared" si="1"/>
        <v>8494858.436312627</v>
      </c>
      <c r="N53" s="48"/>
    </row>
    <row r="54" spans="1:14" x14ac:dyDescent="0.25">
      <c r="A54" s="303" t="s">
        <v>455</v>
      </c>
      <c r="B54" s="303" t="s">
        <v>46</v>
      </c>
      <c r="C54" s="304" t="s">
        <v>443</v>
      </c>
      <c r="D54" s="304" t="s">
        <v>456</v>
      </c>
      <c r="E54" s="304">
        <v>0</v>
      </c>
      <c r="F54" s="304">
        <v>0</v>
      </c>
      <c r="G54" s="304">
        <v>0</v>
      </c>
      <c r="H54" s="304">
        <v>0</v>
      </c>
      <c r="I54" s="304">
        <f t="shared" si="0"/>
        <v>0</v>
      </c>
      <c r="J54" s="305"/>
      <c r="K54" s="304" t="s">
        <v>121</v>
      </c>
      <c r="L54" s="304" t="s">
        <v>122</v>
      </c>
      <c r="M54" s="88">
        <f t="shared" si="1"/>
        <v>9405870.6530250926</v>
      </c>
      <c r="N54" s="48"/>
    </row>
    <row r="55" spans="1:14" x14ac:dyDescent="0.25">
      <c r="A55" s="303" t="s">
        <v>455</v>
      </c>
      <c r="B55" s="303" t="s">
        <v>46</v>
      </c>
      <c r="C55" s="304" t="s">
        <v>443</v>
      </c>
      <c r="D55" s="304" t="s">
        <v>444</v>
      </c>
      <c r="E55" s="304">
        <v>80000</v>
      </c>
      <c r="F55" s="304">
        <v>57073</v>
      </c>
      <c r="G55" s="304">
        <v>71885</v>
      </c>
      <c r="H55" s="304">
        <v>76394</v>
      </c>
      <c r="I55" s="304">
        <f t="shared" si="0"/>
        <v>6322861.6068626866</v>
      </c>
      <c r="J55" s="305"/>
      <c r="K55" s="304" t="s">
        <v>123</v>
      </c>
      <c r="L55" s="304" t="s">
        <v>124</v>
      </c>
      <c r="M55" s="88">
        <f t="shared" si="1"/>
        <v>0</v>
      </c>
      <c r="N55" s="48"/>
    </row>
    <row r="56" spans="1:14" x14ac:dyDescent="0.25">
      <c r="A56" s="303" t="s">
        <v>455</v>
      </c>
      <c r="B56" s="303" t="s">
        <v>46</v>
      </c>
      <c r="C56" s="304" t="s">
        <v>443</v>
      </c>
      <c r="D56" s="304" t="s">
        <v>456</v>
      </c>
      <c r="E56" s="304">
        <v>0</v>
      </c>
      <c r="F56" s="304">
        <v>0</v>
      </c>
      <c r="G56" s="304">
        <v>0</v>
      </c>
      <c r="H56" s="304">
        <v>0</v>
      </c>
      <c r="I56" s="304">
        <f t="shared" si="0"/>
        <v>0</v>
      </c>
      <c r="J56" s="305"/>
      <c r="K56" s="304" t="s">
        <v>125</v>
      </c>
      <c r="L56" s="304" t="s">
        <v>126</v>
      </c>
      <c r="M56" s="88">
        <f t="shared" si="1"/>
        <v>3451937.637444187</v>
      </c>
      <c r="N56" s="48"/>
    </row>
    <row r="57" spans="1:14" x14ac:dyDescent="0.25">
      <c r="A57" s="303" t="s">
        <v>455</v>
      </c>
      <c r="B57" s="303" t="s">
        <v>46</v>
      </c>
      <c r="C57" s="304" t="s">
        <v>443</v>
      </c>
      <c r="D57" s="304" t="s">
        <v>449</v>
      </c>
      <c r="E57" s="304">
        <v>0</v>
      </c>
      <c r="F57" s="304">
        <v>0</v>
      </c>
      <c r="G57" s="304">
        <v>0</v>
      </c>
      <c r="H57" s="304">
        <v>0</v>
      </c>
      <c r="I57" s="304">
        <f t="shared" si="0"/>
        <v>0</v>
      </c>
      <c r="J57" s="305"/>
      <c r="K57" s="304" t="s">
        <v>127</v>
      </c>
      <c r="L57" s="304" t="s">
        <v>128</v>
      </c>
      <c r="M57" s="88">
        <f t="shared" si="1"/>
        <v>16172605.998348063</v>
      </c>
      <c r="N57" s="48"/>
    </row>
    <row r="58" spans="1:14" x14ac:dyDescent="0.25">
      <c r="A58" s="303" t="s">
        <v>455</v>
      </c>
      <c r="B58" s="303" t="s">
        <v>46</v>
      </c>
      <c r="C58" s="304" t="s">
        <v>443</v>
      </c>
      <c r="D58" s="304" t="s">
        <v>444</v>
      </c>
      <c r="E58" s="304">
        <v>850</v>
      </c>
      <c r="F58" s="304">
        <v>699</v>
      </c>
      <c r="G58" s="304">
        <v>1276</v>
      </c>
      <c r="H58" s="304">
        <v>1273</v>
      </c>
      <c r="I58" s="304">
        <f t="shared" si="0"/>
        <v>267334.03367505933</v>
      </c>
      <c r="J58" s="305"/>
      <c r="K58" s="304" t="s">
        <v>129</v>
      </c>
      <c r="L58" s="304" t="s">
        <v>130</v>
      </c>
      <c r="M58" s="88">
        <f t="shared" si="1"/>
        <v>10790477.130642183</v>
      </c>
      <c r="N58" s="48"/>
    </row>
    <row r="59" spans="1:14" x14ac:dyDescent="0.25">
      <c r="A59" s="303" t="s">
        <v>455</v>
      </c>
      <c r="B59" s="303" t="s">
        <v>46</v>
      </c>
      <c r="C59" s="304" t="s">
        <v>443</v>
      </c>
      <c r="D59" s="304" t="s">
        <v>444</v>
      </c>
      <c r="E59" s="304">
        <v>850</v>
      </c>
      <c r="F59" s="304">
        <v>1357</v>
      </c>
      <c r="G59" s="304">
        <v>2142</v>
      </c>
      <c r="H59" s="304">
        <v>1055</v>
      </c>
      <c r="I59" s="304">
        <f t="shared" si="0"/>
        <v>343775.89503304887</v>
      </c>
      <c r="J59" s="305"/>
      <c r="K59" s="304" t="s">
        <v>131</v>
      </c>
      <c r="L59" s="304" t="s">
        <v>132</v>
      </c>
      <c r="M59" s="88">
        <f t="shared" si="1"/>
        <v>5918912.6139834924</v>
      </c>
      <c r="N59" s="48"/>
    </row>
    <row r="60" spans="1:14" x14ac:dyDescent="0.25">
      <c r="A60" s="303" t="s">
        <v>455</v>
      </c>
      <c r="B60" s="303" t="s">
        <v>46</v>
      </c>
      <c r="C60" s="304" t="s">
        <v>443</v>
      </c>
      <c r="D60" s="304" t="s">
        <v>444</v>
      </c>
      <c r="E60" s="304">
        <v>3500</v>
      </c>
      <c r="F60" s="304">
        <v>1680</v>
      </c>
      <c r="G60" s="304">
        <v>2252</v>
      </c>
      <c r="H60" s="304">
        <v>2615</v>
      </c>
      <c r="I60" s="304">
        <f t="shared" si="0"/>
        <v>581775.57941766479</v>
      </c>
      <c r="J60" s="305"/>
      <c r="K60" s="304" t="s">
        <v>133</v>
      </c>
      <c r="L60" s="304" t="s">
        <v>134</v>
      </c>
      <c r="M60" s="88">
        <f t="shared" si="1"/>
        <v>10114964.409272682</v>
      </c>
      <c r="N60" s="48"/>
    </row>
    <row r="61" spans="1:14" x14ac:dyDescent="0.25">
      <c r="A61" s="303" t="s">
        <v>455</v>
      </c>
      <c r="B61" s="303" t="s">
        <v>46</v>
      </c>
      <c r="C61" s="304" t="s">
        <v>443</v>
      </c>
      <c r="D61" s="304" t="s">
        <v>444</v>
      </c>
      <c r="E61" s="304">
        <v>7100</v>
      </c>
      <c r="F61" s="304">
        <v>6229</v>
      </c>
      <c r="G61" s="304">
        <v>6372</v>
      </c>
      <c r="H61" s="304">
        <v>4536</v>
      </c>
      <c r="I61" s="304">
        <f t="shared" si="0"/>
        <v>1040470.325147227</v>
      </c>
      <c r="J61" s="305"/>
      <c r="K61" s="304" t="s">
        <v>135</v>
      </c>
      <c r="L61" s="304" t="s">
        <v>136</v>
      </c>
      <c r="M61" s="88">
        <f t="shared" si="1"/>
        <v>11404169.585451733</v>
      </c>
      <c r="N61" s="48"/>
    </row>
    <row r="62" spans="1:14" x14ac:dyDescent="0.25">
      <c r="A62" s="303" t="s">
        <v>455</v>
      </c>
      <c r="B62" s="303" t="s">
        <v>46</v>
      </c>
      <c r="C62" s="304" t="s">
        <v>443</v>
      </c>
      <c r="D62" s="304" t="s">
        <v>449</v>
      </c>
      <c r="E62" s="304">
        <v>0</v>
      </c>
      <c r="F62" s="304">
        <v>0</v>
      </c>
      <c r="G62" s="304">
        <v>0</v>
      </c>
      <c r="H62" s="304">
        <v>0</v>
      </c>
      <c r="I62" s="304">
        <f t="shared" si="0"/>
        <v>0</v>
      </c>
      <c r="J62" s="305"/>
      <c r="K62" s="304" t="s">
        <v>137</v>
      </c>
      <c r="L62" s="304" t="s">
        <v>138</v>
      </c>
      <c r="M62" s="88">
        <f t="shared" si="1"/>
        <v>0</v>
      </c>
      <c r="N62" s="48"/>
    </row>
    <row r="63" spans="1:14" x14ac:dyDescent="0.25">
      <c r="A63" s="303" t="s">
        <v>47</v>
      </c>
      <c r="B63" s="303" t="s">
        <v>48</v>
      </c>
      <c r="C63" s="304" t="s">
        <v>443</v>
      </c>
      <c r="D63" s="304" t="s">
        <v>445</v>
      </c>
      <c r="E63" s="304">
        <v>3000</v>
      </c>
      <c r="F63" s="304">
        <v>709.58</v>
      </c>
      <c r="G63" s="304">
        <v>1085.5</v>
      </c>
      <c r="H63" s="304">
        <v>1139</v>
      </c>
      <c r="I63" s="304">
        <f t="shared" si="0"/>
        <v>393740.90548676875</v>
      </c>
      <c r="J63" s="305"/>
      <c r="K63" s="304" t="s">
        <v>139</v>
      </c>
      <c r="L63" s="304" t="s">
        <v>140</v>
      </c>
      <c r="M63" s="88">
        <f t="shared" si="1"/>
        <v>11544549.740248507</v>
      </c>
      <c r="N63" s="48"/>
    </row>
    <row r="64" spans="1:14" x14ac:dyDescent="0.25">
      <c r="A64" s="303" t="s">
        <v>47</v>
      </c>
      <c r="B64" s="303" t="s">
        <v>48</v>
      </c>
      <c r="C64" s="304" t="s">
        <v>443</v>
      </c>
      <c r="D64" s="304" t="s">
        <v>444</v>
      </c>
      <c r="E64" s="304">
        <v>23500</v>
      </c>
      <c r="F64" s="304">
        <v>11830.6</v>
      </c>
      <c r="G64" s="304">
        <v>12733.59</v>
      </c>
      <c r="H64" s="304">
        <v>10527.78</v>
      </c>
      <c r="I64" s="304">
        <f t="shared" si="0"/>
        <v>2155130.9158801502</v>
      </c>
      <c r="J64" s="305"/>
      <c r="K64" s="304" t="s">
        <v>141</v>
      </c>
      <c r="L64" s="304" t="s">
        <v>142</v>
      </c>
      <c r="M64" s="88">
        <f t="shared" si="1"/>
        <v>7757972.0790103292</v>
      </c>
      <c r="N64" s="48"/>
    </row>
    <row r="65" spans="1:14" x14ac:dyDescent="0.25">
      <c r="A65" s="303" t="s">
        <v>47</v>
      </c>
      <c r="B65" s="303" t="s">
        <v>48</v>
      </c>
      <c r="C65" s="304" t="s">
        <v>443</v>
      </c>
      <c r="D65" s="304" t="s">
        <v>448</v>
      </c>
      <c r="E65" s="304">
        <v>4000</v>
      </c>
      <c r="F65" s="304">
        <v>1295.44</v>
      </c>
      <c r="G65" s="304">
        <v>1814.79</v>
      </c>
      <c r="H65" s="304">
        <v>1930.65</v>
      </c>
      <c r="I65" s="304">
        <f t="shared" si="0"/>
        <v>568814.92170094803</v>
      </c>
      <c r="J65" s="305"/>
      <c r="K65" s="304" t="s">
        <v>143</v>
      </c>
      <c r="L65" s="304" t="s">
        <v>144</v>
      </c>
      <c r="M65" s="88">
        <f t="shared" si="1"/>
        <v>9200702.3560750596</v>
      </c>
      <c r="N65" s="48"/>
    </row>
    <row r="66" spans="1:14" x14ac:dyDescent="0.25">
      <c r="A66" s="303" t="s">
        <v>47</v>
      </c>
      <c r="B66" s="303" t="s">
        <v>48</v>
      </c>
      <c r="C66" s="304" t="s">
        <v>443</v>
      </c>
      <c r="D66" s="304" t="s">
        <v>456</v>
      </c>
      <c r="E66" s="304">
        <v>320</v>
      </c>
      <c r="F66" s="304">
        <v>27.15</v>
      </c>
      <c r="G66" s="304">
        <v>35.770000000000003</v>
      </c>
      <c r="H66" s="304">
        <v>85.82</v>
      </c>
      <c r="I66" s="304">
        <f t="shared" si="0"/>
        <v>50484.110506478981</v>
      </c>
      <c r="J66" s="305"/>
      <c r="K66" s="304" t="s">
        <v>145</v>
      </c>
      <c r="L66" s="304" t="s">
        <v>146</v>
      </c>
      <c r="M66" s="88">
        <f t="shared" si="1"/>
        <v>12450278.227482773</v>
      </c>
      <c r="N66" s="48"/>
    </row>
    <row r="67" spans="1:14" x14ac:dyDescent="0.25">
      <c r="A67" s="303" t="s">
        <v>47</v>
      </c>
      <c r="B67" s="303" t="s">
        <v>48</v>
      </c>
      <c r="C67" s="304" t="s">
        <v>446</v>
      </c>
      <c r="D67" s="304" t="s">
        <v>444</v>
      </c>
      <c r="E67" s="304">
        <v>290000</v>
      </c>
      <c r="F67" s="304">
        <v>130071.2</v>
      </c>
      <c r="G67" s="304">
        <v>144098.20000000001</v>
      </c>
      <c r="H67" s="304">
        <v>88863.6</v>
      </c>
      <c r="I67" s="304">
        <f t="shared" ref="I67:I130" si="2">IF(D67="M",(AVERAGE(E67,MAX(F67:H67))^0.519)*3203.7913,IF(OR(D67="MB",D67="MK",D67="MBK",D67="MBN"),(AVERAGE(E67,MAX(F67:H67))^0.6289)*3234.9142,IF(AND(C67="Landzone og sommerhusområde",OR(D67="MBNKD",D67="MBNK/MBND")),(AVERAGE(E67,MAX(F67:H67))^0.736)*1583.1635,IF(AND(C67="Byzone",OR(D67="MBNKD",D67="MBNK/MBND")),(AVERAGE(E67,MAX(F67:H67))^0.736)*1812.7138,0))))</f>
        <v>15347439.186067246</v>
      </c>
      <c r="J67" s="305"/>
      <c r="K67" s="304" t="s">
        <v>147</v>
      </c>
      <c r="L67" s="304" t="s">
        <v>148</v>
      </c>
      <c r="M67" s="88">
        <f t="shared" si="1"/>
        <v>5934837.985578442</v>
      </c>
      <c r="N67" s="48"/>
    </row>
    <row r="68" spans="1:14" x14ac:dyDescent="0.25">
      <c r="A68" s="303" t="s">
        <v>47</v>
      </c>
      <c r="B68" s="303" t="s">
        <v>48</v>
      </c>
      <c r="C68" s="304" t="s">
        <v>443</v>
      </c>
      <c r="D68" s="304" t="s">
        <v>448</v>
      </c>
      <c r="E68" s="304">
        <v>4500</v>
      </c>
      <c r="F68" s="304">
        <v>609.52</v>
      </c>
      <c r="G68" s="304">
        <v>977.19</v>
      </c>
      <c r="H68" s="304">
        <v>1338.8</v>
      </c>
      <c r="I68" s="304">
        <f t="shared" si="2"/>
        <v>562317.83850028156</v>
      </c>
      <c r="J68" s="305"/>
      <c r="K68" s="304" t="s">
        <v>149</v>
      </c>
      <c r="L68" s="304" t="s">
        <v>150</v>
      </c>
      <c r="M68" s="88">
        <f t="shared" ref="M68:M104" si="3">SUMIF(B:B,L68,I:I)</f>
        <v>9065917.454121463</v>
      </c>
      <c r="N68" s="48"/>
    </row>
    <row r="69" spans="1:14" x14ac:dyDescent="0.25">
      <c r="A69" s="303" t="s">
        <v>47</v>
      </c>
      <c r="B69" s="303" t="s">
        <v>48</v>
      </c>
      <c r="C69" s="304" t="s">
        <v>443</v>
      </c>
      <c r="D69" s="304" t="s">
        <v>444</v>
      </c>
      <c r="E69" s="304">
        <v>9100</v>
      </c>
      <c r="F69" s="304">
        <v>2000.54</v>
      </c>
      <c r="G69" s="304">
        <v>3269.4</v>
      </c>
      <c r="H69" s="304">
        <v>3644.06</v>
      </c>
      <c r="I69" s="304">
        <f t="shared" si="2"/>
        <v>998790.12100972352</v>
      </c>
      <c r="J69" s="305"/>
      <c r="K69" s="304" t="s">
        <v>151</v>
      </c>
      <c r="L69" s="304" t="s">
        <v>152</v>
      </c>
      <c r="M69" s="88">
        <f t="shared" si="3"/>
        <v>11364920.071906971</v>
      </c>
      <c r="N69" s="48"/>
    </row>
    <row r="70" spans="1:14" x14ac:dyDescent="0.25">
      <c r="A70" s="303" t="s">
        <v>47</v>
      </c>
      <c r="B70" s="303" t="s">
        <v>48</v>
      </c>
      <c r="C70" s="304" t="s">
        <v>443</v>
      </c>
      <c r="D70" s="304" t="s">
        <v>444</v>
      </c>
      <c r="E70" s="304">
        <v>32000</v>
      </c>
      <c r="F70" s="304">
        <v>22142.94</v>
      </c>
      <c r="G70" s="304">
        <v>27607.78</v>
      </c>
      <c r="H70" s="304">
        <v>23473.93</v>
      </c>
      <c r="I70" s="304">
        <f t="shared" si="2"/>
        <v>3108784.8094987529</v>
      </c>
      <c r="J70" s="305"/>
      <c r="K70" s="304" t="s">
        <v>153</v>
      </c>
      <c r="L70" s="304" t="s">
        <v>154</v>
      </c>
      <c r="M70" s="88">
        <f t="shared" si="3"/>
        <v>3561936.3966782568</v>
      </c>
      <c r="N70" s="48"/>
    </row>
    <row r="71" spans="1:14" x14ac:dyDescent="0.25">
      <c r="A71" s="303" t="s">
        <v>47</v>
      </c>
      <c r="B71" s="303" t="s">
        <v>48</v>
      </c>
      <c r="C71" s="304" t="s">
        <v>443</v>
      </c>
      <c r="D71" s="304" t="s">
        <v>445</v>
      </c>
      <c r="E71" s="304">
        <v>3000</v>
      </c>
      <c r="F71" s="304">
        <v>1102.1400000000001</v>
      </c>
      <c r="G71" s="304">
        <v>1134.51</v>
      </c>
      <c r="H71" s="304">
        <v>1419.22</v>
      </c>
      <c r="I71" s="304">
        <f t="shared" si="2"/>
        <v>410301.27257355396</v>
      </c>
      <c r="J71" s="305"/>
      <c r="K71" s="304" t="s">
        <v>155</v>
      </c>
      <c r="L71" s="304" t="s">
        <v>156</v>
      </c>
      <c r="M71" s="88">
        <f t="shared" si="3"/>
        <v>5874111.7324129669</v>
      </c>
      <c r="N71" s="48"/>
    </row>
    <row r="72" spans="1:14" x14ac:dyDescent="0.25">
      <c r="A72" s="303" t="s">
        <v>47</v>
      </c>
      <c r="B72" s="303" t="s">
        <v>48</v>
      </c>
      <c r="C72" s="304" t="s">
        <v>446</v>
      </c>
      <c r="D72" s="304" t="s">
        <v>444</v>
      </c>
      <c r="E72" s="304">
        <v>2000</v>
      </c>
      <c r="F72" s="304">
        <v>1071.08</v>
      </c>
      <c r="G72" s="304">
        <v>1987.78</v>
      </c>
      <c r="H72" s="304">
        <v>1541.2</v>
      </c>
      <c r="I72" s="304">
        <f t="shared" si="2"/>
        <v>486305.65602272155</v>
      </c>
      <c r="J72" s="305"/>
      <c r="K72" s="304" t="s">
        <v>157</v>
      </c>
      <c r="L72" s="304" t="s">
        <v>158</v>
      </c>
      <c r="M72" s="88">
        <f t="shared" si="3"/>
        <v>15085500.091130394</v>
      </c>
      <c r="N72" s="48"/>
    </row>
    <row r="73" spans="1:14" x14ac:dyDescent="0.25">
      <c r="A73" s="303" t="s">
        <v>47</v>
      </c>
      <c r="B73" s="303" t="s">
        <v>48</v>
      </c>
      <c r="C73" s="304" t="s">
        <v>446</v>
      </c>
      <c r="D73" s="304" t="s">
        <v>444</v>
      </c>
      <c r="E73" s="304">
        <v>25000</v>
      </c>
      <c r="F73" s="304">
        <v>15350.03</v>
      </c>
      <c r="G73" s="304">
        <v>21412.99</v>
      </c>
      <c r="H73" s="304">
        <v>15736.83</v>
      </c>
      <c r="I73" s="304">
        <f t="shared" si="2"/>
        <v>2960859.9870416769</v>
      </c>
      <c r="J73" s="305"/>
      <c r="K73" s="304" t="s">
        <v>159</v>
      </c>
      <c r="L73" s="304" t="s">
        <v>160</v>
      </c>
      <c r="M73" s="88">
        <f t="shared" si="3"/>
        <v>2387490.2800736572</v>
      </c>
      <c r="N73" s="48"/>
    </row>
    <row r="74" spans="1:14" x14ac:dyDescent="0.25">
      <c r="A74" s="303" t="s">
        <v>47</v>
      </c>
      <c r="B74" s="303" t="s">
        <v>48</v>
      </c>
      <c r="C74" s="304" t="s">
        <v>443</v>
      </c>
      <c r="D74" s="304" t="s">
        <v>444</v>
      </c>
      <c r="E74" s="304">
        <v>3150</v>
      </c>
      <c r="F74" s="304">
        <v>865.14</v>
      </c>
      <c r="G74" s="304">
        <v>1285.1400000000001</v>
      </c>
      <c r="H74" s="304">
        <v>1513.66</v>
      </c>
      <c r="I74" s="304">
        <f t="shared" si="2"/>
        <v>476596.3107818712</v>
      </c>
      <c r="J74" s="305"/>
      <c r="K74" s="304" t="s">
        <v>161</v>
      </c>
      <c r="L74" s="304" t="s">
        <v>162</v>
      </c>
      <c r="M74" s="88">
        <f t="shared" si="3"/>
        <v>0</v>
      </c>
      <c r="N74" s="48"/>
    </row>
    <row r="75" spans="1:14" x14ac:dyDescent="0.25">
      <c r="A75" s="303" t="s">
        <v>47</v>
      </c>
      <c r="B75" s="303" t="s">
        <v>48</v>
      </c>
      <c r="C75" s="304" t="s">
        <v>446</v>
      </c>
      <c r="D75" s="304" t="s">
        <v>444</v>
      </c>
      <c r="E75" s="304">
        <v>125000</v>
      </c>
      <c r="F75" s="304">
        <v>49009.599999999999</v>
      </c>
      <c r="G75" s="304">
        <v>61797.82</v>
      </c>
      <c r="H75" s="304">
        <v>50880.67</v>
      </c>
      <c r="I75" s="304">
        <f t="shared" si="2"/>
        <v>8250890.2738708556</v>
      </c>
      <c r="J75" s="305"/>
      <c r="K75" s="304" t="s">
        <v>163</v>
      </c>
      <c r="L75" s="304" t="s">
        <v>164</v>
      </c>
      <c r="M75" s="88">
        <f t="shared" si="3"/>
        <v>10331976.632532073</v>
      </c>
      <c r="N75" s="48"/>
    </row>
    <row r="76" spans="1:14" x14ac:dyDescent="0.25">
      <c r="A76" s="303" t="s">
        <v>47</v>
      </c>
      <c r="B76" s="303" t="s">
        <v>48</v>
      </c>
      <c r="C76" s="304" t="s">
        <v>443</v>
      </c>
      <c r="D76" s="304" t="s">
        <v>444</v>
      </c>
      <c r="E76" s="304">
        <v>16000</v>
      </c>
      <c r="F76" s="304">
        <v>4401.78</v>
      </c>
      <c r="G76" s="304">
        <v>10267.950000000001</v>
      </c>
      <c r="H76" s="304">
        <v>6125.12</v>
      </c>
      <c r="I76" s="304">
        <f t="shared" si="2"/>
        <v>1700847.4411831631</v>
      </c>
      <c r="J76" s="305"/>
      <c r="K76" s="304" t="s">
        <v>165</v>
      </c>
      <c r="L76" s="304" t="s">
        <v>166</v>
      </c>
      <c r="M76" s="88">
        <f t="shared" si="3"/>
        <v>708116.78202552511</v>
      </c>
      <c r="N76" s="48"/>
    </row>
    <row r="77" spans="1:14" x14ac:dyDescent="0.25">
      <c r="A77" s="303" t="s">
        <v>47</v>
      </c>
      <c r="B77" s="303" t="s">
        <v>48</v>
      </c>
      <c r="C77" s="304" t="s">
        <v>443</v>
      </c>
      <c r="D77" s="304" t="s">
        <v>444</v>
      </c>
      <c r="E77" s="304">
        <v>8000</v>
      </c>
      <c r="F77" s="304">
        <v>1193.98</v>
      </c>
      <c r="G77" s="304">
        <v>2579.89</v>
      </c>
      <c r="H77" s="304">
        <v>1835.25</v>
      </c>
      <c r="I77" s="304">
        <f t="shared" si="2"/>
        <v>870935.15271234</v>
      </c>
      <c r="J77" s="305"/>
      <c r="K77" s="304" t="s">
        <v>167</v>
      </c>
      <c r="L77" s="304" t="s">
        <v>168</v>
      </c>
      <c r="M77" s="88">
        <f t="shared" si="3"/>
        <v>14833235.700242234</v>
      </c>
      <c r="N77" s="48"/>
    </row>
    <row r="78" spans="1:14" x14ac:dyDescent="0.25">
      <c r="A78" s="303" t="s">
        <v>457</v>
      </c>
      <c r="B78" s="303" t="s">
        <v>50</v>
      </c>
      <c r="C78" s="304" t="s">
        <v>443</v>
      </c>
      <c r="D78" s="304" t="s">
        <v>444</v>
      </c>
      <c r="E78" s="304">
        <v>48000</v>
      </c>
      <c r="F78" s="304">
        <v>8894</v>
      </c>
      <c r="G78" s="304">
        <v>10571</v>
      </c>
      <c r="H78" s="304">
        <v>9326</v>
      </c>
      <c r="I78" s="304">
        <f t="shared" si="2"/>
        <v>3068895.5966490079</v>
      </c>
      <c r="J78" s="305"/>
      <c r="K78" s="304" t="s">
        <v>169</v>
      </c>
      <c r="L78" s="304" t="s">
        <v>170</v>
      </c>
      <c r="M78" s="88">
        <f t="shared" si="3"/>
        <v>5591554.3069683686</v>
      </c>
      <c r="N78" s="48"/>
    </row>
    <row r="79" spans="1:14" x14ac:dyDescent="0.25">
      <c r="A79" s="303" t="s">
        <v>457</v>
      </c>
      <c r="B79" s="303" t="s">
        <v>50</v>
      </c>
      <c r="C79" s="304" t="s">
        <v>443</v>
      </c>
      <c r="D79" s="304" t="s">
        <v>444</v>
      </c>
      <c r="E79" s="304">
        <v>10000</v>
      </c>
      <c r="F79" s="304">
        <v>3757</v>
      </c>
      <c r="G79" s="304">
        <v>3504</v>
      </c>
      <c r="H79" s="304">
        <v>2897</v>
      </c>
      <c r="I79" s="304">
        <f t="shared" si="2"/>
        <v>1056625.6823364424</v>
      </c>
      <c r="J79" s="305"/>
      <c r="K79" s="304" t="s">
        <v>171</v>
      </c>
      <c r="L79" s="304" t="s">
        <v>172</v>
      </c>
      <c r="M79" s="88">
        <f t="shared" si="3"/>
        <v>14934061.816619871</v>
      </c>
      <c r="N79" s="48"/>
    </row>
    <row r="80" spans="1:14" x14ac:dyDescent="0.25">
      <c r="A80" s="303" t="s">
        <v>457</v>
      </c>
      <c r="B80" s="303" t="s">
        <v>50</v>
      </c>
      <c r="C80" s="304" t="s">
        <v>443</v>
      </c>
      <c r="D80" s="304" t="s">
        <v>444</v>
      </c>
      <c r="E80" s="304">
        <v>5400</v>
      </c>
      <c r="F80" s="304">
        <v>1650</v>
      </c>
      <c r="G80" s="304">
        <v>1987</v>
      </c>
      <c r="H80" s="304">
        <v>2422</v>
      </c>
      <c r="I80" s="304">
        <f t="shared" si="2"/>
        <v>697348.06658780866</v>
      </c>
      <c r="J80" s="305"/>
      <c r="K80" s="304" t="s">
        <v>173</v>
      </c>
      <c r="L80" s="304" t="s">
        <v>174</v>
      </c>
      <c r="M80" s="88">
        <f t="shared" si="3"/>
        <v>17932969.311473228</v>
      </c>
      <c r="N80" s="48"/>
    </row>
    <row r="81" spans="1:14" x14ac:dyDescent="0.25">
      <c r="A81" s="303" t="s">
        <v>457</v>
      </c>
      <c r="B81" s="303" t="s">
        <v>50</v>
      </c>
      <c r="C81" s="304" t="s">
        <v>446</v>
      </c>
      <c r="D81" s="304" t="s">
        <v>444</v>
      </c>
      <c r="E81" s="304">
        <v>21560</v>
      </c>
      <c r="F81" s="304">
        <v>9011</v>
      </c>
      <c r="G81" s="304">
        <v>11182</v>
      </c>
      <c r="H81" s="304">
        <v>10137</v>
      </c>
      <c r="I81" s="304">
        <f t="shared" si="2"/>
        <v>2290280.0730677694</v>
      </c>
      <c r="J81" s="305"/>
      <c r="K81" s="304" t="s">
        <v>175</v>
      </c>
      <c r="L81" s="304" t="s">
        <v>176</v>
      </c>
      <c r="M81" s="88">
        <f t="shared" si="3"/>
        <v>11213091.623946024</v>
      </c>
      <c r="N81" s="48"/>
    </row>
    <row r="82" spans="1:14" x14ac:dyDescent="0.25">
      <c r="A82" s="303" t="s">
        <v>457</v>
      </c>
      <c r="B82" s="303" t="s">
        <v>50</v>
      </c>
      <c r="C82" s="304" t="s">
        <v>443</v>
      </c>
      <c r="D82" s="304" t="s">
        <v>444</v>
      </c>
      <c r="E82" s="304">
        <v>2540</v>
      </c>
      <c r="F82" s="304">
        <v>689</v>
      </c>
      <c r="G82" s="304">
        <v>765</v>
      </c>
      <c r="H82" s="304">
        <v>1068</v>
      </c>
      <c r="I82" s="304">
        <f t="shared" si="2"/>
        <v>394562.54576838762</v>
      </c>
      <c r="J82" s="305"/>
      <c r="K82" s="304" t="s">
        <v>177</v>
      </c>
      <c r="L82" s="304" t="s">
        <v>178</v>
      </c>
      <c r="M82" s="88">
        <f t="shared" si="3"/>
        <v>7755656.8944550343</v>
      </c>
      <c r="N82" s="48"/>
    </row>
    <row r="83" spans="1:14" x14ac:dyDescent="0.25">
      <c r="A83" s="303" t="s">
        <v>457</v>
      </c>
      <c r="B83" s="303" t="s">
        <v>50</v>
      </c>
      <c r="C83" s="304" t="s">
        <v>443</v>
      </c>
      <c r="D83" s="304" t="s">
        <v>444</v>
      </c>
      <c r="E83" s="304">
        <v>25000</v>
      </c>
      <c r="F83" s="304">
        <v>11498</v>
      </c>
      <c r="G83" s="304">
        <v>13881</v>
      </c>
      <c r="H83" s="304">
        <v>13619</v>
      </c>
      <c r="I83" s="304">
        <f t="shared" si="2"/>
        <v>2269940.3116076542</v>
      </c>
      <c r="J83" s="305"/>
      <c r="K83" s="304" t="s">
        <v>179</v>
      </c>
      <c r="L83" s="304" t="s">
        <v>180</v>
      </c>
      <c r="M83" s="88">
        <f t="shared" si="3"/>
        <v>3025403.3493373985</v>
      </c>
      <c r="N83" s="48"/>
    </row>
    <row r="84" spans="1:14" x14ac:dyDescent="0.25">
      <c r="A84" s="303" t="s">
        <v>458</v>
      </c>
      <c r="B84" s="303" t="s">
        <v>54</v>
      </c>
      <c r="C84" s="304" t="s">
        <v>443</v>
      </c>
      <c r="D84" s="304" t="s">
        <v>444</v>
      </c>
      <c r="E84" s="304">
        <v>23000</v>
      </c>
      <c r="F84" s="304">
        <v>14782</v>
      </c>
      <c r="G84" s="304">
        <v>31179</v>
      </c>
      <c r="H84" s="304">
        <v>15758</v>
      </c>
      <c r="I84" s="304">
        <f t="shared" si="2"/>
        <v>2897792.5840328545</v>
      </c>
      <c r="J84" s="305"/>
      <c r="K84" s="304" t="s">
        <v>181</v>
      </c>
      <c r="L84" s="304" t="s">
        <v>182</v>
      </c>
      <c r="M84" s="88">
        <f t="shared" si="3"/>
        <v>0</v>
      </c>
      <c r="N84" s="48"/>
    </row>
    <row r="85" spans="1:14" x14ac:dyDescent="0.25">
      <c r="A85" s="303" t="s">
        <v>458</v>
      </c>
      <c r="B85" s="303" t="s">
        <v>54</v>
      </c>
      <c r="C85" s="304" t="s">
        <v>443</v>
      </c>
      <c r="D85" s="304" t="s">
        <v>444</v>
      </c>
      <c r="E85" s="304">
        <v>7700</v>
      </c>
      <c r="F85" s="304">
        <v>4081</v>
      </c>
      <c r="G85" s="304">
        <v>6214</v>
      </c>
      <c r="H85" s="304">
        <v>3451</v>
      </c>
      <c r="I85" s="304">
        <f t="shared" si="2"/>
        <v>1065487.5098651377</v>
      </c>
      <c r="J85" s="305"/>
      <c r="K85" s="304" t="s">
        <v>183</v>
      </c>
      <c r="L85" s="304" t="s">
        <v>184</v>
      </c>
      <c r="M85" s="88">
        <f t="shared" si="3"/>
        <v>4440289.0909847459</v>
      </c>
      <c r="N85" s="48"/>
    </row>
    <row r="86" spans="1:14" x14ac:dyDescent="0.25">
      <c r="A86" s="303" t="s">
        <v>458</v>
      </c>
      <c r="B86" s="303" t="s">
        <v>54</v>
      </c>
      <c r="C86" s="304" t="s">
        <v>446</v>
      </c>
      <c r="D86" s="304" t="s">
        <v>444</v>
      </c>
      <c r="E86" s="304">
        <v>130000</v>
      </c>
      <c r="F86" s="304">
        <v>61729</v>
      </c>
      <c r="G86" s="304">
        <v>58063</v>
      </c>
      <c r="H86" s="304">
        <v>0</v>
      </c>
      <c r="I86" s="304">
        <f t="shared" si="2"/>
        <v>8410646.69950171</v>
      </c>
      <c r="J86" s="305"/>
      <c r="K86" s="304" t="s">
        <v>185</v>
      </c>
      <c r="L86" s="304" t="s">
        <v>186</v>
      </c>
      <c r="M86" s="88">
        <f t="shared" si="3"/>
        <v>5669610.7926147375</v>
      </c>
      <c r="N86" s="48"/>
    </row>
    <row r="87" spans="1:14" x14ac:dyDescent="0.25">
      <c r="A87" s="303" t="s">
        <v>458</v>
      </c>
      <c r="B87" s="303" t="s">
        <v>54</v>
      </c>
      <c r="C87" s="304" t="s">
        <v>446</v>
      </c>
      <c r="D87" s="304" t="s">
        <v>444</v>
      </c>
      <c r="E87" s="304">
        <v>7735</v>
      </c>
      <c r="F87" s="304">
        <v>2536</v>
      </c>
      <c r="G87" s="304">
        <v>3823</v>
      </c>
      <c r="H87" s="304">
        <v>2978</v>
      </c>
      <c r="I87" s="304">
        <f t="shared" si="2"/>
        <v>1064272.4599906635</v>
      </c>
      <c r="J87" s="305"/>
      <c r="K87" s="304" t="s">
        <v>187</v>
      </c>
      <c r="L87" s="304" t="s">
        <v>188</v>
      </c>
      <c r="M87" s="88">
        <f t="shared" si="3"/>
        <v>11697879.933699524</v>
      </c>
      <c r="N87" s="48"/>
    </row>
    <row r="88" spans="1:14" x14ac:dyDescent="0.25">
      <c r="A88" s="303" t="s">
        <v>458</v>
      </c>
      <c r="B88" s="303" t="s">
        <v>54</v>
      </c>
      <c r="C88" s="304" t="s">
        <v>446</v>
      </c>
      <c r="D88" s="304" t="s">
        <v>444</v>
      </c>
      <c r="E88" s="304">
        <v>3500</v>
      </c>
      <c r="F88" s="304">
        <v>2294</v>
      </c>
      <c r="G88" s="304">
        <v>2683</v>
      </c>
      <c r="H88" s="304">
        <v>2294</v>
      </c>
      <c r="I88" s="304">
        <f t="shared" si="2"/>
        <v>671573.90032482799</v>
      </c>
      <c r="J88" s="305"/>
      <c r="K88" s="304" t="s">
        <v>189</v>
      </c>
      <c r="L88" s="304" t="s">
        <v>190</v>
      </c>
      <c r="M88" s="88">
        <f t="shared" si="3"/>
        <v>6601150.1592392204</v>
      </c>
      <c r="N88" s="48"/>
    </row>
    <row r="89" spans="1:14" x14ac:dyDescent="0.25">
      <c r="A89" s="303" t="s">
        <v>458</v>
      </c>
      <c r="B89" s="303" t="s">
        <v>54</v>
      </c>
      <c r="C89" s="304" t="s">
        <v>446</v>
      </c>
      <c r="D89" s="304" t="s">
        <v>444</v>
      </c>
      <c r="E89" s="304">
        <v>84000</v>
      </c>
      <c r="F89" s="304">
        <v>100638</v>
      </c>
      <c r="G89" s="304">
        <v>77913</v>
      </c>
      <c r="H89" s="304">
        <v>0</v>
      </c>
      <c r="I89" s="304">
        <f t="shared" si="2"/>
        <v>8180568.4779121093</v>
      </c>
      <c r="J89" s="305"/>
      <c r="K89" s="304" t="s">
        <v>191</v>
      </c>
      <c r="L89" s="304" t="s">
        <v>192</v>
      </c>
      <c r="M89" s="88">
        <f t="shared" si="3"/>
        <v>11652521.727612633</v>
      </c>
      <c r="N89" s="48"/>
    </row>
    <row r="90" spans="1:14" x14ac:dyDescent="0.25">
      <c r="A90" s="303" t="s">
        <v>459</v>
      </c>
      <c r="B90" s="303" t="s">
        <v>56</v>
      </c>
      <c r="C90" s="304" t="s">
        <v>443</v>
      </c>
      <c r="D90" s="304" t="s">
        <v>445</v>
      </c>
      <c r="E90" s="304">
        <v>450</v>
      </c>
      <c r="F90" s="304">
        <v>77</v>
      </c>
      <c r="G90" s="304">
        <v>27</v>
      </c>
      <c r="H90" s="304">
        <v>131</v>
      </c>
      <c r="I90" s="304">
        <f t="shared" si="2"/>
        <v>114534.24878795644</v>
      </c>
      <c r="J90" s="305"/>
      <c r="K90" s="304" t="s">
        <v>193</v>
      </c>
      <c r="L90" s="304" t="s">
        <v>194</v>
      </c>
      <c r="M90" s="88">
        <f t="shared" si="3"/>
        <v>19873396.946369991</v>
      </c>
      <c r="N90" s="48"/>
    </row>
    <row r="91" spans="1:14" x14ac:dyDescent="0.25">
      <c r="A91" s="303" t="s">
        <v>459</v>
      </c>
      <c r="B91" s="303" t="s">
        <v>56</v>
      </c>
      <c r="C91" s="304" t="s">
        <v>443</v>
      </c>
      <c r="D91" s="304" t="s">
        <v>444</v>
      </c>
      <c r="E91" s="304">
        <v>4500</v>
      </c>
      <c r="F91" s="304">
        <v>1956</v>
      </c>
      <c r="G91" s="304">
        <v>485</v>
      </c>
      <c r="H91" s="304">
        <v>2796</v>
      </c>
      <c r="I91" s="304">
        <f t="shared" si="2"/>
        <v>662518.67288262944</v>
      </c>
      <c r="J91" s="305"/>
      <c r="K91" s="304" t="s">
        <v>195</v>
      </c>
      <c r="L91" s="304" t="s">
        <v>196</v>
      </c>
      <c r="M91" s="88">
        <f t="shared" si="3"/>
        <v>0</v>
      </c>
      <c r="N91" s="48"/>
    </row>
    <row r="92" spans="1:14" x14ac:dyDescent="0.25">
      <c r="A92" s="303" t="s">
        <v>459</v>
      </c>
      <c r="B92" s="303" t="s">
        <v>56</v>
      </c>
      <c r="C92" s="304" t="s">
        <v>443</v>
      </c>
      <c r="D92" s="304" t="s">
        <v>444</v>
      </c>
      <c r="E92" s="304">
        <v>10000</v>
      </c>
      <c r="F92" s="304">
        <v>1222</v>
      </c>
      <c r="G92" s="304">
        <v>467</v>
      </c>
      <c r="H92" s="304">
        <v>1642</v>
      </c>
      <c r="I92" s="304">
        <f t="shared" si="2"/>
        <v>934467.0698878041</v>
      </c>
      <c r="J92" s="305"/>
      <c r="K92" s="304" t="s">
        <v>197</v>
      </c>
      <c r="L92" s="304" t="s">
        <v>198</v>
      </c>
      <c r="M92" s="88">
        <f t="shared" si="3"/>
        <v>10345334.265343536</v>
      </c>
      <c r="N92" s="48"/>
    </row>
    <row r="93" spans="1:14" x14ac:dyDescent="0.25">
      <c r="A93" s="303" t="s">
        <v>459</v>
      </c>
      <c r="B93" s="303" t="s">
        <v>56</v>
      </c>
      <c r="C93" s="304" t="s">
        <v>443</v>
      </c>
      <c r="D93" s="304" t="s">
        <v>444</v>
      </c>
      <c r="E93" s="304">
        <v>12000</v>
      </c>
      <c r="F93" s="304">
        <v>9755</v>
      </c>
      <c r="G93" s="304">
        <v>4489</v>
      </c>
      <c r="H93" s="304">
        <v>9313</v>
      </c>
      <c r="I93" s="304">
        <f t="shared" si="2"/>
        <v>1480509.4380215569</v>
      </c>
      <c r="J93" s="305"/>
      <c r="K93" s="304" t="s">
        <v>199</v>
      </c>
      <c r="L93" s="304" t="s">
        <v>200</v>
      </c>
      <c r="M93" s="88">
        <f t="shared" si="3"/>
        <v>5923931.3006967157</v>
      </c>
      <c r="N93" s="48"/>
    </row>
    <row r="94" spans="1:14" x14ac:dyDescent="0.25">
      <c r="A94" s="303" t="s">
        <v>459</v>
      </c>
      <c r="B94" s="303" t="s">
        <v>56</v>
      </c>
      <c r="C94" s="304" t="s">
        <v>443</v>
      </c>
      <c r="D94" s="304" t="s">
        <v>444</v>
      </c>
      <c r="E94" s="304">
        <v>3500</v>
      </c>
      <c r="F94" s="304">
        <v>1565</v>
      </c>
      <c r="G94" s="304">
        <v>497</v>
      </c>
      <c r="H94" s="304">
        <v>2275</v>
      </c>
      <c r="I94" s="304">
        <f t="shared" si="2"/>
        <v>557789.0128030898</v>
      </c>
      <c r="J94" s="305"/>
      <c r="K94" s="304" t="s">
        <v>201</v>
      </c>
      <c r="L94" s="304" t="s">
        <v>202</v>
      </c>
      <c r="M94" s="88">
        <f t="shared" si="3"/>
        <v>35925799.067160003</v>
      </c>
      <c r="N94" s="48"/>
    </row>
    <row r="95" spans="1:14" x14ac:dyDescent="0.25">
      <c r="A95" s="303" t="s">
        <v>459</v>
      </c>
      <c r="B95" s="303" t="s">
        <v>56</v>
      </c>
      <c r="C95" s="304" t="s">
        <v>443</v>
      </c>
      <c r="D95" s="304" t="s">
        <v>444</v>
      </c>
      <c r="E95" s="304">
        <v>70000</v>
      </c>
      <c r="F95" s="304">
        <v>24159</v>
      </c>
      <c r="G95" s="304">
        <v>6103</v>
      </c>
      <c r="H95" s="304">
        <v>26143</v>
      </c>
      <c r="I95" s="304">
        <f t="shared" si="2"/>
        <v>4419723.4596742438</v>
      </c>
      <c r="J95" s="305"/>
      <c r="K95" s="304" t="s">
        <v>203</v>
      </c>
      <c r="L95" s="304" t="s">
        <v>204</v>
      </c>
      <c r="M95" s="88">
        <f t="shared" si="3"/>
        <v>8926526.670564333</v>
      </c>
      <c r="N95" s="48"/>
    </row>
    <row r="96" spans="1:14" x14ac:dyDescent="0.25">
      <c r="A96" s="303" t="s">
        <v>459</v>
      </c>
      <c r="B96" s="303" t="s">
        <v>56</v>
      </c>
      <c r="C96" s="304" t="s">
        <v>443</v>
      </c>
      <c r="D96" s="304" t="s">
        <v>444</v>
      </c>
      <c r="E96" s="304">
        <v>12000</v>
      </c>
      <c r="F96" s="304">
        <v>1824</v>
      </c>
      <c r="G96" s="304">
        <v>1149</v>
      </c>
      <c r="H96" s="304">
        <v>37919</v>
      </c>
      <c r="I96" s="304">
        <f t="shared" si="2"/>
        <v>2728295.3141113198</v>
      </c>
      <c r="J96" s="305"/>
      <c r="K96" s="304" t="s">
        <v>205</v>
      </c>
      <c r="L96" s="304" t="s">
        <v>206</v>
      </c>
      <c r="M96" s="88">
        <f t="shared" si="3"/>
        <v>0</v>
      </c>
      <c r="N96" s="48"/>
    </row>
    <row r="97" spans="1:14" x14ac:dyDescent="0.25">
      <c r="A97" s="303" t="s">
        <v>459</v>
      </c>
      <c r="B97" s="303" t="s">
        <v>56</v>
      </c>
      <c r="C97" s="304" t="s">
        <v>443</v>
      </c>
      <c r="D97" s="304" t="s">
        <v>444</v>
      </c>
      <c r="E97" s="304">
        <v>3500</v>
      </c>
      <c r="F97" s="304">
        <v>1320</v>
      </c>
      <c r="G97" s="304">
        <v>384</v>
      </c>
      <c r="H97" s="304">
        <v>2059</v>
      </c>
      <c r="I97" s="304">
        <f t="shared" si="2"/>
        <v>542356.9926150695</v>
      </c>
      <c r="J97" s="305"/>
      <c r="K97" s="304" t="s">
        <v>207</v>
      </c>
      <c r="L97" s="304" t="s">
        <v>208</v>
      </c>
      <c r="M97" s="88">
        <f t="shared" si="3"/>
        <v>21736053.070141468</v>
      </c>
      <c r="N97" s="48"/>
    </row>
    <row r="98" spans="1:14" x14ac:dyDescent="0.25">
      <c r="A98" s="303" t="s">
        <v>460</v>
      </c>
      <c r="B98" s="303" t="s">
        <v>58</v>
      </c>
      <c r="C98" s="304" t="s">
        <v>443</v>
      </c>
      <c r="D98" s="304" t="s">
        <v>444</v>
      </c>
      <c r="E98" s="304">
        <v>25000</v>
      </c>
      <c r="F98" s="304">
        <v>11524</v>
      </c>
      <c r="G98" s="304">
        <v>12396</v>
      </c>
      <c r="H98" s="304">
        <v>14611</v>
      </c>
      <c r="I98" s="304">
        <f t="shared" si="2"/>
        <v>2301230.5210441337</v>
      </c>
      <c r="J98" s="305"/>
      <c r="K98" s="304" t="s">
        <v>209</v>
      </c>
      <c r="L98" s="304" t="s">
        <v>210</v>
      </c>
      <c r="M98" s="88">
        <f t="shared" si="3"/>
        <v>16244836.826046316</v>
      </c>
      <c r="N98" s="48"/>
    </row>
    <row r="99" spans="1:14" x14ac:dyDescent="0.25">
      <c r="A99" s="303" t="s">
        <v>460</v>
      </c>
      <c r="B99" s="303" t="s">
        <v>58</v>
      </c>
      <c r="C99" s="304" t="s">
        <v>446</v>
      </c>
      <c r="D99" s="304" t="s">
        <v>444</v>
      </c>
      <c r="E99" s="304">
        <v>76300</v>
      </c>
      <c r="F99" s="304">
        <v>30479</v>
      </c>
      <c r="G99" s="304">
        <v>34036</v>
      </c>
      <c r="H99" s="304">
        <v>35242</v>
      </c>
      <c r="I99" s="304">
        <f t="shared" si="2"/>
        <v>5645284.6711738519</v>
      </c>
      <c r="J99" s="305"/>
      <c r="K99" s="304" t="s">
        <v>211</v>
      </c>
      <c r="L99" s="304" t="s">
        <v>212</v>
      </c>
      <c r="M99" s="88">
        <f t="shared" si="3"/>
        <v>13578151.899962686</v>
      </c>
      <c r="N99" s="48"/>
    </row>
    <row r="100" spans="1:14" x14ac:dyDescent="0.25">
      <c r="A100" s="303" t="s">
        <v>460</v>
      </c>
      <c r="B100" s="303" t="s">
        <v>58</v>
      </c>
      <c r="C100" s="304" t="s">
        <v>446</v>
      </c>
      <c r="D100" s="304" t="s">
        <v>444</v>
      </c>
      <c r="E100" s="304">
        <v>26000</v>
      </c>
      <c r="F100" s="304">
        <v>20351</v>
      </c>
      <c r="G100" s="304">
        <v>24616</v>
      </c>
      <c r="H100" s="304">
        <v>18156</v>
      </c>
      <c r="I100" s="304">
        <f t="shared" si="2"/>
        <v>3155927.3766091038</v>
      </c>
      <c r="J100" s="305"/>
      <c r="K100" s="304" t="s">
        <v>213</v>
      </c>
      <c r="L100" s="304" t="s">
        <v>214</v>
      </c>
      <c r="M100" s="88">
        <f t="shared" si="3"/>
        <v>10071861.204428306</v>
      </c>
      <c r="N100" s="48"/>
    </row>
    <row r="101" spans="1:14" x14ac:dyDescent="0.25">
      <c r="A101" s="303" t="s">
        <v>461</v>
      </c>
      <c r="B101" s="303" t="s">
        <v>60</v>
      </c>
      <c r="C101" s="304" t="s">
        <v>443</v>
      </c>
      <c r="D101" s="304" t="s">
        <v>444</v>
      </c>
      <c r="E101" s="304">
        <v>25200</v>
      </c>
      <c r="F101" s="304">
        <v>14820</v>
      </c>
      <c r="G101" s="304">
        <v>17782</v>
      </c>
      <c r="H101" s="304">
        <v>17550</v>
      </c>
      <c r="I101" s="304">
        <f t="shared" si="2"/>
        <v>2443805.5343539566</v>
      </c>
      <c r="J101" s="305"/>
      <c r="K101" s="304" t="s">
        <v>215</v>
      </c>
      <c r="L101" s="304" t="s">
        <v>216</v>
      </c>
      <c r="M101" s="88">
        <f t="shared" si="3"/>
        <v>26703283.995403122</v>
      </c>
      <c r="N101" s="48"/>
    </row>
    <row r="102" spans="1:14" x14ac:dyDescent="0.25">
      <c r="A102" s="303" t="s">
        <v>461</v>
      </c>
      <c r="B102" s="303" t="s">
        <v>60</v>
      </c>
      <c r="C102" s="304" t="s">
        <v>446</v>
      </c>
      <c r="D102" s="304" t="s">
        <v>444</v>
      </c>
      <c r="E102" s="304">
        <v>12100</v>
      </c>
      <c r="F102" s="304">
        <v>7393</v>
      </c>
      <c r="G102" s="304">
        <v>8622</v>
      </c>
      <c r="H102" s="304">
        <v>9083</v>
      </c>
      <c r="I102" s="304">
        <f t="shared" si="2"/>
        <v>1662256.1151695007</v>
      </c>
      <c r="J102" s="305"/>
      <c r="K102" s="304" t="s">
        <v>217</v>
      </c>
      <c r="L102" s="304" t="s">
        <v>218</v>
      </c>
      <c r="M102" s="88">
        <f t="shared" si="3"/>
        <v>36423081.630077787</v>
      </c>
      <c r="N102" s="48"/>
    </row>
    <row r="103" spans="1:14" x14ac:dyDescent="0.25">
      <c r="A103" s="303" t="s">
        <v>461</v>
      </c>
      <c r="B103" s="303" t="s">
        <v>60</v>
      </c>
      <c r="C103" s="304" t="s">
        <v>443</v>
      </c>
      <c r="D103" s="304" t="s">
        <v>445</v>
      </c>
      <c r="E103" s="304">
        <v>1000</v>
      </c>
      <c r="F103" s="304">
        <v>332</v>
      </c>
      <c r="G103" s="304">
        <v>428</v>
      </c>
      <c r="H103" s="304">
        <v>617</v>
      </c>
      <c r="I103" s="304">
        <f t="shared" si="2"/>
        <v>218023.21200847553</v>
      </c>
      <c r="J103" s="305"/>
      <c r="K103" s="304" t="s">
        <v>219</v>
      </c>
      <c r="L103" s="304" t="s">
        <v>220</v>
      </c>
      <c r="M103" s="88">
        <f t="shared" si="3"/>
        <v>16418057.401595186</v>
      </c>
      <c r="N103" s="48"/>
    </row>
    <row r="104" spans="1:14" ht="15.75" thickBot="1" x14ac:dyDescent="0.3">
      <c r="A104" s="303" t="s">
        <v>61</v>
      </c>
      <c r="B104" s="303" t="s">
        <v>62</v>
      </c>
      <c r="C104" s="304" t="s">
        <v>446</v>
      </c>
      <c r="D104" s="304" t="s">
        <v>444</v>
      </c>
      <c r="E104" s="304">
        <v>420000</v>
      </c>
      <c r="F104" s="304">
        <v>125966</v>
      </c>
      <c r="G104" s="304">
        <v>118429</v>
      </c>
      <c r="H104" s="304">
        <v>84867</v>
      </c>
      <c r="I104" s="304">
        <f t="shared" si="2"/>
        <v>18168749.795814674</v>
      </c>
      <c r="J104" s="305"/>
      <c r="K104" s="310" t="s">
        <v>221</v>
      </c>
      <c r="L104" s="310" t="s">
        <v>222</v>
      </c>
      <c r="M104" s="88">
        <f t="shared" si="3"/>
        <v>6633188.9220075347</v>
      </c>
      <c r="N104" s="48"/>
    </row>
    <row r="105" spans="1:14" x14ac:dyDescent="0.25">
      <c r="A105" s="303" t="s">
        <v>462</v>
      </c>
      <c r="B105" s="303" t="s">
        <v>66</v>
      </c>
      <c r="C105" s="304" t="s">
        <v>446</v>
      </c>
      <c r="D105" s="304" t="s">
        <v>456</v>
      </c>
      <c r="E105" s="304">
        <v>60</v>
      </c>
      <c r="F105" s="304">
        <v>0</v>
      </c>
      <c r="G105" s="304">
        <v>0</v>
      </c>
      <c r="H105" s="304">
        <v>0</v>
      </c>
      <c r="I105" s="304">
        <f t="shared" si="2"/>
        <v>18719.323467483744</v>
      </c>
      <c r="J105" s="73"/>
      <c r="K105" s="48"/>
      <c r="L105" s="48"/>
      <c r="M105" s="91"/>
      <c r="N105" s="48"/>
    </row>
    <row r="106" spans="1:14" x14ac:dyDescent="0.25">
      <c r="A106" s="303" t="s">
        <v>462</v>
      </c>
      <c r="B106" s="303" t="s">
        <v>66</v>
      </c>
      <c r="C106" s="304" t="s">
        <v>443</v>
      </c>
      <c r="D106" s="304" t="s">
        <v>456</v>
      </c>
      <c r="E106" s="304">
        <v>40</v>
      </c>
      <c r="F106" s="304">
        <v>0</v>
      </c>
      <c r="G106" s="304">
        <v>0</v>
      </c>
      <c r="H106" s="304">
        <v>0</v>
      </c>
      <c r="I106" s="304">
        <f t="shared" si="2"/>
        <v>15166.968523373735</v>
      </c>
      <c r="J106" s="73"/>
      <c r="K106" s="48"/>
      <c r="L106" s="48"/>
      <c r="M106" s="14"/>
      <c r="N106" s="48"/>
    </row>
    <row r="107" spans="1:14" x14ac:dyDescent="0.25">
      <c r="A107" s="303" t="s">
        <v>462</v>
      </c>
      <c r="B107" s="303" t="s">
        <v>66</v>
      </c>
      <c r="C107" s="304" t="s">
        <v>446</v>
      </c>
      <c r="D107" s="304" t="s">
        <v>445</v>
      </c>
      <c r="E107" s="304">
        <v>690</v>
      </c>
      <c r="F107" s="304">
        <v>18</v>
      </c>
      <c r="G107" s="304">
        <v>19</v>
      </c>
      <c r="H107" s="304">
        <v>11</v>
      </c>
      <c r="I107" s="304">
        <f t="shared" si="2"/>
        <v>129812.47174444115</v>
      </c>
      <c r="J107" s="73"/>
      <c r="K107" s="48"/>
      <c r="L107" s="48"/>
      <c r="M107" s="14"/>
      <c r="N107" s="48"/>
    </row>
    <row r="108" spans="1:14" x14ac:dyDescent="0.25">
      <c r="A108" s="303" t="s">
        <v>462</v>
      </c>
      <c r="B108" s="303" t="s">
        <v>66</v>
      </c>
      <c r="C108" s="304" t="s">
        <v>446</v>
      </c>
      <c r="D108" s="304" t="s">
        <v>444</v>
      </c>
      <c r="E108" s="304">
        <v>260000</v>
      </c>
      <c r="F108" s="304">
        <v>165800</v>
      </c>
      <c r="G108" s="304">
        <v>133900</v>
      </c>
      <c r="H108" s="304">
        <v>101500</v>
      </c>
      <c r="I108" s="304">
        <f t="shared" si="2"/>
        <v>15130961.555326251</v>
      </c>
      <c r="J108" s="73"/>
      <c r="K108" s="48"/>
      <c r="L108" s="48"/>
      <c r="M108" s="14"/>
      <c r="N108" s="48"/>
    </row>
    <row r="109" spans="1:14" x14ac:dyDescent="0.25">
      <c r="A109" s="303" t="s">
        <v>462</v>
      </c>
      <c r="B109" s="303" t="s">
        <v>66</v>
      </c>
      <c r="C109" s="304" t="s">
        <v>446</v>
      </c>
      <c r="D109" s="304" t="s">
        <v>456</v>
      </c>
      <c r="E109" s="304">
        <v>45</v>
      </c>
      <c r="F109" s="304">
        <v>0</v>
      </c>
      <c r="G109" s="304">
        <v>0</v>
      </c>
      <c r="H109" s="304">
        <v>0</v>
      </c>
      <c r="I109" s="304">
        <f t="shared" si="2"/>
        <v>16123.040489012412</v>
      </c>
      <c r="J109" s="73"/>
      <c r="K109" s="48"/>
      <c r="L109" s="48"/>
      <c r="M109" s="14"/>
      <c r="N109" s="48"/>
    </row>
    <row r="110" spans="1:14" x14ac:dyDescent="0.25">
      <c r="A110" s="303" t="s">
        <v>462</v>
      </c>
      <c r="B110" s="303" t="s">
        <v>66</v>
      </c>
      <c r="C110" s="304" t="s">
        <v>443</v>
      </c>
      <c r="D110" s="304" t="s">
        <v>444</v>
      </c>
      <c r="E110" s="304">
        <v>92000</v>
      </c>
      <c r="F110" s="304">
        <v>82200</v>
      </c>
      <c r="G110" s="304">
        <v>79500</v>
      </c>
      <c r="H110" s="304">
        <v>57000</v>
      </c>
      <c r="I110" s="304">
        <f t="shared" si="2"/>
        <v>6845089.4961917326</v>
      </c>
      <c r="J110" s="73"/>
      <c r="K110" s="48"/>
      <c r="L110" s="48"/>
      <c r="M110" s="14"/>
      <c r="N110" s="48"/>
    </row>
    <row r="111" spans="1:14" x14ac:dyDescent="0.25">
      <c r="A111" s="303" t="s">
        <v>462</v>
      </c>
      <c r="B111" s="303" t="s">
        <v>66</v>
      </c>
      <c r="C111" s="304" t="s">
        <v>446</v>
      </c>
      <c r="D111" s="304" t="s">
        <v>444</v>
      </c>
      <c r="E111" s="304">
        <v>135000</v>
      </c>
      <c r="F111" s="304">
        <v>30900</v>
      </c>
      <c r="G111" s="304">
        <v>36100</v>
      </c>
      <c r="H111" s="304">
        <v>42700</v>
      </c>
      <c r="I111" s="304">
        <f t="shared" si="2"/>
        <v>7953185.481795188</v>
      </c>
      <c r="J111" s="73"/>
      <c r="K111" s="48"/>
      <c r="L111" s="48"/>
      <c r="M111" s="14"/>
      <c r="N111" s="48"/>
    </row>
    <row r="112" spans="1:14" x14ac:dyDescent="0.25">
      <c r="A112" s="303" t="s">
        <v>462</v>
      </c>
      <c r="B112" s="303" t="s">
        <v>66</v>
      </c>
      <c r="C112" s="304" t="s">
        <v>446</v>
      </c>
      <c r="D112" s="304" t="s">
        <v>444</v>
      </c>
      <c r="E112" s="304">
        <v>7500</v>
      </c>
      <c r="F112" s="304">
        <v>2100</v>
      </c>
      <c r="G112" s="304">
        <v>2400</v>
      </c>
      <c r="H112" s="304">
        <v>2700</v>
      </c>
      <c r="I112" s="304">
        <f t="shared" si="2"/>
        <v>970735.45183927577</v>
      </c>
      <c r="J112" s="73"/>
      <c r="K112" s="48"/>
      <c r="L112" s="48"/>
      <c r="M112" s="14"/>
      <c r="N112" s="48"/>
    </row>
    <row r="113" spans="1:14" x14ac:dyDescent="0.25">
      <c r="A113" s="303" t="s">
        <v>462</v>
      </c>
      <c r="B113" s="303" t="s">
        <v>66</v>
      </c>
      <c r="C113" s="304" t="s">
        <v>443</v>
      </c>
      <c r="D113" s="304" t="s">
        <v>448</v>
      </c>
      <c r="E113" s="304">
        <v>500</v>
      </c>
      <c r="F113" s="304">
        <v>304</v>
      </c>
      <c r="G113" s="304">
        <v>345</v>
      </c>
      <c r="H113" s="304">
        <v>774</v>
      </c>
      <c r="I113" s="304">
        <f t="shared" si="2"/>
        <v>183388.62352747223</v>
      </c>
      <c r="J113" s="73"/>
      <c r="K113" s="48"/>
      <c r="L113" s="48"/>
      <c r="M113" s="14"/>
      <c r="N113" s="48"/>
    </row>
    <row r="114" spans="1:14" x14ac:dyDescent="0.25">
      <c r="A114" s="303" t="s">
        <v>67</v>
      </c>
      <c r="B114" s="303" t="s">
        <v>68</v>
      </c>
      <c r="C114" s="304" t="s">
        <v>443</v>
      </c>
      <c r="D114" s="304" t="s">
        <v>444</v>
      </c>
      <c r="E114" s="304">
        <v>7000</v>
      </c>
      <c r="F114" s="304">
        <v>1339</v>
      </c>
      <c r="G114" s="304">
        <v>2567</v>
      </c>
      <c r="H114" s="304">
        <v>2355</v>
      </c>
      <c r="I114" s="304">
        <f t="shared" si="2"/>
        <v>808758.13375234418</v>
      </c>
      <c r="J114" s="73"/>
      <c r="K114" s="48"/>
      <c r="L114" s="48"/>
      <c r="M114" s="14"/>
      <c r="N114" s="48"/>
    </row>
    <row r="115" spans="1:14" x14ac:dyDescent="0.25">
      <c r="A115" s="303" t="s">
        <v>67</v>
      </c>
      <c r="B115" s="303" t="s">
        <v>68</v>
      </c>
      <c r="C115" s="304" t="s">
        <v>443</v>
      </c>
      <c r="D115" s="304" t="s">
        <v>444</v>
      </c>
      <c r="E115" s="304">
        <v>6500</v>
      </c>
      <c r="F115" s="304">
        <v>3381</v>
      </c>
      <c r="G115" s="304">
        <v>4964</v>
      </c>
      <c r="H115" s="304">
        <v>4041</v>
      </c>
      <c r="I115" s="304">
        <f t="shared" si="2"/>
        <v>923930.10526985454</v>
      </c>
      <c r="J115" s="73"/>
      <c r="K115" s="48"/>
      <c r="L115" s="48"/>
      <c r="M115" s="14"/>
      <c r="N115" s="48"/>
    </row>
    <row r="116" spans="1:14" x14ac:dyDescent="0.25">
      <c r="A116" s="303" t="s">
        <v>67</v>
      </c>
      <c r="B116" s="303" t="s">
        <v>68</v>
      </c>
      <c r="C116" s="304" t="s">
        <v>446</v>
      </c>
      <c r="D116" s="304" t="s">
        <v>444</v>
      </c>
      <c r="E116" s="304">
        <v>48000</v>
      </c>
      <c r="F116" s="304">
        <v>29184</v>
      </c>
      <c r="G116" s="304">
        <v>31385</v>
      </c>
      <c r="H116" s="304">
        <v>25080</v>
      </c>
      <c r="I116" s="304">
        <f t="shared" si="2"/>
        <v>4395200.2091509989</v>
      </c>
      <c r="J116" s="73"/>
      <c r="K116" s="48"/>
      <c r="L116" s="48"/>
      <c r="M116" s="14"/>
      <c r="N116" s="48"/>
    </row>
    <row r="117" spans="1:14" x14ac:dyDescent="0.25">
      <c r="A117" s="303" t="s">
        <v>67</v>
      </c>
      <c r="B117" s="303" t="s">
        <v>68</v>
      </c>
      <c r="C117" s="304" t="s">
        <v>446</v>
      </c>
      <c r="D117" s="304" t="s">
        <v>444</v>
      </c>
      <c r="E117" s="304">
        <v>12000</v>
      </c>
      <c r="F117" s="304">
        <v>5937</v>
      </c>
      <c r="G117" s="304">
        <v>8637</v>
      </c>
      <c r="H117" s="304">
        <v>7240</v>
      </c>
      <c r="I117" s="304">
        <f t="shared" si="2"/>
        <v>1630613.5069561689</v>
      </c>
      <c r="J117" s="73"/>
      <c r="K117" s="48"/>
      <c r="L117" s="48"/>
      <c r="M117" s="14"/>
      <c r="N117" s="48"/>
    </row>
    <row r="118" spans="1:14" x14ac:dyDescent="0.25">
      <c r="A118" s="303" t="s">
        <v>67</v>
      </c>
      <c r="B118" s="303" t="s">
        <v>68</v>
      </c>
      <c r="C118" s="304" t="s">
        <v>443</v>
      </c>
      <c r="D118" s="304" t="s">
        <v>444</v>
      </c>
      <c r="E118" s="304">
        <v>13000</v>
      </c>
      <c r="F118" s="304">
        <v>5446</v>
      </c>
      <c r="G118" s="304">
        <v>7875</v>
      </c>
      <c r="H118" s="304">
        <v>6080</v>
      </c>
      <c r="I118" s="304">
        <f t="shared" si="2"/>
        <v>1436192.9288756917</v>
      </c>
      <c r="J118" s="73"/>
      <c r="K118" s="48"/>
      <c r="L118" s="48"/>
      <c r="M118" s="14"/>
      <c r="N118" s="48"/>
    </row>
    <row r="119" spans="1:14" x14ac:dyDescent="0.25">
      <c r="A119" s="303" t="s">
        <v>67</v>
      </c>
      <c r="B119" s="303" t="s">
        <v>68</v>
      </c>
      <c r="C119" s="304" t="s">
        <v>443</v>
      </c>
      <c r="D119" s="304" t="s">
        <v>444</v>
      </c>
      <c r="E119" s="304">
        <v>2500</v>
      </c>
      <c r="F119" s="304">
        <v>790</v>
      </c>
      <c r="G119" s="304">
        <v>1191</v>
      </c>
      <c r="H119" s="304">
        <v>1439</v>
      </c>
      <c r="I119" s="304">
        <f t="shared" si="2"/>
        <v>420893.06856870645</v>
      </c>
      <c r="J119" s="73"/>
      <c r="K119" s="48"/>
      <c r="L119" s="48"/>
      <c r="M119" s="14"/>
      <c r="N119" s="48"/>
    </row>
    <row r="120" spans="1:14" x14ac:dyDescent="0.25">
      <c r="A120" s="303" t="s">
        <v>69</v>
      </c>
      <c r="B120" s="303" t="s">
        <v>70</v>
      </c>
      <c r="C120" s="304" t="s">
        <v>446</v>
      </c>
      <c r="D120" s="304" t="s">
        <v>444</v>
      </c>
      <c r="E120" s="304">
        <v>31969</v>
      </c>
      <c r="F120" s="304">
        <v>17944</v>
      </c>
      <c r="G120" s="304">
        <v>33962</v>
      </c>
      <c r="H120" s="304">
        <v>25269</v>
      </c>
      <c r="I120" s="304">
        <f t="shared" si="2"/>
        <v>3833726.7580057401</v>
      </c>
      <c r="J120" s="73"/>
      <c r="K120" s="48"/>
      <c r="L120" s="48"/>
      <c r="M120" s="14"/>
      <c r="N120" s="48"/>
    </row>
    <row r="121" spans="1:14" x14ac:dyDescent="0.25">
      <c r="A121" s="303" t="s">
        <v>77</v>
      </c>
      <c r="B121" s="303" t="s">
        <v>78</v>
      </c>
      <c r="C121" s="304" t="s">
        <v>446</v>
      </c>
      <c r="D121" s="304" t="s">
        <v>444</v>
      </c>
      <c r="E121" s="304">
        <v>71000</v>
      </c>
      <c r="F121" s="304">
        <v>42203</v>
      </c>
      <c r="G121" s="304">
        <v>59584</v>
      </c>
      <c r="H121" s="304">
        <v>49384</v>
      </c>
      <c r="I121" s="304">
        <f t="shared" si="2"/>
        <v>6339663.1142663127</v>
      </c>
      <c r="J121" s="73"/>
      <c r="K121" s="48"/>
      <c r="L121" s="48"/>
      <c r="M121" s="14"/>
      <c r="N121" s="48"/>
    </row>
    <row r="122" spans="1:14" x14ac:dyDescent="0.25">
      <c r="A122" s="303" t="s">
        <v>463</v>
      </c>
      <c r="B122" s="303" t="s">
        <v>80</v>
      </c>
      <c r="C122" s="304" t="s">
        <v>443</v>
      </c>
      <c r="D122" s="304" t="s">
        <v>448</v>
      </c>
      <c r="E122" s="304">
        <v>9900</v>
      </c>
      <c r="F122" s="304">
        <v>1789</v>
      </c>
      <c r="G122" s="304">
        <v>3549.04</v>
      </c>
      <c r="H122" s="304">
        <v>2155.02</v>
      </c>
      <c r="I122" s="304">
        <f t="shared" si="2"/>
        <v>1039164.9207168858</v>
      </c>
      <c r="J122" s="73"/>
      <c r="K122" s="48"/>
      <c r="L122" s="48"/>
      <c r="M122" s="14"/>
      <c r="N122" s="48"/>
    </row>
    <row r="123" spans="1:14" x14ac:dyDescent="0.25">
      <c r="A123" s="303" t="s">
        <v>463</v>
      </c>
      <c r="B123" s="303" t="s">
        <v>80</v>
      </c>
      <c r="C123" s="304" t="s">
        <v>443</v>
      </c>
      <c r="D123" s="304" t="s">
        <v>444</v>
      </c>
      <c r="E123" s="304">
        <v>2200</v>
      </c>
      <c r="F123" s="304">
        <v>1652</v>
      </c>
      <c r="G123" s="304">
        <v>2320.6999999999998</v>
      </c>
      <c r="H123" s="304">
        <v>1405.94</v>
      </c>
      <c r="I123" s="304">
        <f t="shared" si="2"/>
        <v>465799.56419816829</v>
      </c>
      <c r="J123" s="73"/>
      <c r="K123" s="48"/>
      <c r="L123" s="48"/>
      <c r="M123" s="14"/>
      <c r="N123" s="48"/>
    </row>
    <row r="124" spans="1:14" x14ac:dyDescent="0.25">
      <c r="A124" s="303" t="s">
        <v>463</v>
      </c>
      <c r="B124" s="303" t="s">
        <v>80</v>
      </c>
      <c r="C124" s="304" t="s">
        <v>443</v>
      </c>
      <c r="D124" s="304" t="s">
        <v>444</v>
      </c>
      <c r="E124" s="304">
        <v>48000</v>
      </c>
      <c r="F124" s="304">
        <v>10119</v>
      </c>
      <c r="G124" s="304">
        <v>13518.58</v>
      </c>
      <c r="H124" s="304">
        <v>11391.1</v>
      </c>
      <c r="I124" s="304">
        <f t="shared" si="2"/>
        <v>3181825.2966443347</v>
      </c>
      <c r="J124" s="73"/>
      <c r="K124" s="48"/>
      <c r="L124" s="48"/>
      <c r="M124" s="14"/>
      <c r="N124" s="48"/>
    </row>
    <row r="125" spans="1:14" x14ac:dyDescent="0.25">
      <c r="A125" s="303" t="s">
        <v>463</v>
      </c>
      <c r="B125" s="303" t="s">
        <v>80</v>
      </c>
      <c r="C125" s="304" t="s">
        <v>443</v>
      </c>
      <c r="D125" s="304" t="s">
        <v>445</v>
      </c>
      <c r="E125" s="304">
        <v>4200</v>
      </c>
      <c r="F125" s="304">
        <v>1112</v>
      </c>
      <c r="G125" s="304">
        <v>1701.08</v>
      </c>
      <c r="H125" s="304">
        <v>1434.02</v>
      </c>
      <c r="I125" s="304">
        <f t="shared" si="2"/>
        <v>492134.51417478872</v>
      </c>
      <c r="J125" s="73"/>
      <c r="K125" s="48"/>
      <c r="L125" s="48"/>
      <c r="M125" s="14"/>
      <c r="N125" s="48"/>
    </row>
    <row r="126" spans="1:14" x14ac:dyDescent="0.25">
      <c r="A126" s="303" t="s">
        <v>463</v>
      </c>
      <c r="B126" s="303" t="s">
        <v>80</v>
      </c>
      <c r="C126" s="304" t="s">
        <v>443</v>
      </c>
      <c r="D126" s="304" t="s">
        <v>448</v>
      </c>
      <c r="E126" s="304">
        <v>7000</v>
      </c>
      <c r="F126" s="304">
        <v>4126</v>
      </c>
      <c r="G126" s="304">
        <v>5312.18</v>
      </c>
      <c r="H126" s="304">
        <v>4704.1099999999997</v>
      </c>
      <c r="I126" s="304">
        <f t="shared" si="2"/>
        <v>973765.13192712865</v>
      </c>
      <c r="J126" s="73"/>
      <c r="K126" s="48"/>
      <c r="L126" s="48"/>
      <c r="M126" s="14"/>
      <c r="N126" s="48"/>
    </row>
    <row r="127" spans="1:14" x14ac:dyDescent="0.25">
      <c r="A127" s="303" t="s">
        <v>463</v>
      </c>
      <c r="B127" s="303" t="s">
        <v>80</v>
      </c>
      <c r="C127" s="304" t="s">
        <v>443</v>
      </c>
      <c r="D127" s="304" t="s">
        <v>444</v>
      </c>
      <c r="E127" s="304">
        <v>27500</v>
      </c>
      <c r="F127" s="304">
        <v>17583</v>
      </c>
      <c r="G127" s="304">
        <v>22630.09</v>
      </c>
      <c r="H127" s="304">
        <v>19743.61</v>
      </c>
      <c r="I127" s="304">
        <f t="shared" si="2"/>
        <v>2736781.8201130745</v>
      </c>
      <c r="J127" s="73"/>
      <c r="K127" s="48"/>
      <c r="L127" s="48"/>
      <c r="M127" s="14"/>
      <c r="N127" s="48"/>
    </row>
    <row r="128" spans="1:14" x14ac:dyDescent="0.25">
      <c r="A128" s="303" t="s">
        <v>463</v>
      </c>
      <c r="B128" s="303" t="s">
        <v>80</v>
      </c>
      <c r="C128" s="304" t="s">
        <v>443</v>
      </c>
      <c r="D128" s="304" t="s">
        <v>444</v>
      </c>
      <c r="E128" s="304">
        <v>13000</v>
      </c>
      <c r="F128" s="304">
        <v>6214</v>
      </c>
      <c r="G128" s="304">
        <v>10808.77</v>
      </c>
      <c r="H128" s="304">
        <v>5761.19</v>
      </c>
      <c r="I128" s="304">
        <f t="shared" si="2"/>
        <v>1582144.3114390676</v>
      </c>
      <c r="J128" s="73"/>
      <c r="K128" s="48"/>
      <c r="L128" s="48"/>
      <c r="M128" s="14"/>
      <c r="N128" s="48"/>
    </row>
    <row r="129" spans="1:14" x14ac:dyDescent="0.25">
      <c r="A129" s="303" t="s">
        <v>463</v>
      </c>
      <c r="B129" s="303" t="s">
        <v>80</v>
      </c>
      <c r="C129" s="304" t="s">
        <v>443</v>
      </c>
      <c r="D129" s="304" t="s">
        <v>444</v>
      </c>
      <c r="E129" s="304">
        <v>7500</v>
      </c>
      <c r="F129" s="304">
        <v>2721</v>
      </c>
      <c r="G129" s="304">
        <v>3741.33</v>
      </c>
      <c r="H129" s="304">
        <v>3583.79</v>
      </c>
      <c r="I129" s="304">
        <f t="shared" si="2"/>
        <v>910687.79640571121</v>
      </c>
      <c r="J129" s="73"/>
      <c r="K129" s="48"/>
      <c r="L129" s="48"/>
      <c r="M129" s="14"/>
      <c r="N129" s="48"/>
    </row>
    <row r="130" spans="1:14" x14ac:dyDescent="0.25">
      <c r="A130" s="303" t="s">
        <v>464</v>
      </c>
      <c r="B130" s="303" t="s">
        <v>82</v>
      </c>
      <c r="C130" s="304" t="s">
        <v>446</v>
      </c>
      <c r="D130" s="304" t="s">
        <v>449</v>
      </c>
      <c r="E130" s="304">
        <v>120</v>
      </c>
      <c r="F130" s="304">
        <v>120</v>
      </c>
      <c r="G130" s="304">
        <v>120</v>
      </c>
      <c r="H130" s="304">
        <v>84</v>
      </c>
      <c r="I130" s="304">
        <f t="shared" si="2"/>
        <v>65684.039252510556</v>
      </c>
      <c r="J130" s="73"/>
      <c r="K130" s="48"/>
      <c r="L130" s="48"/>
      <c r="M130" s="14"/>
      <c r="N130" s="48"/>
    </row>
    <row r="131" spans="1:14" x14ac:dyDescent="0.25">
      <c r="A131" s="303" t="s">
        <v>464</v>
      </c>
      <c r="B131" s="303" t="s">
        <v>82</v>
      </c>
      <c r="C131" s="304" t="s">
        <v>443</v>
      </c>
      <c r="D131" s="304" t="s">
        <v>444</v>
      </c>
      <c r="E131" s="304">
        <v>8198</v>
      </c>
      <c r="F131" s="304">
        <v>4599</v>
      </c>
      <c r="G131" s="304">
        <v>5919</v>
      </c>
      <c r="H131" s="304">
        <v>5557</v>
      </c>
      <c r="I131" s="304">
        <f t="shared" ref="I131:I194" si="4">IF(D131="M",(AVERAGE(E131,MAX(F131:H131))^0.519)*3203.7913,IF(OR(D131="MB",D131="MK",D131="MBK",D131="MBN"),(AVERAGE(E131,MAX(F131:H131))^0.6289)*3234.9142,IF(AND(C131="Landzone og sommerhusområde",OR(D131="MBNKD",D131="MBNK/MBND")),(AVERAGE(E131,MAX(F131:H131))^0.736)*1583.1635,IF(AND(C131="Byzone",OR(D131="MBNKD",D131="MBNK/MBND")),(AVERAGE(E131,MAX(F131:H131))^0.736)*1812.7138,0))))</f>
        <v>1076906.7746045664</v>
      </c>
      <c r="J131" s="73"/>
      <c r="K131" s="48"/>
      <c r="L131" s="48"/>
      <c r="M131" s="14"/>
      <c r="N131" s="48"/>
    </row>
    <row r="132" spans="1:14" x14ac:dyDescent="0.25">
      <c r="A132" s="303" t="s">
        <v>464</v>
      </c>
      <c r="B132" s="303" t="s">
        <v>82</v>
      </c>
      <c r="C132" s="304" t="s">
        <v>443</v>
      </c>
      <c r="D132" s="304" t="s">
        <v>444</v>
      </c>
      <c r="E132" s="304">
        <v>0</v>
      </c>
      <c r="F132" s="304">
        <v>0</v>
      </c>
      <c r="G132" s="304">
        <v>0</v>
      </c>
      <c r="H132" s="304">
        <v>0</v>
      </c>
      <c r="I132" s="304">
        <f t="shared" si="4"/>
        <v>0</v>
      </c>
      <c r="J132" s="73"/>
      <c r="K132" s="48"/>
      <c r="L132" s="48"/>
      <c r="M132" s="14"/>
      <c r="N132" s="48"/>
    </row>
    <row r="133" spans="1:14" x14ac:dyDescent="0.25">
      <c r="A133" s="303" t="s">
        <v>464</v>
      </c>
      <c r="B133" s="303" t="s">
        <v>82</v>
      </c>
      <c r="C133" s="304" t="s">
        <v>443</v>
      </c>
      <c r="D133" s="304" t="s">
        <v>444</v>
      </c>
      <c r="E133" s="304">
        <v>7000</v>
      </c>
      <c r="F133" s="304">
        <v>2380</v>
      </c>
      <c r="G133" s="304">
        <v>4328</v>
      </c>
      <c r="H133" s="304">
        <v>4174</v>
      </c>
      <c r="I133" s="304">
        <f t="shared" si="4"/>
        <v>915850.26769946981</v>
      </c>
      <c r="J133" s="73"/>
      <c r="K133" s="48"/>
      <c r="L133" s="48"/>
      <c r="M133" s="14"/>
      <c r="N133" s="48"/>
    </row>
    <row r="134" spans="1:14" x14ac:dyDescent="0.25">
      <c r="A134" s="303" t="s">
        <v>464</v>
      </c>
      <c r="B134" s="303" t="s">
        <v>82</v>
      </c>
      <c r="C134" s="304" t="s">
        <v>443</v>
      </c>
      <c r="D134" s="304" t="s">
        <v>456</v>
      </c>
      <c r="E134" s="304">
        <v>75</v>
      </c>
      <c r="F134" s="304">
        <v>75</v>
      </c>
      <c r="G134" s="304">
        <v>75</v>
      </c>
      <c r="H134" s="304">
        <v>75</v>
      </c>
      <c r="I134" s="304">
        <f t="shared" si="4"/>
        <v>30117.645242678227</v>
      </c>
      <c r="J134" s="73"/>
      <c r="K134" s="48"/>
      <c r="L134" s="48"/>
      <c r="M134" s="14"/>
      <c r="N134" s="48"/>
    </row>
    <row r="135" spans="1:14" x14ac:dyDescent="0.25">
      <c r="A135" s="303" t="s">
        <v>464</v>
      </c>
      <c r="B135" s="303" t="s">
        <v>82</v>
      </c>
      <c r="C135" s="304" t="s">
        <v>443</v>
      </c>
      <c r="D135" s="304" t="s">
        <v>444</v>
      </c>
      <c r="E135" s="304">
        <v>4500</v>
      </c>
      <c r="F135" s="304">
        <v>2147</v>
      </c>
      <c r="G135" s="304">
        <v>2673</v>
      </c>
      <c r="H135" s="304">
        <v>2649</v>
      </c>
      <c r="I135" s="304">
        <f t="shared" si="4"/>
        <v>654279.78650458006</v>
      </c>
      <c r="J135" s="73"/>
      <c r="K135" s="48"/>
      <c r="L135" s="48"/>
      <c r="M135" s="14"/>
      <c r="N135" s="48"/>
    </row>
    <row r="136" spans="1:14" x14ac:dyDescent="0.25">
      <c r="A136" s="303" t="s">
        <v>464</v>
      </c>
      <c r="B136" s="303" t="s">
        <v>82</v>
      </c>
      <c r="C136" s="304" t="s">
        <v>443</v>
      </c>
      <c r="D136" s="304" t="s">
        <v>456</v>
      </c>
      <c r="E136" s="304">
        <v>50</v>
      </c>
      <c r="F136" s="304">
        <v>50</v>
      </c>
      <c r="G136" s="304">
        <v>50</v>
      </c>
      <c r="H136" s="304">
        <v>50</v>
      </c>
      <c r="I136" s="304">
        <f t="shared" si="4"/>
        <v>24402.237516078338</v>
      </c>
      <c r="J136" s="73"/>
      <c r="K136" s="48"/>
      <c r="L136" s="48"/>
      <c r="M136" s="14"/>
      <c r="N136" s="48"/>
    </row>
    <row r="137" spans="1:14" x14ac:dyDescent="0.25">
      <c r="A137" s="303" t="s">
        <v>464</v>
      </c>
      <c r="B137" s="303" t="s">
        <v>82</v>
      </c>
      <c r="C137" s="304" t="s">
        <v>443</v>
      </c>
      <c r="D137" s="304" t="s">
        <v>456</v>
      </c>
      <c r="E137" s="304">
        <v>135</v>
      </c>
      <c r="F137" s="304">
        <v>135</v>
      </c>
      <c r="G137" s="304">
        <v>135</v>
      </c>
      <c r="H137" s="304">
        <v>135</v>
      </c>
      <c r="I137" s="304">
        <f t="shared" si="4"/>
        <v>40860.854406909166</v>
      </c>
      <c r="J137" s="73"/>
      <c r="K137" s="48"/>
      <c r="L137" s="48"/>
      <c r="M137" s="14"/>
      <c r="N137" s="48"/>
    </row>
    <row r="138" spans="1:14" x14ac:dyDescent="0.25">
      <c r="A138" s="303" t="s">
        <v>464</v>
      </c>
      <c r="B138" s="303" t="s">
        <v>82</v>
      </c>
      <c r="C138" s="304" t="s">
        <v>443</v>
      </c>
      <c r="D138" s="304" t="s">
        <v>444</v>
      </c>
      <c r="E138" s="304">
        <v>11000</v>
      </c>
      <c r="F138" s="304">
        <v>3404</v>
      </c>
      <c r="G138" s="304">
        <v>6124</v>
      </c>
      <c r="H138" s="304">
        <v>4984</v>
      </c>
      <c r="I138" s="304">
        <f t="shared" si="4"/>
        <v>1241369.6783096741</v>
      </c>
      <c r="J138" s="73"/>
      <c r="K138" s="48"/>
      <c r="L138" s="48"/>
      <c r="M138" s="14"/>
      <c r="N138" s="48"/>
    </row>
    <row r="139" spans="1:14" x14ac:dyDescent="0.25">
      <c r="A139" s="303" t="s">
        <v>464</v>
      </c>
      <c r="B139" s="303" t="s">
        <v>82</v>
      </c>
      <c r="C139" s="304" t="s">
        <v>446</v>
      </c>
      <c r="D139" s="304" t="s">
        <v>444</v>
      </c>
      <c r="E139" s="304">
        <v>35000</v>
      </c>
      <c r="F139" s="304">
        <v>22861</v>
      </c>
      <c r="G139" s="304">
        <v>36825</v>
      </c>
      <c r="H139" s="304">
        <v>28927</v>
      </c>
      <c r="I139" s="304">
        <f t="shared" si="4"/>
        <v>4083100.1397054694</v>
      </c>
      <c r="J139" s="73"/>
      <c r="K139" s="48"/>
      <c r="L139" s="48"/>
      <c r="M139" s="14"/>
      <c r="N139" s="48"/>
    </row>
    <row r="140" spans="1:14" x14ac:dyDescent="0.25">
      <c r="A140" s="303" t="s">
        <v>464</v>
      </c>
      <c r="B140" s="303" t="s">
        <v>82</v>
      </c>
      <c r="C140" s="304" t="s">
        <v>443</v>
      </c>
      <c r="D140" s="304" t="s">
        <v>447</v>
      </c>
      <c r="E140" s="304">
        <v>1500</v>
      </c>
      <c r="F140" s="304">
        <v>1500</v>
      </c>
      <c r="G140" s="304">
        <v>1500</v>
      </c>
      <c r="H140" s="304">
        <v>559</v>
      </c>
      <c r="I140" s="304">
        <f t="shared" si="4"/>
        <v>321592.979331968</v>
      </c>
      <c r="J140" s="73"/>
      <c r="K140" s="48"/>
      <c r="L140" s="48"/>
      <c r="M140" s="14"/>
      <c r="N140" s="48"/>
    </row>
    <row r="141" spans="1:14" x14ac:dyDescent="0.25">
      <c r="A141" s="303" t="s">
        <v>464</v>
      </c>
      <c r="B141" s="303" t="s">
        <v>82</v>
      </c>
      <c r="C141" s="304" t="s">
        <v>446</v>
      </c>
      <c r="D141" s="304" t="s">
        <v>447</v>
      </c>
      <c r="E141" s="304">
        <v>6000</v>
      </c>
      <c r="F141" s="304">
        <v>2571</v>
      </c>
      <c r="G141" s="304">
        <v>4184</v>
      </c>
      <c r="H141" s="304">
        <v>2907</v>
      </c>
      <c r="I141" s="304">
        <f t="shared" si="4"/>
        <v>693625.22375305498</v>
      </c>
      <c r="J141" s="73"/>
      <c r="K141" s="48"/>
      <c r="L141" s="48"/>
      <c r="M141" s="14"/>
      <c r="N141" s="48"/>
    </row>
    <row r="142" spans="1:14" x14ac:dyDescent="0.25">
      <c r="A142" s="303" t="s">
        <v>464</v>
      </c>
      <c r="B142" s="303" t="s">
        <v>82</v>
      </c>
      <c r="C142" s="304" t="s">
        <v>443</v>
      </c>
      <c r="D142" s="304" t="s">
        <v>456</v>
      </c>
      <c r="E142" s="304">
        <v>85</v>
      </c>
      <c r="F142" s="304">
        <v>85</v>
      </c>
      <c r="G142" s="304">
        <v>85</v>
      </c>
      <c r="H142" s="304">
        <v>85</v>
      </c>
      <c r="I142" s="304">
        <f t="shared" si="4"/>
        <v>32139.020759428484</v>
      </c>
      <c r="J142" s="73"/>
      <c r="K142" s="48"/>
      <c r="L142" s="48"/>
      <c r="M142" s="14"/>
      <c r="N142" s="48"/>
    </row>
    <row r="143" spans="1:14" x14ac:dyDescent="0.25">
      <c r="A143" s="303" t="s">
        <v>464</v>
      </c>
      <c r="B143" s="303" t="s">
        <v>82</v>
      </c>
      <c r="C143" s="304" t="s">
        <v>443</v>
      </c>
      <c r="D143" s="304" t="s">
        <v>444</v>
      </c>
      <c r="E143" s="304">
        <v>20000</v>
      </c>
      <c r="F143" s="304">
        <v>6750</v>
      </c>
      <c r="G143" s="304">
        <v>9080</v>
      </c>
      <c r="H143" s="304">
        <v>8490</v>
      </c>
      <c r="I143" s="304">
        <f t="shared" si="4"/>
        <v>1833045.1902908322</v>
      </c>
      <c r="J143" s="73"/>
      <c r="K143" s="48"/>
      <c r="L143" s="48"/>
      <c r="M143" s="14"/>
      <c r="N143" s="48"/>
    </row>
    <row r="144" spans="1:14" x14ac:dyDescent="0.25">
      <c r="A144" s="303" t="s">
        <v>465</v>
      </c>
      <c r="B144" s="303" t="s">
        <v>84</v>
      </c>
      <c r="C144" s="304" t="s">
        <v>443</v>
      </c>
      <c r="D144" s="304" t="s">
        <v>445</v>
      </c>
      <c r="E144" s="304">
        <v>2700</v>
      </c>
      <c r="F144" s="304">
        <v>565</v>
      </c>
      <c r="G144" s="304">
        <v>785</v>
      </c>
      <c r="H144" s="304">
        <v>1202</v>
      </c>
      <c r="I144" s="304">
        <f t="shared" si="4"/>
        <v>379407.19546775648</v>
      </c>
      <c r="J144" s="73"/>
      <c r="K144" s="48"/>
      <c r="L144" s="48"/>
      <c r="M144" s="14"/>
      <c r="N144" s="48"/>
    </row>
    <row r="145" spans="1:14" x14ac:dyDescent="0.25">
      <c r="A145" s="303" t="s">
        <v>465</v>
      </c>
      <c r="B145" s="303" t="s">
        <v>84</v>
      </c>
      <c r="C145" s="304" t="s">
        <v>446</v>
      </c>
      <c r="D145" s="304" t="s">
        <v>444</v>
      </c>
      <c r="E145" s="304">
        <v>10223</v>
      </c>
      <c r="F145" s="304">
        <v>7940</v>
      </c>
      <c r="G145" s="304">
        <v>9528</v>
      </c>
      <c r="H145" s="304">
        <v>7212</v>
      </c>
      <c r="I145" s="304">
        <f t="shared" si="4"/>
        <v>1578791.3333144169</v>
      </c>
      <c r="J145" s="73"/>
      <c r="K145" s="48"/>
      <c r="L145" s="48"/>
      <c r="M145" s="14"/>
      <c r="N145" s="48"/>
    </row>
    <row r="146" spans="1:14" x14ac:dyDescent="0.25">
      <c r="A146" s="303" t="s">
        <v>465</v>
      </c>
      <c r="B146" s="303" t="s">
        <v>84</v>
      </c>
      <c r="C146" s="304" t="s">
        <v>443</v>
      </c>
      <c r="D146" s="304" t="s">
        <v>448</v>
      </c>
      <c r="E146" s="304">
        <v>760</v>
      </c>
      <c r="F146" s="304">
        <v>459</v>
      </c>
      <c r="G146" s="304">
        <v>375</v>
      </c>
      <c r="H146" s="304">
        <v>366</v>
      </c>
      <c r="I146" s="304">
        <f t="shared" si="4"/>
        <v>177527.8196174168</v>
      </c>
      <c r="J146" s="73"/>
      <c r="K146" s="48"/>
      <c r="L146" s="48"/>
      <c r="M146" s="14"/>
      <c r="N146" s="48"/>
    </row>
    <row r="147" spans="1:14" x14ac:dyDescent="0.25">
      <c r="A147" s="303" t="s">
        <v>465</v>
      </c>
      <c r="B147" s="303" t="s">
        <v>84</v>
      </c>
      <c r="C147" s="304" t="s">
        <v>443</v>
      </c>
      <c r="D147" s="304" t="s">
        <v>445</v>
      </c>
      <c r="E147" s="304">
        <v>2500</v>
      </c>
      <c r="F147" s="304">
        <v>1101</v>
      </c>
      <c r="G147" s="304">
        <v>1248</v>
      </c>
      <c r="H147" s="304">
        <v>1326</v>
      </c>
      <c r="I147" s="304">
        <f t="shared" si="4"/>
        <v>374742.81168500008</v>
      </c>
      <c r="J147" s="73"/>
      <c r="K147" s="48"/>
      <c r="L147" s="48"/>
      <c r="M147" s="14"/>
      <c r="N147" s="48"/>
    </row>
    <row r="148" spans="1:14" x14ac:dyDescent="0.25">
      <c r="A148" s="303" t="s">
        <v>465</v>
      </c>
      <c r="B148" s="303" t="s">
        <v>84</v>
      </c>
      <c r="C148" s="304" t="s">
        <v>443</v>
      </c>
      <c r="D148" s="304" t="s">
        <v>466</v>
      </c>
      <c r="E148" s="304">
        <v>2526</v>
      </c>
      <c r="F148" s="304">
        <v>1891</v>
      </c>
      <c r="G148" s="304">
        <v>2767</v>
      </c>
      <c r="H148" s="304">
        <v>3091</v>
      </c>
      <c r="I148" s="304">
        <f t="shared" si="4"/>
        <v>477098.81098118512</v>
      </c>
      <c r="J148" s="73"/>
      <c r="K148" s="48"/>
      <c r="L148" s="48"/>
      <c r="M148" s="14"/>
      <c r="N148" s="48"/>
    </row>
    <row r="149" spans="1:14" x14ac:dyDescent="0.25">
      <c r="A149" s="303" t="s">
        <v>465</v>
      </c>
      <c r="B149" s="303" t="s">
        <v>84</v>
      </c>
      <c r="C149" s="304" t="s">
        <v>446</v>
      </c>
      <c r="D149" s="304" t="s">
        <v>444</v>
      </c>
      <c r="E149" s="304">
        <v>65000</v>
      </c>
      <c r="F149" s="304">
        <v>8685</v>
      </c>
      <c r="G149" s="304">
        <v>9584</v>
      </c>
      <c r="H149" s="304">
        <v>10365</v>
      </c>
      <c r="I149" s="304">
        <f t="shared" si="4"/>
        <v>4230269.7909748126</v>
      </c>
      <c r="J149" s="73"/>
      <c r="K149" s="48"/>
      <c r="L149" s="48"/>
      <c r="M149" s="14"/>
      <c r="N149" s="48"/>
    </row>
    <row r="150" spans="1:14" x14ac:dyDescent="0.25">
      <c r="A150" s="303" t="s">
        <v>465</v>
      </c>
      <c r="B150" s="303" t="s">
        <v>84</v>
      </c>
      <c r="C150" s="304" t="s">
        <v>446</v>
      </c>
      <c r="D150" s="304" t="s">
        <v>444</v>
      </c>
      <c r="E150" s="304">
        <v>38333</v>
      </c>
      <c r="F150" s="304">
        <v>37023</v>
      </c>
      <c r="G150" s="304">
        <v>52221</v>
      </c>
      <c r="H150" s="304">
        <v>34274</v>
      </c>
      <c r="I150" s="304">
        <f t="shared" si="4"/>
        <v>4842338.9602112798</v>
      </c>
      <c r="J150" s="73"/>
      <c r="K150" s="48"/>
      <c r="L150" s="48"/>
      <c r="M150" s="14"/>
      <c r="N150" s="48"/>
    </row>
    <row r="151" spans="1:14" x14ac:dyDescent="0.25">
      <c r="A151" s="303" t="s">
        <v>465</v>
      </c>
      <c r="B151" s="303" t="s">
        <v>84</v>
      </c>
      <c r="C151" s="304" t="s">
        <v>443</v>
      </c>
      <c r="D151" s="304" t="s">
        <v>445</v>
      </c>
      <c r="E151" s="304">
        <v>633</v>
      </c>
      <c r="F151" s="304">
        <v>219</v>
      </c>
      <c r="G151" s="304">
        <v>260</v>
      </c>
      <c r="H151" s="304">
        <v>332</v>
      </c>
      <c r="I151" s="304">
        <f t="shared" si="4"/>
        <v>157584.76536222815</v>
      </c>
      <c r="J151" s="73"/>
      <c r="K151" s="48"/>
      <c r="L151" s="48"/>
      <c r="M151" s="14"/>
      <c r="N151" s="48"/>
    </row>
    <row r="152" spans="1:14" x14ac:dyDescent="0.25">
      <c r="A152" s="303" t="s">
        <v>465</v>
      </c>
      <c r="B152" s="303" t="s">
        <v>84</v>
      </c>
      <c r="C152" s="304" t="s">
        <v>443</v>
      </c>
      <c r="D152" s="304" t="s">
        <v>448</v>
      </c>
      <c r="E152" s="304">
        <v>2000</v>
      </c>
      <c r="F152" s="304">
        <v>140</v>
      </c>
      <c r="G152" s="304">
        <v>332</v>
      </c>
      <c r="H152" s="304">
        <v>728</v>
      </c>
      <c r="I152" s="304">
        <f t="shared" si="4"/>
        <v>321180.48173792346</v>
      </c>
      <c r="J152" s="73"/>
      <c r="K152" s="48"/>
      <c r="L152" s="48"/>
      <c r="M152" s="14"/>
      <c r="N152" s="48"/>
    </row>
    <row r="153" spans="1:14" x14ac:dyDescent="0.25">
      <c r="A153" s="303" t="s">
        <v>465</v>
      </c>
      <c r="B153" s="303" t="s">
        <v>84</v>
      </c>
      <c r="C153" s="304" t="s">
        <v>443</v>
      </c>
      <c r="D153" s="304" t="s">
        <v>445</v>
      </c>
      <c r="E153" s="304">
        <v>1200</v>
      </c>
      <c r="F153" s="304">
        <v>519</v>
      </c>
      <c r="G153" s="304">
        <v>700</v>
      </c>
      <c r="H153" s="304">
        <v>834</v>
      </c>
      <c r="I153" s="304">
        <f t="shared" si="4"/>
        <v>251864.47395163501</v>
      </c>
      <c r="J153" s="73"/>
      <c r="K153" s="48"/>
      <c r="L153" s="48"/>
      <c r="M153" s="14"/>
      <c r="N153" s="48"/>
    </row>
    <row r="154" spans="1:14" x14ac:dyDescent="0.25">
      <c r="A154" s="303" t="s">
        <v>465</v>
      </c>
      <c r="B154" s="303" t="s">
        <v>84</v>
      </c>
      <c r="C154" s="304" t="s">
        <v>443</v>
      </c>
      <c r="D154" s="304" t="s">
        <v>466</v>
      </c>
      <c r="E154" s="304">
        <v>1955</v>
      </c>
      <c r="F154" s="304">
        <v>1478</v>
      </c>
      <c r="G154" s="304">
        <v>2017</v>
      </c>
      <c r="H154" s="304">
        <v>2433</v>
      </c>
      <c r="I154" s="304">
        <f t="shared" si="4"/>
        <v>408475.93793906999</v>
      </c>
      <c r="J154" s="73"/>
      <c r="K154" s="48"/>
      <c r="L154" s="48"/>
      <c r="M154" s="14"/>
      <c r="N154" s="48"/>
    </row>
    <row r="155" spans="1:14" x14ac:dyDescent="0.25">
      <c r="A155" s="303" t="s">
        <v>85</v>
      </c>
      <c r="B155" s="303" t="s">
        <v>86</v>
      </c>
      <c r="C155" s="304" t="s">
        <v>443</v>
      </c>
      <c r="D155" s="304" t="s">
        <v>444</v>
      </c>
      <c r="E155" s="304">
        <v>41600</v>
      </c>
      <c r="F155" s="304">
        <v>21510</v>
      </c>
      <c r="G155" s="304">
        <v>29998</v>
      </c>
      <c r="H155" s="304">
        <v>29211</v>
      </c>
      <c r="I155" s="304">
        <f t="shared" si="4"/>
        <v>3557744.4315402452</v>
      </c>
      <c r="J155" s="73"/>
      <c r="K155" s="48"/>
      <c r="L155" s="48"/>
      <c r="M155" s="14"/>
      <c r="N155" s="48"/>
    </row>
    <row r="156" spans="1:14" x14ac:dyDescent="0.25">
      <c r="A156" s="303" t="s">
        <v>85</v>
      </c>
      <c r="B156" s="303" t="s">
        <v>86</v>
      </c>
      <c r="C156" s="304" t="s">
        <v>443</v>
      </c>
      <c r="D156" s="304" t="s">
        <v>449</v>
      </c>
      <c r="E156" s="304">
        <v>150</v>
      </c>
      <c r="F156" s="304">
        <v>13</v>
      </c>
      <c r="G156" s="304">
        <v>21</v>
      </c>
      <c r="H156" s="304">
        <v>70</v>
      </c>
      <c r="I156" s="304">
        <f t="shared" si="4"/>
        <v>62186.286877861348</v>
      </c>
      <c r="J156" s="73"/>
      <c r="K156" s="48"/>
      <c r="L156" s="48"/>
      <c r="M156" s="14"/>
      <c r="N156" s="48"/>
    </row>
    <row r="157" spans="1:14" x14ac:dyDescent="0.25">
      <c r="A157" s="303" t="s">
        <v>467</v>
      </c>
      <c r="B157" s="303" t="s">
        <v>88</v>
      </c>
      <c r="C157" s="304" t="s">
        <v>443</v>
      </c>
      <c r="D157" s="304" t="s">
        <v>444</v>
      </c>
      <c r="E157" s="304">
        <v>22000</v>
      </c>
      <c r="F157" s="304">
        <v>16420</v>
      </c>
      <c r="G157" s="304">
        <v>17649</v>
      </c>
      <c r="H157" s="304">
        <v>9734</v>
      </c>
      <c r="I157" s="304">
        <f t="shared" si="4"/>
        <v>2302855.1371456957</v>
      </c>
      <c r="J157" s="73"/>
      <c r="K157" s="48"/>
      <c r="L157" s="48"/>
      <c r="M157" s="14"/>
      <c r="N157" s="48"/>
    </row>
    <row r="158" spans="1:14" x14ac:dyDescent="0.25">
      <c r="A158" s="303" t="s">
        <v>467</v>
      </c>
      <c r="B158" s="303" t="s">
        <v>88</v>
      </c>
      <c r="C158" s="304" t="s">
        <v>443</v>
      </c>
      <c r="D158" s="304" t="s">
        <v>444</v>
      </c>
      <c r="E158" s="304">
        <v>45000</v>
      </c>
      <c r="F158" s="304">
        <v>21449</v>
      </c>
      <c r="G158" s="304">
        <v>27847</v>
      </c>
      <c r="H158" s="304">
        <v>21963</v>
      </c>
      <c r="I158" s="304">
        <f t="shared" si="4"/>
        <v>3603318.7524279132</v>
      </c>
      <c r="J158" s="73"/>
      <c r="K158" s="48"/>
      <c r="L158" s="48"/>
      <c r="M158" s="14"/>
      <c r="N158" s="48"/>
    </row>
    <row r="159" spans="1:14" x14ac:dyDescent="0.25">
      <c r="A159" s="303" t="s">
        <v>467</v>
      </c>
      <c r="B159" s="303" t="s">
        <v>88</v>
      </c>
      <c r="C159" s="304" t="s">
        <v>443</v>
      </c>
      <c r="D159" s="304" t="s">
        <v>444</v>
      </c>
      <c r="E159" s="304">
        <v>1000</v>
      </c>
      <c r="F159" s="304">
        <v>137</v>
      </c>
      <c r="G159" s="304">
        <v>361</v>
      </c>
      <c r="H159" s="304">
        <v>455</v>
      </c>
      <c r="I159" s="304">
        <f t="shared" si="4"/>
        <v>202225.00502752032</v>
      </c>
      <c r="J159" s="73"/>
      <c r="K159" s="48"/>
      <c r="L159" s="48"/>
      <c r="M159" s="14"/>
      <c r="N159" s="48"/>
    </row>
    <row r="160" spans="1:14" x14ac:dyDescent="0.25">
      <c r="A160" s="303" t="s">
        <v>467</v>
      </c>
      <c r="B160" s="303" t="s">
        <v>88</v>
      </c>
      <c r="C160" s="304" t="s">
        <v>443</v>
      </c>
      <c r="D160" s="304" t="s">
        <v>444</v>
      </c>
      <c r="E160" s="304">
        <v>6000</v>
      </c>
      <c r="F160" s="304">
        <v>7295</v>
      </c>
      <c r="G160" s="304">
        <v>6961</v>
      </c>
      <c r="H160" s="304">
        <v>4432</v>
      </c>
      <c r="I160" s="304">
        <f t="shared" si="4"/>
        <v>1030391.604058439</v>
      </c>
      <c r="J160" s="73"/>
      <c r="K160" s="48"/>
      <c r="L160" s="48"/>
      <c r="M160" s="14"/>
      <c r="N160" s="48"/>
    </row>
    <row r="161" spans="1:14" x14ac:dyDescent="0.25">
      <c r="A161" s="303" t="s">
        <v>467</v>
      </c>
      <c r="B161" s="303" t="s">
        <v>88</v>
      </c>
      <c r="C161" s="304" t="s">
        <v>443</v>
      </c>
      <c r="D161" s="304" t="s">
        <v>444</v>
      </c>
      <c r="E161" s="304">
        <v>7500</v>
      </c>
      <c r="F161" s="304">
        <v>3529</v>
      </c>
      <c r="G161" s="304">
        <v>5877</v>
      </c>
      <c r="H161" s="304">
        <v>4688</v>
      </c>
      <c r="I161" s="304">
        <f t="shared" si="4"/>
        <v>1035065.2179650406</v>
      </c>
      <c r="J161" s="73"/>
      <c r="K161" s="48"/>
      <c r="L161" s="48"/>
      <c r="M161" s="14"/>
      <c r="N161" s="48"/>
    </row>
    <row r="162" spans="1:14" x14ac:dyDescent="0.25">
      <c r="A162" s="303" t="s">
        <v>468</v>
      </c>
      <c r="B162" s="303" t="s">
        <v>90</v>
      </c>
      <c r="C162" s="304" t="s">
        <v>443</v>
      </c>
      <c r="D162" s="304" t="s">
        <v>444</v>
      </c>
      <c r="E162" s="304">
        <v>2500</v>
      </c>
      <c r="F162" s="304">
        <v>1241</v>
      </c>
      <c r="G162" s="304">
        <v>1691</v>
      </c>
      <c r="H162" s="304">
        <v>1503</v>
      </c>
      <c r="I162" s="304">
        <f t="shared" si="4"/>
        <v>440548.25989060267</v>
      </c>
      <c r="J162" s="73"/>
      <c r="K162" s="48"/>
      <c r="L162" s="48"/>
      <c r="M162" s="14"/>
      <c r="N162" s="48"/>
    </row>
    <row r="163" spans="1:14" x14ac:dyDescent="0.25">
      <c r="A163" s="303" t="s">
        <v>468</v>
      </c>
      <c r="B163" s="303" t="s">
        <v>90</v>
      </c>
      <c r="C163" s="304" t="s">
        <v>443</v>
      </c>
      <c r="D163" s="304" t="s">
        <v>444</v>
      </c>
      <c r="E163" s="304">
        <v>480</v>
      </c>
      <c r="F163" s="304">
        <v>122</v>
      </c>
      <c r="G163" s="304">
        <v>184</v>
      </c>
      <c r="H163" s="304">
        <v>359</v>
      </c>
      <c r="I163" s="304">
        <f t="shared" si="4"/>
        <v>134851.72149927105</v>
      </c>
      <c r="J163" s="73"/>
      <c r="K163" s="48"/>
      <c r="L163" s="48"/>
      <c r="M163" s="14"/>
      <c r="N163" s="48"/>
    </row>
    <row r="164" spans="1:14" x14ac:dyDescent="0.25">
      <c r="A164" s="303" t="s">
        <v>468</v>
      </c>
      <c r="B164" s="303" t="s">
        <v>90</v>
      </c>
      <c r="C164" s="304" t="s">
        <v>443</v>
      </c>
      <c r="D164" s="304" t="s">
        <v>448</v>
      </c>
      <c r="E164" s="304">
        <v>130</v>
      </c>
      <c r="F164" s="304">
        <v>48</v>
      </c>
      <c r="G164" s="304">
        <v>58</v>
      </c>
      <c r="H164" s="304">
        <v>58</v>
      </c>
      <c r="I164" s="304">
        <f t="shared" si="4"/>
        <v>44848.494487613039</v>
      </c>
      <c r="J164" s="73"/>
      <c r="K164" s="48"/>
      <c r="L164" s="48"/>
      <c r="M164" s="14"/>
      <c r="N164" s="48"/>
    </row>
    <row r="165" spans="1:14" x14ac:dyDescent="0.25">
      <c r="A165" s="303" t="s">
        <v>468</v>
      </c>
      <c r="B165" s="303" t="s">
        <v>90</v>
      </c>
      <c r="C165" s="304" t="s">
        <v>443</v>
      </c>
      <c r="D165" s="304" t="s">
        <v>445</v>
      </c>
      <c r="E165" s="304">
        <v>480</v>
      </c>
      <c r="F165" s="304">
        <v>233</v>
      </c>
      <c r="G165" s="304">
        <v>292</v>
      </c>
      <c r="H165" s="304">
        <v>377</v>
      </c>
      <c r="I165" s="304">
        <f t="shared" si="4"/>
        <v>146250.25801887078</v>
      </c>
      <c r="J165" s="73"/>
      <c r="K165" s="48"/>
      <c r="L165" s="48"/>
      <c r="M165" s="14"/>
      <c r="N165" s="48"/>
    </row>
    <row r="166" spans="1:14" x14ac:dyDescent="0.25">
      <c r="A166" s="303" t="s">
        <v>468</v>
      </c>
      <c r="B166" s="303" t="s">
        <v>90</v>
      </c>
      <c r="C166" s="304" t="s">
        <v>443</v>
      </c>
      <c r="D166" s="304" t="s">
        <v>448</v>
      </c>
      <c r="E166" s="304">
        <v>7000</v>
      </c>
      <c r="F166" s="304">
        <v>2940</v>
      </c>
      <c r="G166" s="304">
        <v>4258</v>
      </c>
      <c r="H166" s="304">
        <v>3873</v>
      </c>
      <c r="I166" s="304">
        <f t="shared" si="4"/>
        <v>911681.55355821631</v>
      </c>
      <c r="J166" s="73"/>
      <c r="K166" s="48"/>
      <c r="L166" s="48"/>
      <c r="M166" s="14"/>
      <c r="N166" s="48"/>
    </row>
    <row r="167" spans="1:14" x14ac:dyDescent="0.25">
      <c r="A167" s="303" t="s">
        <v>468</v>
      </c>
      <c r="B167" s="303" t="s">
        <v>90</v>
      </c>
      <c r="C167" s="304" t="s">
        <v>443</v>
      </c>
      <c r="D167" s="304" t="s">
        <v>444</v>
      </c>
      <c r="E167" s="304">
        <v>7000</v>
      </c>
      <c r="F167" s="304">
        <v>7786</v>
      </c>
      <c r="G167" s="304">
        <v>9546</v>
      </c>
      <c r="H167" s="304">
        <v>6417</v>
      </c>
      <c r="I167" s="304">
        <f t="shared" si="4"/>
        <v>1210391.1915606186</v>
      </c>
      <c r="J167" s="73"/>
      <c r="K167" s="48"/>
      <c r="L167" s="48"/>
      <c r="M167" s="14"/>
      <c r="N167" s="48"/>
    </row>
    <row r="168" spans="1:14" x14ac:dyDescent="0.25">
      <c r="A168" s="303" t="s">
        <v>468</v>
      </c>
      <c r="B168" s="303" t="s">
        <v>90</v>
      </c>
      <c r="C168" s="304" t="s">
        <v>443</v>
      </c>
      <c r="D168" s="304" t="s">
        <v>444</v>
      </c>
      <c r="E168" s="304">
        <v>4749</v>
      </c>
      <c r="F168" s="304">
        <v>2413</v>
      </c>
      <c r="G168" s="304">
        <v>2684</v>
      </c>
      <c r="H168" s="304">
        <v>2533</v>
      </c>
      <c r="I168" s="304">
        <f t="shared" si="4"/>
        <v>671652.28029868449</v>
      </c>
      <c r="J168" s="73"/>
      <c r="K168" s="48"/>
      <c r="L168" s="48"/>
      <c r="M168" s="14"/>
      <c r="N168" s="48"/>
    </row>
    <row r="169" spans="1:14" x14ac:dyDescent="0.25">
      <c r="A169" s="303" t="s">
        <v>468</v>
      </c>
      <c r="B169" s="303" t="s">
        <v>90</v>
      </c>
      <c r="C169" s="304" t="s">
        <v>443</v>
      </c>
      <c r="D169" s="304" t="s">
        <v>448</v>
      </c>
      <c r="E169" s="304">
        <v>480</v>
      </c>
      <c r="F169" s="304">
        <v>284</v>
      </c>
      <c r="G169" s="304">
        <v>366</v>
      </c>
      <c r="H169" s="304">
        <v>445</v>
      </c>
      <c r="I169" s="304">
        <f t="shared" si="4"/>
        <v>144893.20102519475</v>
      </c>
      <c r="J169" s="73"/>
      <c r="K169" s="48"/>
      <c r="L169" s="48"/>
      <c r="M169" s="14"/>
      <c r="N169" s="48"/>
    </row>
    <row r="170" spans="1:14" x14ac:dyDescent="0.25">
      <c r="A170" s="303" t="s">
        <v>468</v>
      </c>
      <c r="B170" s="303" t="s">
        <v>90</v>
      </c>
      <c r="C170" s="304" t="s">
        <v>446</v>
      </c>
      <c r="D170" s="304" t="s">
        <v>444</v>
      </c>
      <c r="E170" s="304">
        <v>150000</v>
      </c>
      <c r="F170" s="304">
        <v>147570</v>
      </c>
      <c r="G170" s="304">
        <v>154886</v>
      </c>
      <c r="H170" s="304">
        <v>111186</v>
      </c>
      <c r="I170" s="304">
        <f t="shared" si="4"/>
        <v>11833040.510842402</v>
      </c>
      <c r="J170" s="73"/>
      <c r="K170" s="48"/>
      <c r="L170" s="48"/>
      <c r="M170" s="14"/>
      <c r="N170" s="48"/>
    </row>
    <row r="171" spans="1:14" x14ac:dyDescent="0.25">
      <c r="A171" s="303" t="s">
        <v>468</v>
      </c>
      <c r="B171" s="303" t="s">
        <v>90</v>
      </c>
      <c r="C171" s="304" t="s">
        <v>446</v>
      </c>
      <c r="D171" s="304" t="s">
        <v>448</v>
      </c>
      <c r="E171" s="304">
        <v>7500</v>
      </c>
      <c r="F171" s="304">
        <v>5456</v>
      </c>
      <c r="G171" s="304">
        <v>7442</v>
      </c>
      <c r="H171" s="304">
        <v>4952</v>
      </c>
      <c r="I171" s="304">
        <f t="shared" si="4"/>
        <v>1285689.1858566653</v>
      </c>
      <c r="J171" s="73"/>
      <c r="K171" s="48"/>
      <c r="L171" s="48"/>
      <c r="M171" s="14"/>
      <c r="N171" s="48"/>
    </row>
    <row r="172" spans="1:14" x14ac:dyDescent="0.25">
      <c r="A172" s="303" t="s">
        <v>468</v>
      </c>
      <c r="B172" s="303" t="s">
        <v>90</v>
      </c>
      <c r="C172" s="304" t="s">
        <v>443</v>
      </c>
      <c r="D172" s="304" t="s">
        <v>466</v>
      </c>
      <c r="E172" s="304">
        <v>199</v>
      </c>
      <c r="F172" s="304">
        <v>150</v>
      </c>
      <c r="G172" s="304">
        <v>103</v>
      </c>
      <c r="H172" s="304">
        <v>278</v>
      </c>
      <c r="I172" s="304">
        <f t="shared" si="4"/>
        <v>101173.13573562673</v>
      </c>
      <c r="J172" s="73"/>
      <c r="K172" s="48"/>
      <c r="L172" s="48"/>
      <c r="M172" s="14"/>
      <c r="N172" s="48"/>
    </row>
    <row r="173" spans="1:14" x14ac:dyDescent="0.25">
      <c r="A173" s="303" t="s">
        <v>469</v>
      </c>
      <c r="B173" s="303" t="s">
        <v>94</v>
      </c>
      <c r="C173" s="304" t="s">
        <v>443</v>
      </c>
      <c r="D173" s="304" t="s">
        <v>444</v>
      </c>
      <c r="E173" s="304">
        <v>12000</v>
      </c>
      <c r="F173" s="304">
        <v>8273</v>
      </c>
      <c r="G173" s="304">
        <v>8122</v>
      </c>
      <c r="H173" s="304">
        <v>6393</v>
      </c>
      <c r="I173" s="304">
        <f t="shared" si="4"/>
        <v>1405592.2528138165</v>
      </c>
      <c r="J173" s="73"/>
      <c r="K173" s="48"/>
      <c r="L173" s="48"/>
      <c r="M173" s="14"/>
      <c r="N173" s="48"/>
    </row>
    <row r="174" spans="1:14" x14ac:dyDescent="0.25">
      <c r="A174" s="303" t="s">
        <v>469</v>
      </c>
      <c r="B174" s="303" t="s">
        <v>94</v>
      </c>
      <c r="C174" s="304" t="s">
        <v>446</v>
      </c>
      <c r="D174" s="304" t="s">
        <v>444</v>
      </c>
      <c r="E174" s="304">
        <v>100000</v>
      </c>
      <c r="F174" s="304">
        <v>45581</v>
      </c>
      <c r="G174" s="304">
        <v>62992</v>
      </c>
      <c r="H174" s="304">
        <v>52740</v>
      </c>
      <c r="I174" s="304">
        <f t="shared" si="4"/>
        <v>7463208.1230312139</v>
      </c>
      <c r="J174" s="73"/>
      <c r="K174" s="48"/>
      <c r="L174" s="48"/>
      <c r="M174" s="14"/>
      <c r="N174" s="48"/>
    </row>
    <row r="175" spans="1:14" x14ac:dyDescent="0.25">
      <c r="A175" s="303" t="s">
        <v>469</v>
      </c>
      <c r="B175" s="303" t="s">
        <v>94</v>
      </c>
      <c r="C175" s="304" t="s">
        <v>443</v>
      </c>
      <c r="D175" s="304" t="s">
        <v>448</v>
      </c>
      <c r="E175" s="304">
        <v>1200</v>
      </c>
      <c r="F175" s="304">
        <v>372</v>
      </c>
      <c r="G175" s="304">
        <v>487</v>
      </c>
      <c r="H175" s="304">
        <v>685</v>
      </c>
      <c r="I175" s="304">
        <f t="shared" si="4"/>
        <v>244679.08556261705</v>
      </c>
      <c r="J175" s="73"/>
      <c r="K175" s="48"/>
      <c r="L175" s="48"/>
      <c r="M175" s="14"/>
      <c r="N175" s="48"/>
    </row>
    <row r="176" spans="1:14" x14ac:dyDescent="0.25">
      <c r="A176" s="303" t="s">
        <v>469</v>
      </c>
      <c r="B176" s="303" t="s">
        <v>94</v>
      </c>
      <c r="C176" s="304" t="s">
        <v>446</v>
      </c>
      <c r="D176" s="304" t="s">
        <v>448</v>
      </c>
      <c r="E176" s="304">
        <v>2000</v>
      </c>
      <c r="F176" s="304">
        <v>665</v>
      </c>
      <c r="G176" s="304">
        <v>1018</v>
      </c>
      <c r="H176" s="304">
        <v>913</v>
      </c>
      <c r="I176" s="304">
        <f t="shared" si="4"/>
        <v>396136.1911063951</v>
      </c>
      <c r="J176" s="73"/>
      <c r="K176" s="48"/>
      <c r="L176" s="48"/>
      <c r="M176" s="14"/>
      <c r="N176" s="48"/>
    </row>
    <row r="177" spans="1:14" x14ac:dyDescent="0.25">
      <c r="A177" s="303" t="s">
        <v>469</v>
      </c>
      <c r="B177" s="303" t="s">
        <v>94</v>
      </c>
      <c r="C177" s="304" t="s">
        <v>443</v>
      </c>
      <c r="D177" s="304" t="s">
        <v>448</v>
      </c>
      <c r="E177" s="304">
        <v>1800</v>
      </c>
      <c r="F177" s="304">
        <v>981</v>
      </c>
      <c r="G177" s="304">
        <v>1249</v>
      </c>
      <c r="H177" s="304">
        <v>1826</v>
      </c>
      <c r="I177" s="304">
        <f t="shared" si="4"/>
        <v>396010.36437772785</v>
      </c>
      <c r="J177" s="73"/>
      <c r="K177" s="48"/>
      <c r="L177" s="48"/>
      <c r="M177" s="14"/>
      <c r="N177" s="48"/>
    </row>
    <row r="178" spans="1:14" x14ac:dyDescent="0.25">
      <c r="A178" s="303" t="s">
        <v>469</v>
      </c>
      <c r="B178" s="303" t="s">
        <v>94</v>
      </c>
      <c r="C178" s="304" t="s">
        <v>443</v>
      </c>
      <c r="D178" s="304" t="s">
        <v>448</v>
      </c>
      <c r="E178" s="304">
        <v>1233</v>
      </c>
      <c r="F178" s="304">
        <v>590</v>
      </c>
      <c r="G178" s="304">
        <v>673</v>
      </c>
      <c r="H178" s="304">
        <v>685</v>
      </c>
      <c r="I178" s="304">
        <f t="shared" si="4"/>
        <v>247824.51417988259</v>
      </c>
      <c r="J178" s="73"/>
      <c r="K178" s="48"/>
      <c r="L178" s="48"/>
      <c r="M178" s="14"/>
      <c r="N178" s="48"/>
    </row>
    <row r="179" spans="1:14" x14ac:dyDescent="0.25">
      <c r="A179" s="303" t="s">
        <v>470</v>
      </c>
      <c r="B179" s="303" t="s">
        <v>96</v>
      </c>
      <c r="C179" s="304" t="s">
        <v>443</v>
      </c>
      <c r="D179" s="304" t="s">
        <v>444</v>
      </c>
      <c r="E179" s="304">
        <v>133000</v>
      </c>
      <c r="F179" s="304">
        <v>59336</v>
      </c>
      <c r="G179" s="304">
        <v>50669</v>
      </c>
      <c r="H179" s="304">
        <v>29519</v>
      </c>
      <c r="I179" s="304">
        <f t="shared" si="4"/>
        <v>7362685.9869908998</v>
      </c>
      <c r="J179" s="73"/>
      <c r="K179" s="48"/>
      <c r="L179" s="48"/>
      <c r="M179" s="14"/>
      <c r="N179" s="48"/>
    </row>
    <row r="180" spans="1:14" x14ac:dyDescent="0.25">
      <c r="A180" s="303" t="s">
        <v>470</v>
      </c>
      <c r="B180" s="303" t="s">
        <v>96</v>
      </c>
      <c r="C180" s="304" t="s">
        <v>443</v>
      </c>
      <c r="D180" s="304" t="s">
        <v>444</v>
      </c>
      <c r="E180" s="304">
        <v>153000</v>
      </c>
      <c r="F180" s="304">
        <v>64497</v>
      </c>
      <c r="G180" s="304">
        <v>67062</v>
      </c>
      <c r="H180" s="304">
        <v>42937</v>
      </c>
      <c r="I180" s="304">
        <f t="shared" si="4"/>
        <v>8129818.5521308724</v>
      </c>
      <c r="J180" s="73"/>
      <c r="K180" s="48"/>
      <c r="L180" s="48"/>
      <c r="M180" s="14"/>
      <c r="N180" s="48"/>
    </row>
    <row r="181" spans="1:14" x14ac:dyDescent="0.25">
      <c r="A181" s="303" t="s">
        <v>470</v>
      </c>
      <c r="B181" s="303" t="s">
        <v>96</v>
      </c>
      <c r="C181" s="304" t="s">
        <v>443</v>
      </c>
      <c r="D181" s="304" t="s">
        <v>445</v>
      </c>
      <c r="E181" s="304">
        <v>7000</v>
      </c>
      <c r="F181" s="304">
        <v>160</v>
      </c>
      <c r="G181" s="304">
        <v>133</v>
      </c>
      <c r="H181" s="304">
        <v>97</v>
      </c>
      <c r="I181" s="304">
        <f t="shared" si="4"/>
        <v>555776.01664307306</v>
      </c>
      <c r="J181" s="73"/>
      <c r="K181" s="48"/>
      <c r="L181" s="48"/>
      <c r="M181" s="14"/>
      <c r="N181" s="48"/>
    </row>
    <row r="182" spans="1:14" x14ac:dyDescent="0.25">
      <c r="A182" s="303" t="s">
        <v>470</v>
      </c>
      <c r="B182" s="303" t="s">
        <v>96</v>
      </c>
      <c r="C182" s="304" t="s">
        <v>443</v>
      </c>
      <c r="D182" s="304" t="s">
        <v>445</v>
      </c>
      <c r="E182" s="304">
        <v>100</v>
      </c>
      <c r="F182" s="304">
        <v>87</v>
      </c>
      <c r="G182" s="304">
        <v>87</v>
      </c>
      <c r="H182" s="304">
        <v>199</v>
      </c>
      <c r="I182" s="304">
        <f t="shared" si="4"/>
        <v>75421.403942116609</v>
      </c>
      <c r="J182" s="73"/>
      <c r="K182" s="48"/>
      <c r="L182" s="48"/>
      <c r="M182" s="14"/>
      <c r="N182" s="48"/>
    </row>
    <row r="183" spans="1:14" x14ac:dyDescent="0.25">
      <c r="A183" s="303" t="s">
        <v>470</v>
      </c>
      <c r="B183" s="303" t="s">
        <v>96</v>
      </c>
      <c r="C183" s="304" t="s">
        <v>443</v>
      </c>
      <c r="D183" s="304" t="s">
        <v>444</v>
      </c>
      <c r="E183" s="304">
        <v>10000</v>
      </c>
      <c r="F183" s="304">
        <v>5626</v>
      </c>
      <c r="G183" s="304">
        <v>5878</v>
      </c>
      <c r="H183" s="304">
        <v>5899</v>
      </c>
      <c r="I183" s="304">
        <f t="shared" si="4"/>
        <v>1175373.4366765146</v>
      </c>
      <c r="J183" s="73"/>
      <c r="K183" s="48"/>
      <c r="L183" s="48"/>
      <c r="M183" s="14"/>
      <c r="N183" s="48"/>
    </row>
    <row r="184" spans="1:14" x14ac:dyDescent="0.25">
      <c r="A184" s="303" t="s">
        <v>470</v>
      </c>
      <c r="B184" s="303" t="s">
        <v>96</v>
      </c>
      <c r="C184" s="304" t="s">
        <v>443</v>
      </c>
      <c r="D184" s="304" t="s">
        <v>456</v>
      </c>
      <c r="E184" s="304">
        <v>150</v>
      </c>
      <c r="F184" s="304">
        <v>0</v>
      </c>
      <c r="G184" s="304">
        <v>0</v>
      </c>
      <c r="H184" s="304">
        <v>0</v>
      </c>
      <c r="I184" s="304">
        <f t="shared" si="4"/>
        <v>30117.645242678227</v>
      </c>
      <c r="J184" s="73"/>
      <c r="K184" s="48"/>
      <c r="L184" s="48"/>
      <c r="M184" s="14"/>
      <c r="N184" s="48"/>
    </row>
    <row r="185" spans="1:14" x14ac:dyDescent="0.25">
      <c r="A185" s="303" t="s">
        <v>470</v>
      </c>
      <c r="B185" s="303" t="s">
        <v>96</v>
      </c>
      <c r="C185" s="304" t="s">
        <v>443</v>
      </c>
      <c r="D185" s="304" t="s">
        <v>456</v>
      </c>
      <c r="E185" s="304">
        <v>260</v>
      </c>
      <c r="F185" s="304">
        <v>0</v>
      </c>
      <c r="G185" s="304">
        <v>0</v>
      </c>
      <c r="H185" s="304">
        <v>0</v>
      </c>
      <c r="I185" s="304">
        <f t="shared" si="4"/>
        <v>40068.290846380522</v>
      </c>
      <c r="J185" s="73"/>
      <c r="K185" s="48"/>
      <c r="L185" s="48"/>
      <c r="M185" s="14"/>
      <c r="N185" s="48"/>
    </row>
    <row r="186" spans="1:14" x14ac:dyDescent="0.25">
      <c r="A186" s="303" t="s">
        <v>470</v>
      </c>
      <c r="B186" s="303" t="s">
        <v>96</v>
      </c>
      <c r="C186" s="304" t="s">
        <v>443</v>
      </c>
      <c r="D186" s="304" t="s">
        <v>445</v>
      </c>
      <c r="E186" s="304">
        <v>400</v>
      </c>
      <c r="F186" s="304">
        <v>74</v>
      </c>
      <c r="G186" s="304">
        <v>71</v>
      </c>
      <c r="H186" s="304">
        <v>101</v>
      </c>
      <c r="I186" s="304">
        <f t="shared" si="4"/>
        <v>104345.31341125233</v>
      </c>
      <c r="J186" s="73"/>
      <c r="K186" s="48"/>
      <c r="L186" s="48"/>
      <c r="M186" s="14"/>
      <c r="N186" s="48"/>
    </row>
    <row r="187" spans="1:14" x14ac:dyDescent="0.25">
      <c r="A187" s="303" t="s">
        <v>470</v>
      </c>
      <c r="B187" s="303" t="s">
        <v>96</v>
      </c>
      <c r="C187" s="304" t="s">
        <v>443</v>
      </c>
      <c r="D187" s="304" t="s">
        <v>444</v>
      </c>
      <c r="E187" s="304">
        <v>32000</v>
      </c>
      <c r="F187" s="304">
        <v>10012</v>
      </c>
      <c r="G187" s="304">
        <v>10512</v>
      </c>
      <c r="H187" s="304">
        <v>7379</v>
      </c>
      <c r="I187" s="304">
        <f t="shared" si="4"/>
        <v>2424109.2182864295</v>
      </c>
      <c r="J187" s="73"/>
      <c r="K187" s="48"/>
      <c r="L187" s="48"/>
      <c r="M187" s="14"/>
      <c r="N187" s="48"/>
    </row>
    <row r="188" spans="1:14" x14ac:dyDescent="0.25">
      <c r="A188" s="303" t="s">
        <v>470</v>
      </c>
      <c r="B188" s="303" t="s">
        <v>96</v>
      </c>
      <c r="C188" s="304" t="s">
        <v>443</v>
      </c>
      <c r="D188" s="304" t="s">
        <v>456</v>
      </c>
      <c r="E188" s="304">
        <v>250</v>
      </c>
      <c r="F188" s="304">
        <v>0</v>
      </c>
      <c r="G188" s="304">
        <v>0</v>
      </c>
      <c r="H188" s="304">
        <v>0</v>
      </c>
      <c r="I188" s="304">
        <f t="shared" si="4"/>
        <v>39260.923820961776</v>
      </c>
      <c r="J188" s="73"/>
      <c r="K188" s="48"/>
      <c r="L188" s="48"/>
      <c r="M188" s="14"/>
      <c r="N188" s="48"/>
    </row>
    <row r="189" spans="1:14" x14ac:dyDescent="0.25">
      <c r="A189" s="303" t="s">
        <v>107</v>
      </c>
      <c r="B189" s="303" t="s">
        <v>108</v>
      </c>
      <c r="C189" s="304" t="s">
        <v>443</v>
      </c>
      <c r="D189" s="304" t="s">
        <v>448</v>
      </c>
      <c r="E189" s="304">
        <v>17000</v>
      </c>
      <c r="F189" s="304">
        <v>10056</v>
      </c>
      <c r="G189" s="304">
        <v>12886</v>
      </c>
      <c r="H189" s="304">
        <v>10097</v>
      </c>
      <c r="I189" s="304">
        <f t="shared" si="4"/>
        <v>1870303.070287284</v>
      </c>
      <c r="J189" s="73"/>
      <c r="K189" s="48"/>
      <c r="L189" s="48"/>
      <c r="M189" s="14"/>
      <c r="N189" s="48"/>
    </row>
    <row r="190" spans="1:14" x14ac:dyDescent="0.25">
      <c r="A190" s="303" t="s">
        <v>107</v>
      </c>
      <c r="B190" s="303" t="s">
        <v>108</v>
      </c>
      <c r="C190" s="304" t="s">
        <v>443</v>
      </c>
      <c r="D190" s="304" t="s">
        <v>444</v>
      </c>
      <c r="E190" s="304">
        <v>1900</v>
      </c>
      <c r="F190" s="304">
        <v>480</v>
      </c>
      <c r="G190" s="304">
        <v>621</v>
      </c>
      <c r="H190" s="304">
        <v>655</v>
      </c>
      <c r="I190" s="304">
        <f t="shared" si="4"/>
        <v>306060.58039861155</v>
      </c>
      <c r="J190" s="73"/>
      <c r="K190" s="48"/>
      <c r="L190" s="48"/>
      <c r="M190" s="14"/>
      <c r="N190" s="48"/>
    </row>
    <row r="191" spans="1:14" x14ac:dyDescent="0.25">
      <c r="A191" s="303" t="s">
        <v>107</v>
      </c>
      <c r="B191" s="303" t="s">
        <v>108</v>
      </c>
      <c r="C191" s="304" t="s">
        <v>446</v>
      </c>
      <c r="D191" s="304" t="s">
        <v>449</v>
      </c>
      <c r="E191" s="304">
        <v>200</v>
      </c>
      <c r="F191" s="304">
        <v>123</v>
      </c>
      <c r="G191" s="304">
        <v>216</v>
      </c>
      <c r="H191" s="304">
        <v>153</v>
      </c>
      <c r="I191" s="304">
        <f t="shared" si="4"/>
        <v>92830.950593566202</v>
      </c>
      <c r="J191" s="73"/>
      <c r="K191" s="48"/>
      <c r="L191" s="48"/>
      <c r="M191" s="14"/>
      <c r="N191" s="48"/>
    </row>
    <row r="192" spans="1:14" x14ac:dyDescent="0.25">
      <c r="A192" s="303" t="s">
        <v>107</v>
      </c>
      <c r="B192" s="303" t="s">
        <v>108</v>
      </c>
      <c r="C192" s="304" t="s">
        <v>446</v>
      </c>
      <c r="D192" s="304" t="s">
        <v>444</v>
      </c>
      <c r="E192" s="304">
        <v>60000</v>
      </c>
      <c r="F192" s="304">
        <v>36558</v>
      </c>
      <c r="G192" s="304">
        <v>46767</v>
      </c>
      <c r="H192" s="304">
        <v>37023</v>
      </c>
      <c r="I192" s="304">
        <f t="shared" si="4"/>
        <v>5466392.671935766</v>
      </c>
      <c r="J192" s="73"/>
      <c r="K192" s="48"/>
      <c r="L192" s="48"/>
      <c r="M192" s="14"/>
      <c r="N192" s="48"/>
    </row>
    <row r="193" spans="1:14" x14ac:dyDescent="0.25">
      <c r="A193" s="303" t="s">
        <v>107</v>
      </c>
      <c r="B193" s="303" t="s">
        <v>108</v>
      </c>
      <c r="C193" s="304" t="s">
        <v>443</v>
      </c>
      <c r="D193" s="304" t="s">
        <v>444</v>
      </c>
      <c r="E193" s="304">
        <v>22500</v>
      </c>
      <c r="F193" s="304">
        <v>6840</v>
      </c>
      <c r="G193" s="304">
        <v>9734</v>
      </c>
      <c r="H193" s="304">
        <v>10646</v>
      </c>
      <c r="I193" s="304">
        <f t="shared" si="4"/>
        <v>2018389.6036833841</v>
      </c>
      <c r="J193" s="73"/>
      <c r="K193" s="48"/>
      <c r="L193" s="48"/>
      <c r="M193" s="14"/>
      <c r="N193" s="48"/>
    </row>
    <row r="194" spans="1:14" x14ac:dyDescent="0.25">
      <c r="A194" s="303" t="s">
        <v>107</v>
      </c>
      <c r="B194" s="303" t="s">
        <v>108</v>
      </c>
      <c r="C194" s="304" t="s">
        <v>443</v>
      </c>
      <c r="D194" s="304" t="s">
        <v>444</v>
      </c>
      <c r="E194" s="304">
        <v>5170</v>
      </c>
      <c r="F194" s="304">
        <v>1474</v>
      </c>
      <c r="G194" s="304">
        <v>1966</v>
      </c>
      <c r="H194" s="304">
        <v>1775</v>
      </c>
      <c r="I194" s="304">
        <f t="shared" si="4"/>
        <v>651794.1451852842</v>
      </c>
      <c r="J194" s="73"/>
      <c r="K194" s="48"/>
      <c r="L194" s="48"/>
      <c r="M194" s="14"/>
      <c r="N194" s="48"/>
    </row>
    <row r="195" spans="1:14" x14ac:dyDescent="0.25">
      <c r="A195" s="303" t="s">
        <v>107</v>
      </c>
      <c r="B195" s="303" t="s">
        <v>108</v>
      </c>
      <c r="C195" s="304" t="s">
        <v>446</v>
      </c>
      <c r="D195" s="304" t="s">
        <v>444</v>
      </c>
      <c r="E195" s="304">
        <v>4500</v>
      </c>
      <c r="F195" s="304">
        <v>3366</v>
      </c>
      <c r="G195" s="304">
        <v>3737</v>
      </c>
      <c r="H195" s="304">
        <v>2812</v>
      </c>
      <c r="I195" s="304">
        <f t="shared" ref="I195:I258" si="5">IF(D195="M",(AVERAGE(E195,MAX(F195:H195))^0.519)*3203.7913,IF(OR(D195="MB",D195="MK",D195="MBK",D195="MBN"),(AVERAGE(E195,MAX(F195:H195))^0.6289)*3234.9142,IF(AND(C195="Landzone og sommerhusområde",OR(D195="MBNKD",D195="MBNK/MBND")),(AVERAGE(E195,MAX(F195:H195))^0.736)*1583.1635,IF(AND(C195="Byzone",OR(D195="MBNKD",D195="MBNK/MBND")),(AVERAGE(E195,MAX(F195:H195))^0.736)*1812.7138,0))))</f>
        <v>829425.14381394431</v>
      </c>
      <c r="J195" s="73"/>
      <c r="K195" s="48"/>
      <c r="L195" s="48"/>
      <c r="M195" s="14"/>
      <c r="N195" s="48"/>
    </row>
    <row r="196" spans="1:14" x14ac:dyDescent="0.25">
      <c r="A196" s="303" t="s">
        <v>107</v>
      </c>
      <c r="B196" s="303" t="s">
        <v>108</v>
      </c>
      <c r="C196" s="304" t="s">
        <v>443</v>
      </c>
      <c r="D196" s="304" t="s">
        <v>444</v>
      </c>
      <c r="E196" s="304">
        <v>5600</v>
      </c>
      <c r="F196" s="304">
        <v>2323</v>
      </c>
      <c r="G196" s="304">
        <v>3424</v>
      </c>
      <c r="H196" s="304">
        <v>3933</v>
      </c>
      <c r="I196" s="304">
        <f t="shared" si="5"/>
        <v>806641.70521104196</v>
      </c>
      <c r="J196" s="73"/>
      <c r="K196" s="48"/>
      <c r="L196" s="48"/>
      <c r="M196" s="14"/>
      <c r="N196" s="48"/>
    </row>
    <row r="197" spans="1:14" x14ac:dyDescent="0.25">
      <c r="A197" s="303" t="s">
        <v>109</v>
      </c>
      <c r="B197" s="303" t="s">
        <v>110</v>
      </c>
      <c r="C197" s="304" t="s">
        <v>446</v>
      </c>
      <c r="D197" s="304" t="s">
        <v>444</v>
      </c>
      <c r="E197" s="304">
        <v>16000</v>
      </c>
      <c r="F197" s="304">
        <v>6770</v>
      </c>
      <c r="G197" s="304">
        <v>10123</v>
      </c>
      <c r="H197" s="304">
        <v>9115</v>
      </c>
      <c r="I197" s="304">
        <f t="shared" si="5"/>
        <v>1939546.2015442906</v>
      </c>
      <c r="J197" s="73"/>
      <c r="K197" s="48"/>
      <c r="L197" s="48"/>
      <c r="M197" s="14"/>
      <c r="N197" s="48"/>
    </row>
    <row r="198" spans="1:14" x14ac:dyDescent="0.25">
      <c r="A198" s="303" t="s">
        <v>109</v>
      </c>
      <c r="B198" s="303" t="s">
        <v>110</v>
      </c>
      <c r="C198" s="304" t="s">
        <v>446</v>
      </c>
      <c r="D198" s="304" t="s">
        <v>444</v>
      </c>
      <c r="E198" s="304">
        <v>600</v>
      </c>
      <c r="F198" s="304">
        <v>143</v>
      </c>
      <c r="G198" s="304">
        <v>169</v>
      </c>
      <c r="H198" s="304">
        <v>216</v>
      </c>
      <c r="I198" s="304">
        <f t="shared" si="5"/>
        <v>151277.77248225073</v>
      </c>
      <c r="J198" s="73"/>
      <c r="K198" s="48"/>
      <c r="L198" s="48"/>
      <c r="M198" s="14"/>
      <c r="N198" s="48"/>
    </row>
    <row r="199" spans="1:14" x14ac:dyDescent="0.25">
      <c r="A199" s="303" t="s">
        <v>109</v>
      </c>
      <c r="B199" s="303" t="s">
        <v>110</v>
      </c>
      <c r="C199" s="304" t="s">
        <v>446</v>
      </c>
      <c r="D199" s="304" t="s">
        <v>444</v>
      </c>
      <c r="E199" s="304">
        <v>350000</v>
      </c>
      <c r="F199" s="304">
        <v>364934</v>
      </c>
      <c r="G199" s="304">
        <v>341453</v>
      </c>
      <c r="H199" s="304">
        <v>225944</v>
      </c>
      <c r="I199" s="304">
        <f t="shared" si="5"/>
        <v>22156997.275568914</v>
      </c>
      <c r="J199" s="73"/>
      <c r="K199" s="48"/>
      <c r="L199" s="48"/>
      <c r="M199" s="14"/>
      <c r="N199" s="48"/>
    </row>
    <row r="200" spans="1:14" x14ac:dyDescent="0.25">
      <c r="A200" s="303" t="s">
        <v>471</v>
      </c>
      <c r="B200" s="303" t="s">
        <v>112</v>
      </c>
      <c r="C200" s="304" t="s">
        <v>443</v>
      </c>
      <c r="D200" s="304" t="s">
        <v>444</v>
      </c>
      <c r="E200" s="304">
        <v>7300</v>
      </c>
      <c r="F200" s="304">
        <v>4695</v>
      </c>
      <c r="G200" s="304">
        <v>7374</v>
      </c>
      <c r="H200" s="304">
        <v>7672</v>
      </c>
      <c r="I200" s="304">
        <f t="shared" si="5"/>
        <v>1124536.7121258602</v>
      </c>
      <c r="J200" s="73"/>
      <c r="K200" s="48"/>
      <c r="L200" s="48"/>
      <c r="M200" s="14"/>
      <c r="N200" s="48"/>
    </row>
    <row r="201" spans="1:14" x14ac:dyDescent="0.25">
      <c r="A201" s="303" t="s">
        <v>113</v>
      </c>
      <c r="B201" s="303" t="s">
        <v>114</v>
      </c>
      <c r="C201" s="304" t="s">
        <v>446</v>
      </c>
      <c r="D201" s="304" t="s">
        <v>444</v>
      </c>
      <c r="E201" s="304">
        <v>50000</v>
      </c>
      <c r="F201" s="304">
        <v>36433</v>
      </c>
      <c r="G201" s="304">
        <v>43851</v>
      </c>
      <c r="H201" s="304">
        <v>40715</v>
      </c>
      <c r="I201" s="304">
        <f t="shared" si="5"/>
        <v>4971485.7381845126</v>
      </c>
      <c r="J201" s="73"/>
      <c r="K201" s="48"/>
      <c r="L201" s="48"/>
      <c r="M201" s="14"/>
      <c r="N201" s="48"/>
    </row>
    <row r="202" spans="1:14" x14ac:dyDescent="0.25">
      <c r="A202" s="303" t="s">
        <v>115</v>
      </c>
      <c r="B202" s="303" t="s">
        <v>116</v>
      </c>
      <c r="C202" s="304" t="s">
        <v>443</v>
      </c>
      <c r="D202" s="304" t="s">
        <v>444</v>
      </c>
      <c r="E202" s="304">
        <v>35000</v>
      </c>
      <c r="F202" s="304">
        <v>17929</v>
      </c>
      <c r="G202" s="304">
        <v>27686</v>
      </c>
      <c r="H202" s="304">
        <v>23504</v>
      </c>
      <c r="I202" s="304">
        <f t="shared" si="5"/>
        <v>3226154.9524218678</v>
      </c>
      <c r="J202" s="73"/>
      <c r="K202" s="48"/>
      <c r="L202" s="48"/>
      <c r="M202" s="14"/>
      <c r="N202" s="48"/>
    </row>
    <row r="203" spans="1:14" x14ac:dyDescent="0.25">
      <c r="A203" s="303" t="s">
        <v>115</v>
      </c>
      <c r="B203" s="303" t="s">
        <v>116</v>
      </c>
      <c r="C203" s="304" t="s">
        <v>443</v>
      </c>
      <c r="D203" s="304" t="s">
        <v>444</v>
      </c>
      <c r="E203" s="304">
        <v>9700</v>
      </c>
      <c r="F203" s="304">
        <v>6469</v>
      </c>
      <c r="G203" s="304">
        <v>9871</v>
      </c>
      <c r="H203" s="304">
        <v>5509</v>
      </c>
      <c r="I203" s="304">
        <f t="shared" si="5"/>
        <v>1369603.547622913</v>
      </c>
      <c r="J203" s="73"/>
      <c r="K203" s="48"/>
      <c r="L203" s="48"/>
      <c r="M203" s="14"/>
      <c r="N203" s="48"/>
    </row>
    <row r="204" spans="1:14" x14ac:dyDescent="0.25">
      <c r="A204" s="303" t="s">
        <v>115</v>
      </c>
      <c r="B204" s="303" t="s">
        <v>116</v>
      </c>
      <c r="C204" s="304" t="s">
        <v>443</v>
      </c>
      <c r="D204" s="304" t="s">
        <v>444</v>
      </c>
      <c r="E204" s="304">
        <v>17300</v>
      </c>
      <c r="F204" s="304">
        <v>11547</v>
      </c>
      <c r="G204" s="304">
        <v>16569</v>
      </c>
      <c r="H204" s="304">
        <v>10704</v>
      </c>
      <c r="I204" s="304">
        <f t="shared" si="5"/>
        <v>2050700.5085031812</v>
      </c>
      <c r="J204" s="73"/>
      <c r="K204" s="48"/>
      <c r="L204" s="48"/>
      <c r="M204" s="14"/>
      <c r="N204" s="48"/>
    </row>
    <row r="205" spans="1:14" x14ac:dyDescent="0.25">
      <c r="A205" s="303" t="s">
        <v>472</v>
      </c>
      <c r="B205" s="303" t="s">
        <v>120</v>
      </c>
      <c r="C205" s="304" t="s">
        <v>446</v>
      </c>
      <c r="D205" s="304" t="s">
        <v>444</v>
      </c>
      <c r="E205" s="304">
        <v>39900</v>
      </c>
      <c r="F205" s="304">
        <v>19228</v>
      </c>
      <c r="G205" s="304">
        <v>26777</v>
      </c>
      <c r="H205" s="304">
        <v>24776</v>
      </c>
      <c r="I205" s="304">
        <f t="shared" si="5"/>
        <v>3865605.5665779551</v>
      </c>
      <c r="J205" s="73"/>
      <c r="K205" s="48"/>
      <c r="L205" s="48"/>
      <c r="M205" s="14"/>
      <c r="N205" s="48"/>
    </row>
    <row r="206" spans="1:14" x14ac:dyDescent="0.25">
      <c r="A206" s="303" t="s">
        <v>472</v>
      </c>
      <c r="B206" s="303" t="s">
        <v>120</v>
      </c>
      <c r="C206" s="304" t="s">
        <v>446</v>
      </c>
      <c r="D206" s="304" t="s">
        <v>444</v>
      </c>
      <c r="E206" s="304">
        <v>22000</v>
      </c>
      <c r="F206" s="304">
        <v>16990</v>
      </c>
      <c r="G206" s="304">
        <v>21309</v>
      </c>
      <c r="H206" s="304">
        <v>17459</v>
      </c>
      <c r="I206" s="304">
        <f t="shared" si="5"/>
        <v>2813796.5125533887</v>
      </c>
      <c r="J206" s="73"/>
      <c r="K206" s="48"/>
      <c r="L206" s="48"/>
      <c r="M206" s="14"/>
      <c r="N206" s="48"/>
    </row>
    <row r="207" spans="1:14" x14ac:dyDescent="0.25">
      <c r="A207" s="303" t="s">
        <v>472</v>
      </c>
      <c r="B207" s="303" t="s">
        <v>120</v>
      </c>
      <c r="C207" s="304" t="s">
        <v>443</v>
      </c>
      <c r="D207" s="304" t="s">
        <v>449</v>
      </c>
      <c r="E207" s="304">
        <v>1400</v>
      </c>
      <c r="F207" s="304">
        <v>1109</v>
      </c>
      <c r="G207" s="304">
        <v>1400</v>
      </c>
      <c r="H207" s="304">
        <v>1101</v>
      </c>
      <c r="I207" s="304">
        <f t="shared" si="5"/>
        <v>307937.57681464194</v>
      </c>
      <c r="J207" s="73"/>
      <c r="K207" s="48"/>
      <c r="L207" s="48"/>
      <c r="M207" s="14"/>
      <c r="N207" s="48"/>
    </row>
    <row r="208" spans="1:14" x14ac:dyDescent="0.25">
      <c r="A208" s="303" t="s">
        <v>472</v>
      </c>
      <c r="B208" s="303" t="s">
        <v>120</v>
      </c>
      <c r="C208" s="304" t="s">
        <v>443</v>
      </c>
      <c r="D208" s="304" t="s">
        <v>444</v>
      </c>
      <c r="E208" s="304">
        <v>14000</v>
      </c>
      <c r="F208" s="304">
        <v>3432</v>
      </c>
      <c r="G208" s="304">
        <v>7259</v>
      </c>
      <c r="H208" s="304">
        <v>8296</v>
      </c>
      <c r="I208" s="304">
        <f t="shared" si="5"/>
        <v>1507518.7803666408</v>
      </c>
      <c r="J208" s="73"/>
      <c r="K208" s="48"/>
      <c r="L208" s="48"/>
      <c r="M208" s="14"/>
      <c r="N208" s="48"/>
    </row>
    <row r="209" spans="1:14" x14ac:dyDescent="0.25">
      <c r="A209" s="303" t="s">
        <v>121</v>
      </c>
      <c r="B209" s="303" t="s">
        <v>122</v>
      </c>
      <c r="C209" s="304" t="s">
        <v>446</v>
      </c>
      <c r="D209" s="304" t="s">
        <v>444</v>
      </c>
      <c r="E209" s="304">
        <v>148000</v>
      </c>
      <c r="F209" s="304">
        <v>21195</v>
      </c>
      <c r="G209" s="304">
        <v>36595</v>
      </c>
      <c r="H209" s="304">
        <v>35599</v>
      </c>
      <c r="I209" s="304">
        <f t="shared" si="5"/>
        <v>8179166.2389860302</v>
      </c>
      <c r="J209" s="73"/>
      <c r="K209" s="48"/>
      <c r="L209" s="48"/>
      <c r="M209" s="14"/>
      <c r="N209" s="48"/>
    </row>
    <row r="210" spans="1:14" x14ac:dyDescent="0.25">
      <c r="A210" s="303" t="s">
        <v>121</v>
      </c>
      <c r="B210" s="303" t="s">
        <v>122</v>
      </c>
      <c r="C210" s="304" t="s">
        <v>473</v>
      </c>
      <c r="D210" s="304" t="s">
        <v>444</v>
      </c>
      <c r="E210" s="304">
        <v>16000</v>
      </c>
      <c r="F210" s="304">
        <v>12957</v>
      </c>
      <c r="G210" s="304">
        <v>14037</v>
      </c>
      <c r="H210" s="304">
        <v>7824</v>
      </c>
      <c r="I210" s="304">
        <f t="shared" si="5"/>
        <v>0</v>
      </c>
      <c r="J210" s="73"/>
      <c r="K210" s="48"/>
      <c r="L210" s="48"/>
      <c r="M210" s="14"/>
      <c r="N210" s="48"/>
    </row>
    <row r="211" spans="1:14" x14ac:dyDescent="0.25">
      <c r="A211" s="303" t="s">
        <v>121</v>
      </c>
      <c r="B211" s="303" t="s">
        <v>122</v>
      </c>
      <c r="C211" s="304" t="s">
        <v>473</v>
      </c>
      <c r="D211" s="304" t="s">
        <v>448</v>
      </c>
      <c r="E211" s="304">
        <v>4200</v>
      </c>
      <c r="F211" s="304">
        <v>2043</v>
      </c>
      <c r="G211" s="304">
        <v>3602</v>
      </c>
      <c r="H211" s="304">
        <v>2723</v>
      </c>
      <c r="I211" s="304">
        <f t="shared" si="5"/>
        <v>0</v>
      </c>
      <c r="J211" s="73"/>
      <c r="K211" s="48"/>
      <c r="L211" s="48"/>
      <c r="M211" s="14"/>
      <c r="N211" s="48"/>
    </row>
    <row r="212" spans="1:14" x14ac:dyDescent="0.25">
      <c r="A212" s="303" t="s">
        <v>121</v>
      </c>
      <c r="B212" s="303" t="s">
        <v>122</v>
      </c>
      <c r="C212" s="304" t="s">
        <v>446</v>
      </c>
      <c r="D212" s="304" t="s">
        <v>444</v>
      </c>
      <c r="E212" s="304">
        <v>4000</v>
      </c>
      <c r="F212" s="304">
        <v>2303</v>
      </c>
      <c r="G212" s="304">
        <v>3545</v>
      </c>
      <c r="H212" s="304">
        <v>2316</v>
      </c>
      <c r="I212" s="304">
        <f t="shared" si="5"/>
        <v>777550.0754658801</v>
      </c>
      <c r="J212" s="73"/>
      <c r="K212" s="48"/>
      <c r="L212" s="48"/>
      <c r="M212" s="14"/>
      <c r="N212" s="48"/>
    </row>
    <row r="213" spans="1:14" x14ac:dyDescent="0.25">
      <c r="A213" s="303" t="s">
        <v>121</v>
      </c>
      <c r="B213" s="303" t="s">
        <v>122</v>
      </c>
      <c r="C213" s="304" t="s">
        <v>473</v>
      </c>
      <c r="D213" s="304" t="s">
        <v>444</v>
      </c>
      <c r="E213" s="304">
        <v>4500</v>
      </c>
      <c r="F213" s="304">
        <v>2314</v>
      </c>
      <c r="G213" s="304">
        <v>4123</v>
      </c>
      <c r="H213" s="304">
        <v>3281</v>
      </c>
      <c r="I213" s="304">
        <f t="shared" si="5"/>
        <v>0</v>
      </c>
      <c r="J213" s="73"/>
      <c r="K213" s="48"/>
      <c r="L213" s="48"/>
      <c r="M213" s="14"/>
      <c r="N213" s="48"/>
    </row>
    <row r="214" spans="1:14" x14ac:dyDescent="0.25">
      <c r="A214" s="303" t="s">
        <v>121</v>
      </c>
      <c r="B214" s="303" t="s">
        <v>122</v>
      </c>
      <c r="C214" s="304" t="s">
        <v>473</v>
      </c>
      <c r="D214" s="304" t="s">
        <v>445</v>
      </c>
      <c r="E214" s="304">
        <v>1500</v>
      </c>
      <c r="F214" s="304">
        <v>169</v>
      </c>
      <c r="G214" s="304">
        <v>252</v>
      </c>
      <c r="H214" s="304">
        <v>417</v>
      </c>
      <c r="I214" s="304">
        <f t="shared" si="5"/>
        <v>242653.21445098409</v>
      </c>
      <c r="J214" s="73"/>
      <c r="K214" s="48"/>
      <c r="L214" s="48"/>
      <c r="M214" s="14"/>
      <c r="N214" s="48"/>
    </row>
    <row r="215" spans="1:14" x14ac:dyDescent="0.25">
      <c r="A215" s="303" t="s">
        <v>121</v>
      </c>
      <c r="B215" s="303" t="s">
        <v>122</v>
      </c>
      <c r="C215" s="304" t="s">
        <v>473</v>
      </c>
      <c r="D215" s="304" t="s">
        <v>445</v>
      </c>
      <c r="E215" s="304">
        <v>600</v>
      </c>
      <c r="F215" s="304">
        <v>130</v>
      </c>
      <c r="G215" s="304">
        <v>394</v>
      </c>
      <c r="H215" s="304">
        <v>271</v>
      </c>
      <c r="I215" s="304">
        <f t="shared" si="5"/>
        <v>160546.66895385814</v>
      </c>
      <c r="J215" s="73"/>
      <c r="K215" s="48"/>
      <c r="L215" s="48"/>
      <c r="M215" s="14"/>
      <c r="N215" s="48"/>
    </row>
    <row r="216" spans="1:14" x14ac:dyDescent="0.25">
      <c r="A216" s="303" t="s">
        <v>121</v>
      </c>
      <c r="B216" s="303" t="s">
        <v>122</v>
      </c>
      <c r="C216" s="304" t="s">
        <v>473</v>
      </c>
      <c r="D216" s="304" t="s">
        <v>445</v>
      </c>
      <c r="E216" s="304">
        <v>100</v>
      </c>
      <c r="F216" s="304">
        <v>3</v>
      </c>
      <c r="G216" s="304">
        <v>10</v>
      </c>
      <c r="H216" s="304">
        <v>36</v>
      </c>
      <c r="I216" s="304">
        <f t="shared" si="5"/>
        <v>45954.455168341097</v>
      </c>
      <c r="J216" s="73"/>
      <c r="K216" s="48"/>
      <c r="L216" s="48"/>
      <c r="M216" s="14"/>
      <c r="N216" s="48"/>
    </row>
    <row r="217" spans="1:14" x14ac:dyDescent="0.25">
      <c r="A217" s="303" t="s">
        <v>125</v>
      </c>
      <c r="B217" s="303" t="s">
        <v>126</v>
      </c>
      <c r="C217" s="304" t="s">
        <v>446</v>
      </c>
      <c r="D217" s="304" t="s">
        <v>456</v>
      </c>
      <c r="E217" s="304">
        <v>15000</v>
      </c>
      <c r="F217" s="304">
        <v>7294.9</v>
      </c>
      <c r="G217" s="304">
        <v>9164.99</v>
      </c>
      <c r="H217" s="304">
        <v>9163.23</v>
      </c>
      <c r="I217" s="304">
        <f t="shared" si="5"/>
        <v>421020.7548982944</v>
      </c>
      <c r="J217" s="73"/>
      <c r="K217" s="48"/>
      <c r="L217" s="48"/>
      <c r="M217" s="14"/>
      <c r="N217" s="48"/>
    </row>
    <row r="218" spans="1:14" x14ac:dyDescent="0.25">
      <c r="A218" s="303" t="s">
        <v>125</v>
      </c>
      <c r="B218" s="303" t="s">
        <v>126</v>
      </c>
      <c r="C218" s="304" t="s">
        <v>443</v>
      </c>
      <c r="D218" s="304" t="s">
        <v>456</v>
      </c>
      <c r="E218" s="304">
        <v>3000</v>
      </c>
      <c r="F218" s="304">
        <v>2754.02</v>
      </c>
      <c r="G218" s="304">
        <v>3442.31</v>
      </c>
      <c r="H218" s="304">
        <v>3889.09</v>
      </c>
      <c r="I218" s="304">
        <f t="shared" si="5"/>
        <v>219500.57108563546</v>
      </c>
      <c r="J218" s="73"/>
      <c r="K218" s="48"/>
      <c r="L218" s="48"/>
      <c r="M218" s="14"/>
      <c r="N218" s="48"/>
    </row>
    <row r="219" spans="1:14" x14ac:dyDescent="0.25">
      <c r="A219" s="303" t="s">
        <v>125</v>
      </c>
      <c r="B219" s="303" t="s">
        <v>126</v>
      </c>
      <c r="C219" s="304" t="s">
        <v>443</v>
      </c>
      <c r="D219" s="304" t="s">
        <v>444</v>
      </c>
      <c r="E219" s="304">
        <v>25000</v>
      </c>
      <c r="F219" s="304">
        <v>14912.19</v>
      </c>
      <c r="G219" s="304">
        <v>18717.28</v>
      </c>
      <c r="H219" s="304">
        <v>19161.14</v>
      </c>
      <c r="I219" s="304">
        <f t="shared" si="5"/>
        <v>2492971.6223087134</v>
      </c>
      <c r="J219" s="73"/>
      <c r="K219" s="48"/>
      <c r="L219" s="48"/>
      <c r="M219" s="14"/>
      <c r="N219" s="48"/>
    </row>
    <row r="220" spans="1:14" x14ac:dyDescent="0.25">
      <c r="A220" s="303" t="s">
        <v>125</v>
      </c>
      <c r="B220" s="303" t="s">
        <v>126</v>
      </c>
      <c r="C220" s="304" t="s">
        <v>446</v>
      </c>
      <c r="D220" s="304" t="s">
        <v>456</v>
      </c>
      <c r="E220" s="304">
        <v>8000</v>
      </c>
      <c r="F220" s="304">
        <v>4863.2700000000004</v>
      </c>
      <c r="G220" s="304">
        <v>6109.99</v>
      </c>
      <c r="H220" s="304">
        <v>6108.82</v>
      </c>
      <c r="I220" s="304">
        <f t="shared" si="5"/>
        <v>318444.68915154372</v>
      </c>
      <c r="J220" s="73"/>
      <c r="K220" s="48"/>
      <c r="L220" s="48"/>
      <c r="M220" s="14"/>
      <c r="N220" s="48"/>
    </row>
    <row r="221" spans="1:14" x14ac:dyDescent="0.25">
      <c r="A221" s="303" t="s">
        <v>127</v>
      </c>
      <c r="B221" s="303" t="s">
        <v>128</v>
      </c>
      <c r="C221" s="304" t="s">
        <v>446</v>
      </c>
      <c r="D221" s="304" t="s">
        <v>444</v>
      </c>
      <c r="E221" s="304">
        <v>27500</v>
      </c>
      <c r="F221" s="304">
        <v>16919</v>
      </c>
      <c r="G221" s="304">
        <v>22495</v>
      </c>
      <c r="H221" s="304">
        <v>16755</v>
      </c>
      <c r="I221" s="304">
        <f t="shared" si="5"/>
        <v>3127383.3646374433</v>
      </c>
      <c r="J221" s="73"/>
      <c r="K221" s="48"/>
      <c r="L221" s="48"/>
      <c r="M221" s="14"/>
      <c r="N221" s="48"/>
    </row>
    <row r="222" spans="1:14" x14ac:dyDescent="0.25">
      <c r="A222" s="303" t="s">
        <v>127</v>
      </c>
      <c r="B222" s="303" t="s">
        <v>128</v>
      </c>
      <c r="C222" s="304" t="s">
        <v>443</v>
      </c>
      <c r="D222" s="304" t="s">
        <v>448</v>
      </c>
      <c r="E222" s="304">
        <v>3000</v>
      </c>
      <c r="F222" s="304">
        <v>3669</v>
      </c>
      <c r="G222" s="304">
        <v>6044</v>
      </c>
      <c r="H222" s="304">
        <v>3180</v>
      </c>
      <c r="I222" s="304">
        <f t="shared" si="5"/>
        <v>775977.37587359943</v>
      </c>
      <c r="J222" s="73"/>
      <c r="K222" s="48"/>
      <c r="L222" s="48"/>
      <c r="M222" s="14"/>
      <c r="N222" s="48"/>
    </row>
    <row r="223" spans="1:14" x14ac:dyDescent="0.25">
      <c r="A223" s="303" t="s">
        <v>127</v>
      </c>
      <c r="B223" s="303" t="s">
        <v>128</v>
      </c>
      <c r="C223" s="304" t="s">
        <v>446</v>
      </c>
      <c r="D223" s="304" t="s">
        <v>444</v>
      </c>
      <c r="E223" s="304">
        <v>30000</v>
      </c>
      <c r="F223" s="304">
        <v>42305</v>
      </c>
      <c r="G223" s="304">
        <v>51510</v>
      </c>
      <c r="H223" s="304">
        <v>17403</v>
      </c>
      <c r="I223" s="304">
        <f t="shared" si="5"/>
        <v>4481489.4826596957</v>
      </c>
      <c r="J223" s="73"/>
      <c r="K223" s="48"/>
      <c r="L223" s="48"/>
      <c r="M223" s="14"/>
      <c r="N223" s="48"/>
    </row>
    <row r="224" spans="1:14" x14ac:dyDescent="0.25">
      <c r="A224" s="303" t="s">
        <v>127</v>
      </c>
      <c r="B224" s="303" t="s">
        <v>128</v>
      </c>
      <c r="C224" s="304" t="s">
        <v>443</v>
      </c>
      <c r="D224" s="304" t="s">
        <v>444</v>
      </c>
      <c r="E224" s="304">
        <v>125000</v>
      </c>
      <c r="F224" s="304">
        <v>63006</v>
      </c>
      <c r="G224" s="304">
        <v>74331</v>
      </c>
      <c r="H224" s="304">
        <v>73482</v>
      </c>
      <c r="I224" s="304">
        <f t="shared" si="5"/>
        <v>7558833.4818028454</v>
      </c>
      <c r="J224" s="73"/>
      <c r="K224" s="48"/>
      <c r="L224" s="48"/>
      <c r="M224" s="14"/>
      <c r="N224" s="48"/>
    </row>
    <row r="225" spans="1:14" x14ac:dyDescent="0.25">
      <c r="A225" s="303" t="s">
        <v>127</v>
      </c>
      <c r="B225" s="303" t="s">
        <v>128</v>
      </c>
      <c r="C225" s="304" t="s">
        <v>443</v>
      </c>
      <c r="D225" s="304" t="s">
        <v>448</v>
      </c>
      <c r="E225" s="304">
        <v>1000</v>
      </c>
      <c r="F225" s="304">
        <v>375</v>
      </c>
      <c r="G225" s="304">
        <v>458</v>
      </c>
      <c r="H225" s="304">
        <v>722</v>
      </c>
      <c r="I225" s="304">
        <f t="shared" si="5"/>
        <v>228922.29337447803</v>
      </c>
      <c r="J225" s="73"/>
      <c r="K225" s="48"/>
      <c r="L225" s="48"/>
      <c r="M225" s="14"/>
      <c r="N225" s="48"/>
    </row>
    <row r="226" spans="1:14" x14ac:dyDescent="0.25">
      <c r="A226" s="303" t="s">
        <v>474</v>
      </c>
      <c r="B226" s="303" t="s">
        <v>130</v>
      </c>
      <c r="C226" s="304" t="s">
        <v>443</v>
      </c>
      <c r="D226" s="304" t="s">
        <v>445</v>
      </c>
      <c r="E226" s="304">
        <v>150</v>
      </c>
      <c r="F226" s="304">
        <v>37</v>
      </c>
      <c r="G226" s="304">
        <v>41</v>
      </c>
      <c r="H226" s="304">
        <v>93</v>
      </c>
      <c r="I226" s="304">
        <f t="shared" si="5"/>
        <v>66199.207068415548</v>
      </c>
      <c r="J226" s="73"/>
      <c r="K226" s="48"/>
      <c r="L226" s="48"/>
      <c r="M226" s="14"/>
      <c r="N226" s="48"/>
    </row>
    <row r="227" spans="1:14" x14ac:dyDescent="0.25">
      <c r="A227" s="303" t="s">
        <v>474</v>
      </c>
      <c r="B227" s="303" t="s">
        <v>130</v>
      </c>
      <c r="C227" s="304" t="s">
        <v>446</v>
      </c>
      <c r="D227" s="304" t="s">
        <v>444</v>
      </c>
      <c r="E227" s="304">
        <v>100000</v>
      </c>
      <c r="F227" s="304">
        <v>76288</v>
      </c>
      <c r="G227" s="304">
        <v>119483</v>
      </c>
      <c r="H227" s="304">
        <v>91165</v>
      </c>
      <c r="I227" s="304">
        <f t="shared" si="5"/>
        <v>9290566.9552261308</v>
      </c>
      <c r="J227" s="73"/>
      <c r="K227" s="48"/>
      <c r="L227" s="48"/>
      <c r="M227" s="14"/>
      <c r="N227" s="48"/>
    </row>
    <row r="228" spans="1:14" x14ac:dyDescent="0.25">
      <c r="A228" s="303" t="s">
        <v>474</v>
      </c>
      <c r="B228" s="303" t="s">
        <v>130</v>
      </c>
      <c r="C228" s="304" t="s">
        <v>443</v>
      </c>
      <c r="D228" s="304" t="s">
        <v>444</v>
      </c>
      <c r="E228" s="304">
        <v>10000</v>
      </c>
      <c r="F228" s="304">
        <v>6762</v>
      </c>
      <c r="G228" s="304">
        <v>10826</v>
      </c>
      <c r="H228" s="304">
        <v>7604</v>
      </c>
      <c r="I228" s="304">
        <f t="shared" si="5"/>
        <v>1433710.9683476363</v>
      </c>
      <c r="J228" s="73"/>
      <c r="K228" s="48"/>
      <c r="L228" s="48"/>
      <c r="M228" s="14"/>
      <c r="N228" s="48"/>
    </row>
    <row r="229" spans="1:14" x14ac:dyDescent="0.25">
      <c r="A229" s="303" t="s">
        <v>131</v>
      </c>
      <c r="B229" s="303" t="s">
        <v>132</v>
      </c>
      <c r="C229" s="304" t="s">
        <v>443</v>
      </c>
      <c r="D229" s="304" t="s">
        <v>444</v>
      </c>
      <c r="E229" s="304">
        <v>4000</v>
      </c>
      <c r="F229" s="304">
        <v>1805</v>
      </c>
      <c r="G229" s="304">
        <v>2392</v>
      </c>
      <c r="H229" s="304">
        <v>2744</v>
      </c>
      <c r="I229" s="304">
        <f t="shared" si="5"/>
        <v>625246.1369569028</v>
      </c>
      <c r="J229" s="73"/>
      <c r="K229" s="48"/>
      <c r="L229" s="48"/>
      <c r="M229" s="14"/>
      <c r="N229" s="48"/>
    </row>
    <row r="230" spans="1:14" x14ac:dyDescent="0.25">
      <c r="A230" s="303" t="s">
        <v>131</v>
      </c>
      <c r="B230" s="303" t="s">
        <v>132</v>
      </c>
      <c r="C230" s="304" t="s">
        <v>446</v>
      </c>
      <c r="D230" s="304" t="s">
        <v>444</v>
      </c>
      <c r="E230" s="304">
        <v>4950</v>
      </c>
      <c r="F230" s="304">
        <v>3418</v>
      </c>
      <c r="G230" s="304">
        <v>4841</v>
      </c>
      <c r="H230" s="304">
        <v>4644</v>
      </c>
      <c r="I230" s="304">
        <f t="shared" si="5"/>
        <v>941932.69857945375</v>
      </c>
      <c r="J230" s="73"/>
      <c r="K230" s="48"/>
      <c r="L230" s="48"/>
      <c r="M230" s="14"/>
      <c r="N230" s="48"/>
    </row>
    <row r="231" spans="1:14" x14ac:dyDescent="0.25">
      <c r="A231" s="303" t="s">
        <v>131</v>
      </c>
      <c r="B231" s="303" t="s">
        <v>132</v>
      </c>
      <c r="C231" s="304" t="s">
        <v>443</v>
      </c>
      <c r="D231" s="304" t="s">
        <v>444</v>
      </c>
      <c r="E231" s="304">
        <v>4200</v>
      </c>
      <c r="F231" s="304">
        <v>2429</v>
      </c>
      <c r="G231" s="304">
        <v>4148</v>
      </c>
      <c r="H231" s="304">
        <v>3275</v>
      </c>
      <c r="I231" s="304">
        <f t="shared" si="5"/>
        <v>731564.07087351731</v>
      </c>
      <c r="J231" s="73"/>
      <c r="K231" s="48"/>
      <c r="L231" s="48"/>
      <c r="M231" s="14"/>
      <c r="N231" s="48"/>
    </row>
    <row r="232" spans="1:14" x14ac:dyDescent="0.25">
      <c r="A232" s="303" t="s">
        <v>131</v>
      </c>
      <c r="B232" s="303" t="s">
        <v>132</v>
      </c>
      <c r="C232" s="304" t="s">
        <v>443</v>
      </c>
      <c r="D232" s="304" t="s">
        <v>444</v>
      </c>
      <c r="E232" s="304">
        <v>5500</v>
      </c>
      <c r="F232" s="304">
        <v>1913</v>
      </c>
      <c r="G232" s="304">
        <v>2396</v>
      </c>
      <c r="H232" s="304">
        <v>3362</v>
      </c>
      <c r="I232" s="304">
        <f t="shared" si="5"/>
        <v>764453.47050664027</v>
      </c>
      <c r="J232" s="73"/>
      <c r="K232" s="48"/>
      <c r="L232" s="48"/>
      <c r="M232" s="14"/>
      <c r="N232" s="48"/>
    </row>
    <row r="233" spans="1:14" x14ac:dyDescent="0.25">
      <c r="A233" s="303" t="s">
        <v>131</v>
      </c>
      <c r="B233" s="303" t="s">
        <v>132</v>
      </c>
      <c r="C233" s="304" t="s">
        <v>443</v>
      </c>
      <c r="D233" s="304" t="s">
        <v>444</v>
      </c>
      <c r="E233" s="304">
        <v>11917</v>
      </c>
      <c r="F233" s="304">
        <v>4746</v>
      </c>
      <c r="G233" s="304">
        <v>7341</v>
      </c>
      <c r="H233" s="304">
        <v>10284</v>
      </c>
      <c r="I233" s="304">
        <f t="shared" si="5"/>
        <v>1502788.5550602532</v>
      </c>
      <c r="J233" s="73"/>
      <c r="K233" s="48"/>
      <c r="L233" s="48"/>
      <c r="M233" s="14"/>
      <c r="N233" s="48"/>
    </row>
    <row r="234" spans="1:14" x14ac:dyDescent="0.25">
      <c r="A234" s="303" t="s">
        <v>131</v>
      </c>
      <c r="B234" s="303" t="s">
        <v>132</v>
      </c>
      <c r="C234" s="304" t="s">
        <v>443</v>
      </c>
      <c r="D234" s="304" t="s">
        <v>444</v>
      </c>
      <c r="E234" s="304">
        <v>2450</v>
      </c>
      <c r="F234" s="304">
        <v>844</v>
      </c>
      <c r="G234" s="304">
        <v>1155</v>
      </c>
      <c r="H234" s="304">
        <v>1408</v>
      </c>
      <c r="I234" s="304">
        <f t="shared" si="5"/>
        <v>414505.4910798198</v>
      </c>
      <c r="J234" s="73"/>
      <c r="K234" s="48"/>
      <c r="L234" s="48"/>
      <c r="M234" s="14"/>
      <c r="N234" s="48"/>
    </row>
    <row r="235" spans="1:14" x14ac:dyDescent="0.25">
      <c r="A235" s="303" t="s">
        <v>131</v>
      </c>
      <c r="B235" s="303" t="s">
        <v>132</v>
      </c>
      <c r="C235" s="304" t="s">
        <v>443</v>
      </c>
      <c r="D235" s="304" t="s">
        <v>444</v>
      </c>
      <c r="E235" s="304">
        <v>6700</v>
      </c>
      <c r="F235" s="304">
        <v>3166</v>
      </c>
      <c r="G235" s="304">
        <v>4244</v>
      </c>
      <c r="H235" s="304">
        <v>5009</v>
      </c>
      <c r="I235" s="304">
        <f t="shared" si="5"/>
        <v>938422.19092690549</v>
      </c>
      <c r="J235" s="73"/>
      <c r="K235" s="48"/>
      <c r="L235" s="48"/>
      <c r="M235" s="14"/>
      <c r="N235" s="48"/>
    </row>
    <row r="236" spans="1:14" x14ac:dyDescent="0.25">
      <c r="A236" s="303" t="s">
        <v>475</v>
      </c>
      <c r="B236" s="303" t="s">
        <v>134</v>
      </c>
      <c r="C236" s="304" t="s">
        <v>443</v>
      </c>
      <c r="D236" s="304" t="s">
        <v>444</v>
      </c>
      <c r="E236" s="304">
        <v>80000</v>
      </c>
      <c r="F236" s="304">
        <v>20859</v>
      </c>
      <c r="G236" s="304">
        <v>15610</v>
      </c>
      <c r="H236" s="304">
        <v>26648</v>
      </c>
      <c r="I236" s="304">
        <f t="shared" si="5"/>
        <v>4770247.2555275867</v>
      </c>
      <c r="J236" s="73"/>
      <c r="K236" s="48"/>
      <c r="L236" s="48"/>
      <c r="M236" s="14"/>
      <c r="N236" s="48"/>
    </row>
    <row r="237" spans="1:14" x14ac:dyDescent="0.25">
      <c r="A237" s="303" t="s">
        <v>475</v>
      </c>
      <c r="B237" s="303" t="s">
        <v>134</v>
      </c>
      <c r="C237" s="304" t="s">
        <v>446</v>
      </c>
      <c r="D237" s="304" t="s">
        <v>444</v>
      </c>
      <c r="E237" s="304">
        <v>70000</v>
      </c>
      <c r="F237" s="304">
        <v>28374</v>
      </c>
      <c r="G237" s="304">
        <v>33551</v>
      </c>
      <c r="H237" s="304">
        <v>23783</v>
      </c>
      <c r="I237" s="304">
        <f t="shared" si="5"/>
        <v>5344717.1537450952</v>
      </c>
      <c r="J237" s="73"/>
      <c r="K237" s="48"/>
      <c r="L237" s="48"/>
      <c r="M237" s="14"/>
      <c r="N237" s="48"/>
    </row>
    <row r="238" spans="1:14" x14ac:dyDescent="0.25">
      <c r="A238" s="303" t="s">
        <v>476</v>
      </c>
      <c r="B238" s="303" t="s">
        <v>136</v>
      </c>
      <c r="C238" s="304" t="s">
        <v>443</v>
      </c>
      <c r="D238" s="304" t="s">
        <v>456</v>
      </c>
      <c r="E238" s="304">
        <v>20</v>
      </c>
      <c r="F238" s="304">
        <v>0</v>
      </c>
      <c r="G238" s="304">
        <v>0</v>
      </c>
      <c r="H238" s="304">
        <v>0</v>
      </c>
      <c r="I238" s="304">
        <f t="shared" si="5"/>
        <v>10584.350613587403</v>
      </c>
      <c r="J238" s="73"/>
      <c r="K238" s="48"/>
      <c r="L238" s="48"/>
      <c r="M238" s="14"/>
      <c r="N238" s="48"/>
    </row>
    <row r="239" spans="1:14" x14ac:dyDescent="0.25">
      <c r="A239" s="303" t="s">
        <v>476</v>
      </c>
      <c r="B239" s="303" t="s">
        <v>136</v>
      </c>
      <c r="C239" s="304" t="s">
        <v>443</v>
      </c>
      <c r="D239" s="304" t="s">
        <v>444</v>
      </c>
      <c r="E239" s="304">
        <v>8000</v>
      </c>
      <c r="F239" s="304">
        <v>1238</v>
      </c>
      <c r="G239" s="304">
        <v>2033</v>
      </c>
      <c r="H239" s="304">
        <v>2676</v>
      </c>
      <c r="I239" s="304">
        <f t="shared" si="5"/>
        <v>876751.25401730195</v>
      </c>
      <c r="J239" s="73"/>
      <c r="K239" s="48"/>
      <c r="L239" s="48"/>
      <c r="M239" s="14"/>
      <c r="N239" s="48"/>
    </row>
    <row r="240" spans="1:14" x14ac:dyDescent="0.25">
      <c r="A240" s="303" t="s">
        <v>476</v>
      </c>
      <c r="B240" s="303" t="s">
        <v>136</v>
      </c>
      <c r="C240" s="304" t="s">
        <v>446</v>
      </c>
      <c r="D240" s="304" t="s">
        <v>444</v>
      </c>
      <c r="E240" s="304">
        <v>4500</v>
      </c>
      <c r="F240" s="304">
        <v>1311</v>
      </c>
      <c r="G240" s="304">
        <v>1923</v>
      </c>
      <c r="H240" s="304">
        <v>2233</v>
      </c>
      <c r="I240" s="304">
        <f t="shared" si="5"/>
        <v>715043.8973381985</v>
      </c>
      <c r="J240" s="73"/>
      <c r="K240" s="48"/>
      <c r="L240" s="48"/>
      <c r="M240" s="14"/>
      <c r="N240" s="48"/>
    </row>
    <row r="241" spans="1:14" x14ac:dyDescent="0.25">
      <c r="A241" s="303" t="s">
        <v>476</v>
      </c>
      <c r="B241" s="303" t="s">
        <v>136</v>
      </c>
      <c r="C241" s="304" t="s">
        <v>443</v>
      </c>
      <c r="D241" s="304" t="s">
        <v>444</v>
      </c>
      <c r="E241" s="304">
        <v>5800</v>
      </c>
      <c r="F241" s="304">
        <v>1238</v>
      </c>
      <c r="G241" s="304">
        <v>2033</v>
      </c>
      <c r="H241" s="304">
        <v>2676</v>
      </c>
      <c r="I241" s="304">
        <f t="shared" si="5"/>
        <v>739803.24095746991</v>
      </c>
      <c r="J241" s="73"/>
      <c r="K241" s="48"/>
      <c r="L241" s="48"/>
      <c r="M241" s="14"/>
      <c r="N241" s="48"/>
    </row>
    <row r="242" spans="1:14" x14ac:dyDescent="0.25">
      <c r="A242" s="303" t="s">
        <v>476</v>
      </c>
      <c r="B242" s="303" t="s">
        <v>136</v>
      </c>
      <c r="C242" s="304" t="s">
        <v>443</v>
      </c>
      <c r="D242" s="304" t="s">
        <v>449</v>
      </c>
      <c r="E242" s="304">
        <v>526</v>
      </c>
      <c r="F242" s="304">
        <v>158</v>
      </c>
      <c r="G242" s="304">
        <v>451</v>
      </c>
      <c r="H242" s="304">
        <v>381</v>
      </c>
      <c r="I242" s="304">
        <f t="shared" si="5"/>
        <v>158814.33234555135</v>
      </c>
      <c r="J242" s="73"/>
      <c r="K242" s="48"/>
      <c r="L242" s="48"/>
      <c r="M242" s="14"/>
      <c r="N242" s="48"/>
    </row>
    <row r="243" spans="1:14" x14ac:dyDescent="0.25">
      <c r="A243" s="303" t="s">
        <v>476</v>
      </c>
      <c r="B243" s="303" t="s">
        <v>136</v>
      </c>
      <c r="C243" s="304" t="s">
        <v>443</v>
      </c>
      <c r="D243" s="304" t="s">
        <v>449</v>
      </c>
      <c r="E243" s="304">
        <v>225</v>
      </c>
      <c r="F243" s="304">
        <v>0</v>
      </c>
      <c r="G243" s="304">
        <v>0</v>
      </c>
      <c r="H243" s="304">
        <v>35</v>
      </c>
      <c r="I243" s="304">
        <f t="shared" si="5"/>
        <v>69075.134715172928</v>
      </c>
      <c r="J243" s="73"/>
      <c r="K243" s="48"/>
      <c r="L243" s="48"/>
      <c r="M243" s="14"/>
      <c r="N243" s="48"/>
    </row>
    <row r="244" spans="1:14" x14ac:dyDescent="0.25">
      <c r="A244" s="303" t="s">
        <v>476</v>
      </c>
      <c r="B244" s="303" t="s">
        <v>136</v>
      </c>
      <c r="C244" s="304" t="s">
        <v>443</v>
      </c>
      <c r="D244" s="304" t="s">
        <v>456</v>
      </c>
      <c r="E244" s="304">
        <v>65</v>
      </c>
      <c r="F244" s="304">
        <v>0</v>
      </c>
      <c r="G244" s="304">
        <v>0</v>
      </c>
      <c r="H244" s="304">
        <v>0</v>
      </c>
      <c r="I244" s="304">
        <f t="shared" si="5"/>
        <v>19513.343158803353</v>
      </c>
      <c r="J244" s="73"/>
      <c r="K244" s="48"/>
      <c r="L244" s="48"/>
      <c r="M244" s="14"/>
      <c r="N244" s="48"/>
    </row>
    <row r="245" spans="1:14" x14ac:dyDescent="0.25">
      <c r="A245" s="303" t="s">
        <v>476</v>
      </c>
      <c r="B245" s="303" t="s">
        <v>136</v>
      </c>
      <c r="C245" s="304" t="s">
        <v>443</v>
      </c>
      <c r="D245" s="304" t="s">
        <v>456</v>
      </c>
      <c r="E245" s="304">
        <v>45</v>
      </c>
      <c r="F245" s="304">
        <v>0</v>
      </c>
      <c r="G245" s="304">
        <v>0</v>
      </c>
      <c r="H245" s="304">
        <v>0</v>
      </c>
      <c r="I245" s="304">
        <f t="shared" si="5"/>
        <v>16123.040489012412</v>
      </c>
      <c r="J245" s="73"/>
      <c r="K245" s="48"/>
      <c r="L245" s="48"/>
      <c r="M245" s="14"/>
      <c r="N245" s="48"/>
    </row>
    <row r="246" spans="1:14" x14ac:dyDescent="0.25">
      <c r="A246" s="303" t="s">
        <v>476</v>
      </c>
      <c r="B246" s="303" t="s">
        <v>136</v>
      </c>
      <c r="C246" s="304" t="s">
        <v>443</v>
      </c>
      <c r="D246" s="304" t="s">
        <v>456</v>
      </c>
      <c r="E246" s="304">
        <v>200</v>
      </c>
      <c r="F246" s="304">
        <v>27</v>
      </c>
      <c r="G246" s="304">
        <v>33</v>
      </c>
      <c r="H246" s="304">
        <v>76</v>
      </c>
      <c r="I246" s="304">
        <f t="shared" si="5"/>
        <v>41329.624883562887</v>
      </c>
      <c r="J246" s="73"/>
      <c r="K246" s="48"/>
      <c r="L246" s="48"/>
      <c r="M246" s="14"/>
      <c r="N246" s="48"/>
    </row>
    <row r="247" spans="1:14" x14ac:dyDescent="0.25">
      <c r="A247" s="303" t="s">
        <v>476</v>
      </c>
      <c r="B247" s="303" t="s">
        <v>136</v>
      </c>
      <c r="C247" s="304" t="s">
        <v>443</v>
      </c>
      <c r="D247" s="304" t="s">
        <v>445</v>
      </c>
      <c r="E247" s="304">
        <v>319</v>
      </c>
      <c r="F247" s="304">
        <v>0</v>
      </c>
      <c r="G247" s="304">
        <v>82</v>
      </c>
      <c r="H247" s="304">
        <v>0</v>
      </c>
      <c r="I247" s="304">
        <f t="shared" si="5"/>
        <v>90711.531228756547</v>
      </c>
      <c r="J247" s="73"/>
      <c r="K247" s="48"/>
      <c r="L247" s="48"/>
      <c r="M247" s="14"/>
      <c r="N247" s="48"/>
    </row>
    <row r="248" spans="1:14" x14ac:dyDescent="0.25">
      <c r="A248" s="303" t="s">
        <v>476</v>
      </c>
      <c r="B248" s="303" t="s">
        <v>136</v>
      </c>
      <c r="C248" s="304" t="s">
        <v>443</v>
      </c>
      <c r="D248" s="304" t="s">
        <v>456</v>
      </c>
      <c r="E248" s="304">
        <v>450</v>
      </c>
      <c r="F248" s="304">
        <v>0</v>
      </c>
      <c r="G248" s="304">
        <v>0</v>
      </c>
      <c r="H248" s="304">
        <v>0</v>
      </c>
      <c r="I248" s="304">
        <f t="shared" si="5"/>
        <v>53265.614864730138</v>
      </c>
      <c r="J248" s="73"/>
      <c r="K248" s="48"/>
      <c r="L248" s="48"/>
      <c r="M248" s="14"/>
      <c r="N248" s="48"/>
    </row>
    <row r="249" spans="1:14" x14ac:dyDescent="0.25">
      <c r="A249" s="303" t="s">
        <v>476</v>
      </c>
      <c r="B249" s="303" t="s">
        <v>136</v>
      </c>
      <c r="C249" s="304" t="s">
        <v>443</v>
      </c>
      <c r="D249" s="304" t="s">
        <v>456</v>
      </c>
      <c r="E249" s="304">
        <v>200</v>
      </c>
      <c r="F249" s="304">
        <v>0</v>
      </c>
      <c r="G249" s="304">
        <v>0</v>
      </c>
      <c r="H249" s="304">
        <v>0</v>
      </c>
      <c r="I249" s="304">
        <f t="shared" si="5"/>
        <v>34967.470543835996</v>
      </c>
      <c r="J249" s="73"/>
      <c r="K249" s="48"/>
      <c r="L249" s="48"/>
      <c r="M249" s="14"/>
      <c r="N249" s="48"/>
    </row>
    <row r="250" spans="1:14" x14ac:dyDescent="0.25">
      <c r="A250" s="303" t="s">
        <v>476</v>
      </c>
      <c r="B250" s="303" t="s">
        <v>136</v>
      </c>
      <c r="C250" s="304" t="s">
        <v>443</v>
      </c>
      <c r="D250" s="304" t="s">
        <v>456</v>
      </c>
      <c r="E250" s="304">
        <v>35</v>
      </c>
      <c r="F250" s="304">
        <v>0</v>
      </c>
      <c r="G250" s="304">
        <v>0</v>
      </c>
      <c r="H250" s="304">
        <v>0</v>
      </c>
      <c r="I250" s="304">
        <f t="shared" si="5"/>
        <v>14151.450772969341</v>
      </c>
      <c r="J250" s="73"/>
      <c r="K250" s="48"/>
      <c r="L250" s="48"/>
      <c r="M250" s="14"/>
      <c r="N250" s="48"/>
    </row>
    <row r="251" spans="1:14" x14ac:dyDescent="0.25">
      <c r="A251" s="303" t="s">
        <v>476</v>
      </c>
      <c r="B251" s="303" t="s">
        <v>136</v>
      </c>
      <c r="C251" s="304" t="s">
        <v>443</v>
      </c>
      <c r="D251" s="304" t="s">
        <v>456</v>
      </c>
      <c r="E251" s="304">
        <v>80</v>
      </c>
      <c r="F251" s="304">
        <v>0</v>
      </c>
      <c r="G251" s="304">
        <v>0</v>
      </c>
      <c r="H251" s="304">
        <v>0</v>
      </c>
      <c r="I251" s="304">
        <f t="shared" si="5"/>
        <v>21733.684246410485</v>
      </c>
      <c r="J251" s="73"/>
      <c r="K251" s="48"/>
      <c r="L251" s="48"/>
      <c r="M251" s="14"/>
      <c r="N251" s="48"/>
    </row>
    <row r="252" spans="1:14" x14ac:dyDescent="0.25">
      <c r="A252" s="303" t="s">
        <v>476</v>
      </c>
      <c r="B252" s="303" t="s">
        <v>136</v>
      </c>
      <c r="C252" s="304" t="s">
        <v>446</v>
      </c>
      <c r="D252" s="304" t="s">
        <v>444</v>
      </c>
      <c r="E252" s="304">
        <v>850</v>
      </c>
      <c r="F252" s="304">
        <v>373</v>
      </c>
      <c r="G252" s="304">
        <v>515</v>
      </c>
      <c r="H252" s="304">
        <v>991</v>
      </c>
      <c r="I252" s="304">
        <f t="shared" si="5"/>
        <v>275328.23614920949</v>
      </c>
      <c r="J252" s="73"/>
      <c r="K252" s="48"/>
      <c r="L252" s="48"/>
      <c r="M252" s="14"/>
      <c r="N252" s="48"/>
    </row>
    <row r="253" spans="1:14" x14ac:dyDescent="0.25">
      <c r="A253" s="303" t="s">
        <v>476</v>
      </c>
      <c r="B253" s="303" t="s">
        <v>136</v>
      </c>
      <c r="C253" s="304" t="s">
        <v>443</v>
      </c>
      <c r="D253" s="304" t="s">
        <v>456</v>
      </c>
      <c r="E253" s="304">
        <v>10</v>
      </c>
      <c r="F253" s="304">
        <v>0</v>
      </c>
      <c r="G253" s="304">
        <v>0</v>
      </c>
      <c r="H253" s="304">
        <v>0</v>
      </c>
      <c r="I253" s="304">
        <f t="shared" si="5"/>
        <v>7386.3460413134962</v>
      </c>
      <c r="J253" s="73"/>
      <c r="K253" s="48"/>
      <c r="L253" s="48"/>
      <c r="M253" s="14"/>
      <c r="N253" s="48"/>
    </row>
    <row r="254" spans="1:14" x14ac:dyDescent="0.25">
      <c r="A254" s="303" t="s">
        <v>476</v>
      </c>
      <c r="B254" s="303" t="s">
        <v>136</v>
      </c>
      <c r="C254" s="304" t="s">
        <v>443</v>
      </c>
      <c r="D254" s="304" t="s">
        <v>456</v>
      </c>
      <c r="E254" s="304">
        <v>85</v>
      </c>
      <c r="F254" s="304">
        <v>0</v>
      </c>
      <c r="G254" s="304">
        <v>0</v>
      </c>
      <c r="H254" s="304">
        <v>0</v>
      </c>
      <c r="I254" s="304">
        <f t="shared" si="5"/>
        <v>22428.388611140053</v>
      </c>
      <c r="J254" s="73"/>
      <c r="K254" s="48"/>
      <c r="L254" s="48"/>
      <c r="M254" s="14"/>
      <c r="N254" s="48"/>
    </row>
    <row r="255" spans="1:14" x14ac:dyDescent="0.25">
      <c r="A255" s="303" t="s">
        <v>476</v>
      </c>
      <c r="B255" s="303" t="s">
        <v>136</v>
      </c>
      <c r="C255" s="304" t="s">
        <v>443</v>
      </c>
      <c r="D255" s="304" t="s">
        <v>445</v>
      </c>
      <c r="E255" s="304">
        <v>900</v>
      </c>
      <c r="F255" s="304">
        <v>82</v>
      </c>
      <c r="G255" s="304">
        <v>98</v>
      </c>
      <c r="H255" s="304">
        <v>122</v>
      </c>
      <c r="I255" s="304">
        <f t="shared" si="5"/>
        <v>163376.15482430987</v>
      </c>
      <c r="J255" s="73"/>
      <c r="K255" s="48"/>
      <c r="L255" s="48"/>
      <c r="M255" s="14"/>
      <c r="N255" s="48"/>
    </row>
    <row r="256" spans="1:14" x14ac:dyDescent="0.25">
      <c r="A256" s="303" t="s">
        <v>476</v>
      </c>
      <c r="B256" s="303" t="s">
        <v>136</v>
      </c>
      <c r="C256" s="304" t="s">
        <v>443</v>
      </c>
      <c r="D256" s="304" t="s">
        <v>456</v>
      </c>
      <c r="E256" s="304">
        <v>100</v>
      </c>
      <c r="F256" s="304">
        <v>0</v>
      </c>
      <c r="G256" s="304">
        <v>0</v>
      </c>
      <c r="H256" s="304">
        <v>32</v>
      </c>
      <c r="I256" s="304">
        <f t="shared" si="5"/>
        <v>28184.317348807839</v>
      </c>
      <c r="J256" s="73"/>
      <c r="K256" s="48"/>
      <c r="L256" s="48"/>
      <c r="M256" s="14"/>
      <c r="N256" s="48"/>
    </row>
    <row r="257" spans="1:14" x14ac:dyDescent="0.25">
      <c r="A257" s="303" t="s">
        <v>476</v>
      </c>
      <c r="B257" s="303" t="s">
        <v>136</v>
      </c>
      <c r="C257" s="304" t="s">
        <v>443</v>
      </c>
      <c r="D257" s="304" t="s">
        <v>449</v>
      </c>
      <c r="E257" s="304">
        <v>560</v>
      </c>
      <c r="F257" s="304">
        <v>0</v>
      </c>
      <c r="G257" s="304">
        <v>0</v>
      </c>
      <c r="H257" s="304">
        <v>0</v>
      </c>
      <c r="I257" s="304">
        <f t="shared" si="5"/>
        <v>111912.97794157974</v>
      </c>
      <c r="J257" s="73"/>
      <c r="K257" s="48"/>
      <c r="L257" s="48"/>
      <c r="M257" s="14"/>
      <c r="N257" s="48"/>
    </row>
    <row r="258" spans="1:14" x14ac:dyDescent="0.25">
      <c r="A258" s="303" t="s">
        <v>476</v>
      </c>
      <c r="B258" s="303" t="s">
        <v>136</v>
      </c>
      <c r="C258" s="304" t="s">
        <v>443</v>
      </c>
      <c r="D258" s="304" t="s">
        <v>456</v>
      </c>
      <c r="E258" s="304">
        <v>50</v>
      </c>
      <c r="F258" s="304">
        <v>0</v>
      </c>
      <c r="G258" s="304">
        <v>0</v>
      </c>
      <c r="H258" s="304">
        <v>0</v>
      </c>
      <c r="I258" s="304">
        <f t="shared" si="5"/>
        <v>17029.232784928146</v>
      </c>
      <c r="J258" s="73"/>
      <c r="K258" s="48"/>
      <c r="L258" s="48"/>
      <c r="M258" s="14"/>
      <c r="N258" s="48"/>
    </row>
    <row r="259" spans="1:14" x14ac:dyDescent="0.25">
      <c r="A259" s="303" t="s">
        <v>476</v>
      </c>
      <c r="B259" s="303" t="s">
        <v>136</v>
      </c>
      <c r="C259" s="304" t="s">
        <v>443</v>
      </c>
      <c r="D259" s="304" t="s">
        <v>444</v>
      </c>
      <c r="E259" s="304">
        <v>40000</v>
      </c>
      <c r="F259" s="304">
        <v>18495</v>
      </c>
      <c r="G259" s="304">
        <v>34933</v>
      </c>
      <c r="H259" s="304">
        <v>20947</v>
      </c>
      <c r="I259" s="304">
        <f t="shared" ref="I259:I322" si="6">IF(D259="M",(AVERAGE(E259,MAX(F259:H259))^0.519)*3203.7913,IF(OR(D259="MB",D259="MK",D259="MBK",D259="MBN"),(AVERAGE(E259,MAX(F259:H259))^0.6289)*3234.9142,IF(AND(C259="Landzone og sommerhusområde",OR(D259="MBNKD",D259="MBNK/MBND")),(AVERAGE(E259,MAX(F259:H259))^0.736)*1583.1635,IF(AND(C259="Byzone",OR(D259="MBNKD",D259="MBNK/MBND")),(AVERAGE(E259,MAX(F259:H259))^0.736)*1812.7138,0))))</f>
        <v>3678977.3012853768</v>
      </c>
      <c r="J259" s="73"/>
      <c r="K259" s="48"/>
      <c r="L259" s="48"/>
      <c r="M259" s="14"/>
      <c r="N259" s="48"/>
    </row>
    <row r="260" spans="1:14" x14ac:dyDescent="0.25">
      <c r="A260" s="303" t="s">
        <v>476</v>
      </c>
      <c r="B260" s="303" t="s">
        <v>136</v>
      </c>
      <c r="C260" s="304" t="s">
        <v>443</v>
      </c>
      <c r="D260" s="304" t="s">
        <v>456</v>
      </c>
      <c r="E260" s="304">
        <v>400</v>
      </c>
      <c r="F260" s="304">
        <v>297</v>
      </c>
      <c r="G260" s="304">
        <v>381</v>
      </c>
      <c r="H260" s="304">
        <v>501</v>
      </c>
      <c r="I260" s="304">
        <f t="shared" si="6"/>
        <v>76371.58720229473</v>
      </c>
      <c r="J260" s="73"/>
      <c r="K260" s="48"/>
      <c r="L260" s="48"/>
      <c r="M260" s="14"/>
      <c r="N260" s="48"/>
    </row>
    <row r="261" spans="1:14" x14ac:dyDescent="0.25">
      <c r="A261" s="303" t="s">
        <v>476</v>
      </c>
      <c r="B261" s="303" t="s">
        <v>136</v>
      </c>
      <c r="C261" s="304" t="s">
        <v>446</v>
      </c>
      <c r="D261" s="304" t="s">
        <v>444</v>
      </c>
      <c r="E261" s="304">
        <v>5500</v>
      </c>
      <c r="F261" s="304">
        <v>986</v>
      </c>
      <c r="G261" s="304">
        <v>1451</v>
      </c>
      <c r="H261" s="304">
        <v>1969</v>
      </c>
      <c r="I261" s="304">
        <f t="shared" si="6"/>
        <v>771777.89293759887</v>
      </c>
      <c r="J261" s="73"/>
      <c r="K261" s="48"/>
      <c r="L261" s="48"/>
      <c r="M261" s="14"/>
      <c r="N261" s="48"/>
    </row>
    <row r="262" spans="1:14" x14ac:dyDescent="0.25">
      <c r="A262" s="303" t="s">
        <v>476</v>
      </c>
      <c r="B262" s="303" t="s">
        <v>136</v>
      </c>
      <c r="C262" s="304" t="s">
        <v>443</v>
      </c>
      <c r="D262" s="304" t="s">
        <v>456</v>
      </c>
      <c r="E262" s="304">
        <v>200</v>
      </c>
      <c r="F262" s="304">
        <v>0</v>
      </c>
      <c r="G262" s="304">
        <v>0</v>
      </c>
      <c r="H262" s="304">
        <v>0</v>
      </c>
      <c r="I262" s="304">
        <f t="shared" si="6"/>
        <v>34967.470543835996</v>
      </c>
      <c r="J262" s="73"/>
      <c r="K262" s="48"/>
      <c r="L262" s="48"/>
      <c r="M262" s="14"/>
      <c r="N262" s="48"/>
    </row>
    <row r="263" spans="1:14" x14ac:dyDescent="0.25">
      <c r="A263" s="303" t="s">
        <v>476</v>
      </c>
      <c r="B263" s="303" t="s">
        <v>136</v>
      </c>
      <c r="C263" s="304" t="s">
        <v>443</v>
      </c>
      <c r="D263" s="304" t="s">
        <v>466</v>
      </c>
      <c r="E263" s="304">
        <v>600</v>
      </c>
      <c r="F263" s="304">
        <v>0</v>
      </c>
      <c r="G263" s="304">
        <v>0</v>
      </c>
      <c r="H263" s="304">
        <v>0</v>
      </c>
      <c r="I263" s="304">
        <f t="shared" si="6"/>
        <v>116875.72648468727</v>
      </c>
      <c r="J263" s="73"/>
      <c r="K263" s="48"/>
      <c r="L263" s="48"/>
      <c r="M263" s="14"/>
      <c r="N263" s="48"/>
    </row>
    <row r="264" spans="1:14" x14ac:dyDescent="0.25">
      <c r="A264" s="303" t="s">
        <v>476</v>
      </c>
      <c r="B264" s="303" t="s">
        <v>136</v>
      </c>
      <c r="C264" s="304" t="s">
        <v>443</v>
      </c>
      <c r="D264" s="304" t="s">
        <v>456</v>
      </c>
      <c r="E264" s="304">
        <v>45</v>
      </c>
      <c r="F264" s="304">
        <v>0</v>
      </c>
      <c r="G264" s="304">
        <v>0</v>
      </c>
      <c r="H264" s="304">
        <v>0</v>
      </c>
      <c r="I264" s="304">
        <f t="shared" si="6"/>
        <v>16123.040489012412</v>
      </c>
      <c r="J264" s="73"/>
      <c r="K264" s="48"/>
      <c r="L264" s="48"/>
      <c r="M264" s="14"/>
      <c r="N264" s="48"/>
    </row>
    <row r="265" spans="1:14" x14ac:dyDescent="0.25">
      <c r="A265" s="303" t="s">
        <v>476</v>
      </c>
      <c r="B265" s="303" t="s">
        <v>136</v>
      </c>
      <c r="C265" s="304" t="s">
        <v>443</v>
      </c>
      <c r="D265" s="304" t="s">
        <v>456</v>
      </c>
      <c r="E265" s="304">
        <v>80</v>
      </c>
      <c r="F265" s="304">
        <v>0</v>
      </c>
      <c r="G265" s="304">
        <v>0</v>
      </c>
      <c r="H265" s="304">
        <v>0</v>
      </c>
      <c r="I265" s="304">
        <f t="shared" si="6"/>
        <v>21733.684246410485</v>
      </c>
      <c r="J265" s="73"/>
      <c r="K265" s="48"/>
      <c r="L265" s="48"/>
      <c r="M265" s="14"/>
      <c r="N265" s="48"/>
    </row>
    <row r="266" spans="1:14" x14ac:dyDescent="0.25">
      <c r="A266" s="303" t="s">
        <v>476</v>
      </c>
      <c r="B266" s="303" t="s">
        <v>136</v>
      </c>
      <c r="C266" s="304" t="s">
        <v>443</v>
      </c>
      <c r="D266" s="304" t="s">
        <v>456</v>
      </c>
      <c r="E266" s="304">
        <v>156</v>
      </c>
      <c r="F266" s="304">
        <v>0</v>
      </c>
      <c r="G266" s="304">
        <v>0</v>
      </c>
      <c r="H266" s="304">
        <v>0</v>
      </c>
      <c r="I266" s="304">
        <f t="shared" si="6"/>
        <v>30736.988632637287</v>
      </c>
      <c r="J266" s="73"/>
      <c r="K266" s="48"/>
      <c r="L266" s="48"/>
      <c r="M266" s="14"/>
      <c r="N266" s="48"/>
    </row>
    <row r="267" spans="1:14" x14ac:dyDescent="0.25">
      <c r="A267" s="303" t="s">
        <v>476</v>
      </c>
      <c r="B267" s="303" t="s">
        <v>136</v>
      </c>
      <c r="C267" s="304" t="s">
        <v>446</v>
      </c>
      <c r="D267" s="304" t="s">
        <v>444</v>
      </c>
      <c r="E267" s="304">
        <v>33000</v>
      </c>
      <c r="F267" s="304">
        <v>10965</v>
      </c>
      <c r="G267" s="304">
        <v>17495</v>
      </c>
      <c r="H267" s="304">
        <v>14210</v>
      </c>
      <c r="I267" s="304">
        <f t="shared" si="6"/>
        <v>3150372.9462857442</v>
      </c>
      <c r="J267" s="73"/>
      <c r="K267" s="48"/>
      <c r="L267" s="48"/>
      <c r="M267" s="14"/>
      <c r="N267" s="48"/>
    </row>
    <row r="268" spans="1:14" x14ac:dyDescent="0.25">
      <c r="A268" s="303" t="s">
        <v>476</v>
      </c>
      <c r="B268" s="303" t="s">
        <v>136</v>
      </c>
      <c r="C268" s="304" t="s">
        <v>443</v>
      </c>
      <c r="D268" s="304" t="s">
        <v>456</v>
      </c>
      <c r="E268" s="304">
        <v>60</v>
      </c>
      <c r="F268" s="304">
        <v>0</v>
      </c>
      <c r="G268" s="304">
        <v>0</v>
      </c>
      <c r="H268" s="304">
        <v>0</v>
      </c>
      <c r="I268" s="304">
        <f t="shared" si="6"/>
        <v>18719.323467483744</v>
      </c>
      <c r="J268" s="73"/>
      <c r="K268" s="48"/>
      <c r="L268" s="48"/>
      <c r="M268" s="14"/>
      <c r="N268" s="48"/>
    </row>
    <row r="269" spans="1:14" x14ac:dyDescent="0.25">
      <c r="A269" s="303" t="s">
        <v>477</v>
      </c>
      <c r="B269" s="303" t="s">
        <v>140</v>
      </c>
      <c r="C269" s="304" t="s">
        <v>446</v>
      </c>
      <c r="D269" s="304" t="s">
        <v>444</v>
      </c>
      <c r="E269" s="304">
        <v>225000</v>
      </c>
      <c r="F269" s="304">
        <v>65877</v>
      </c>
      <c r="G269" s="304">
        <v>69831</v>
      </c>
      <c r="H269" s="304">
        <v>51244</v>
      </c>
      <c r="I269" s="304">
        <f t="shared" si="6"/>
        <v>11544549.740248507</v>
      </c>
      <c r="J269" s="73"/>
      <c r="K269" s="48"/>
      <c r="L269" s="48"/>
      <c r="M269" s="14"/>
      <c r="N269" s="48"/>
    </row>
    <row r="270" spans="1:14" x14ac:dyDescent="0.25">
      <c r="A270" s="303" t="s">
        <v>478</v>
      </c>
      <c r="B270" s="303" t="s">
        <v>142</v>
      </c>
      <c r="C270" s="304" t="s">
        <v>443</v>
      </c>
      <c r="D270" s="304" t="s">
        <v>456</v>
      </c>
      <c r="E270" s="304">
        <v>340</v>
      </c>
      <c r="F270" s="304">
        <v>133</v>
      </c>
      <c r="G270" s="304">
        <v>156</v>
      </c>
      <c r="H270" s="304">
        <v>225</v>
      </c>
      <c r="I270" s="304">
        <f t="shared" si="6"/>
        <v>59943.596245468252</v>
      </c>
      <c r="J270" s="73"/>
      <c r="K270" s="48"/>
      <c r="L270" s="48"/>
      <c r="M270" s="14"/>
      <c r="N270" s="48"/>
    </row>
    <row r="271" spans="1:14" x14ac:dyDescent="0.25">
      <c r="A271" s="303" t="s">
        <v>478</v>
      </c>
      <c r="B271" s="303" t="s">
        <v>142</v>
      </c>
      <c r="C271" s="304" t="s">
        <v>443</v>
      </c>
      <c r="D271" s="304" t="s">
        <v>444</v>
      </c>
      <c r="E271" s="304">
        <v>4500</v>
      </c>
      <c r="F271" s="304">
        <v>3801</v>
      </c>
      <c r="G271" s="304">
        <v>3791</v>
      </c>
      <c r="H271" s="304">
        <v>4121</v>
      </c>
      <c r="I271" s="304">
        <f t="shared" si="6"/>
        <v>749097.10484794993</v>
      </c>
      <c r="J271" s="73"/>
      <c r="K271" s="48"/>
      <c r="L271" s="48"/>
      <c r="M271" s="14"/>
      <c r="N271" s="48"/>
    </row>
    <row r="272" spans="1:14" x14ac:dyDescent="0.25">
      <c r="A272" s="303" t="s">
        <v>478</v>
      </c>
      <c r="B272" s="303" t="s">
        <v>142</v>
      </c>
      <c r="C272" s="304" t="s">
        <v>443</v>
      </c>
      <c r="D272" s="304" t="s">
        <v>444</v>
      </c>
      <c r="E272" s="304">
        <v>2800</v>
      </c>
      <c r="F272" s="304">
        <v>3314</v>
      </c>
      <c r="G272" s="304">
        <v>3603</v>
      </c>
      <c r="H272" s="304">
        <v>4139</v>
      </c>
      <c r="I272" s="304">
        <f t="shared" si="6"/>
        <v>638501.9103723797</v>
      </c>
      <c r="J272" s="73"/>
      <c r="K272" s="48"/>
      <c r="L272" s="48"/>
      <c r="M272" s="14"/>
      <c r="N272" s="48"/>
    </row>
    <row r="273" spans="1:14" x14ac:dyDescent="0.25">
      <c r="A273" s="303" t="s">
        <v>478</v>
      </c>
      <c r="B273" s="303" t="s">
        <v>142</v>
      </c>
      <c r="C273" s="304" t="s">
        <v>446</v>
      </c>
      <c r="D273" s="304" t="s">
        <v>444</v>
      </c>
      <c r="E273" s="304">
        <v>35000</v>
      </c>
      <c r="F273" s="304">
        <v>33676</v>
      </c>
      <c r="G273" s="304">
        <v>33041</v>
      </c>
      <c r="H273" s="304">
        <v>31250</v>
      </c>
      <c r="I273" s="304">
        <f t="shared" si="6"/>
        <v>3950568.8795154574</v>
      </c>
      <c r="J273" s="73"/>
      <c r="K273" s="48"/>
      <c r="L273" s="48"/>
      <c r="M273" s="14"/>
      <c r="N273" s="48"/>
    </row>
    <row r="274" spans="1:14" x14ac:dyDescent="0.25">
      <c r="A274" s="303" t="s">
        <v>478</v>
      </c>
      <c r="B274" s="303" t="s">
        <v>142</v>
      </c>
      <c r="C274" s="304" t="s">
        <v>443</v>
      </c>
      <c r="D274" s="304" t="s">
        <v>444</v>
      </c>
      <c r="E274" s="304">
        <v>22000</v>
      </c>
      <c r="F274" s="304">
        <v>6062</v>
      </c>
      <c r="G274" s="304">
        <v>6509</v>
      </c>
      <c r="H274" s="304">
        <v>6060</v>
      </c>
      <c r="I274" s="304">
        <f t="shared" si="6"/>
        <v>1806485.3004155417</v>
      </c>
      <c r="J274" s="73"/>
      <c r="K274" s="48"/>
      <c r="L274" s="48"/>
      <c r="M274" s="14"/>
      <c r="N274" s="48"/>
    </row>
    <row r="275" spans="1:14" x14ac:dyDescent="0.25">
      <c r="A275" s="303" t="s">
        <v>478</v>
      </c>
      <c r="B275" s="303" t="s">
        <v>142</v>
      </c>
      <c r="C275" s="304" t="s">
        <v>443</v>
      </c>
      <c r="D275" s="304" t="s">
        <v>444</v>
      </c>
      <c r="E275" s="304">
        <v>3800</v>
      </c>
      <c r="F275" s="304">
        <v>1414</v>
      </c>
      <c r="G275" s="304">
        <v>1252</v>
      </c>
      <c r="H275" s="304">
        <v>1913</v>
      </c>
      <c r="I275" s="304">
        <f t="shared" si="6"/>
        <v>553375.28761353274</v>
      </c>
      <c r="J275" s="73"/>
      <c r="K275" s="48"/>
      <c r="L275" s="48"/>
      <c r="M275" s="14"/>
      <c r="N275" s="48"/>
    </row>
    <row r="276" spans="1:14" x14ac:dyDescent="0.25">
      <c r="A276" s="303" t="s">
        <v>143</v>
      </c>
      <c r="B276" s="303" t="s">
        <v>144</v>
      </c>
      <c r="C276" s="304" t="s">
        <v>443</v>
      </c>
      <c r="D276" s="304" t="s">
        <v>444</v>
      </c>
      <c r="E276" s="304">
        <v>8700</v>
      </c>
      <c r="F276" s="304">
        <v>4848</v>
      </c>
      <c r="G276" s="304">
        <v>6048</v>
      </c>
      <c r="H276" s="304">
        <v>3470</v>
      </c>
      <c r="I276" s="304">
        <f t="shared" si="6"/>
        <v>1112129.279348416</v>
      </c>
      <c r="J276" s="73"/>
      <c r="K276" s="48"/>
      <c r="L276" s="48"/>
      <c r="M276" s="14"/>
      <c r="N276" s="48"/>
    </row>
    <row r="277" spans="1:14" x14ac:dyDescent="0.25">
      <c r="A277" s="303" t="s">
        <v>143</v>
      </c>
      <c r="B277" s="303" t="s">
        <v>144</v>
      </c>
      <c r="C277" s="304" t="s">
        <v>446</v>
      </c>
      <c r="D277" s="304" t="s">
        <v>444</v>
      </c>
      <c r="E277" s="304">
        <v>125000</v>
      </c>
      <c r="F277" s="304">
        <v>29974</v>
      </c>
      <c r="G277" s="304">
        <v>32653</v>
      </c>
      <c r="H277" s="304">
        <v>18510</v>
      </c>
      <c r="I277" s="304">
        <f t="shared" si="6"/>
        <v>7282491.9359536441</v>
      </c>
      <c r="J277" s="73"/>
      <c r="K277" s="48"/>
      <c r="L277" s="48"/>
      <c r="M277" s="14"/>
      <c r="N277" s="48"/>
    </row>
    <row r="278" spans="1:14" x14ac:dyDescent="0.25">
      <c r="A278" s="303" t="s">
        <v>143</v>
      </c>
      <c r="B278" s="303" t="s">
        <v>144</v>
      </c>
      <c r="C278" s="304" t="s">
        <v>443</v>
      </c>
      <c r="D278" s="304" t="s">
        <v>444</v>
      </c>
      <c r="E278" s="304">
        <v>9000</v>
      </c>
      <c r="F278" s="304">
        <v>461</v>
      </c>
      <c r="G278" s="304">
        <v>524</v>
      </c>
      <c r="H278" s="304">
        <v>503</v>
      </c>
      <c r="I278" s="304">
        <f t="shared" si="6"/>
        <v>806081.14077299961</v>
      </c>
      <c r="J278" s="73"/>
      <c r="K278" s="48"/>
      <c r="L278" s="48"/>
      <c r="M278" s="14"/>
      <c r="N278" s="48"/>
    </row>
    <row r="279" spans="1:14" x14ac:dyDescent="0.25">
      <c r="A279" s="303" t="s">
        <v>479</v>
      </c>
      <c r="B279" s="303" t="s">
        <v>146</v>
      </c>
      <c r="C279" s="304" t="s">
        <v>446</v>
      </c>
      <c r="D279" s="304" t="s">
        <v>444</v>
      </c>
      <c r="E279" s="304">
        <v>148750</v>
      </c>
      <c r="F279" s="304">
        <v>133824</v>
      </c>
      <c r="G279" s="304">
        <v>177944</v>
      </c>
      <c r="H279" s="304">
        <v>144667</v>
      </c>
      <c r="I279" s="304">
        <f t="shared" si="6"/>
        <v>12450278.227482773</v>
      </c>
      <c r="J279" s="73"/>
      <c r="K279" s="48"/>
      <c r="L279" s="48"/>
      <c r="M279" s="14"/>
      <c r="N279" s="48"/>
    </row>
    <row r="280" spans="1:14" x14ac:dyDescent="0.25">
      <c r="A280" s="303" t="s">
        <v>147</v>
      </c>
      <c r="B280" s="303" t="s">
        <v>148</v>
      </c>
      <c r="C280" s="304" t="s">
        <v>446</v>
      </c>
      <c r="D280" s="304" t="s">
        <v>444</v>
      </c>
      <c r="E280" s="304">
        <v>70000</v>
      </c>
      <c r="F280" s="304">
        <v>38242</v>
      </c>
      <c r="G280" s="304">
        <v>49218</v>
      </c>
      <c r="H280" s="304">
        <v>49386</v>
      </c>
      <c r="I280" s="304">
        <f t="shared" si="6"/>
        <v>5934837.985578442</v>
      </c>
      <c r="J280" s="73"/>
      <c r="K280" s="48"/>
      <c r="L280" s="48"/>
      <c r="M280" s="14"/>
      <c r="N280" s="48"/>
    </row>
    <row r="281" spans="1:14" x14ac:dyDescent="0.25">
      <c r="A281" s="303" t="s">
        <v>480</v>
      </c>
      <c r="B281" s="303" t="s">
        <v>150</v>
      </c>
      <c r="C281" s="304" t="s">
        <v>443</v>
      </c>
      <c r="D281" s="304" t="s">
        <v>448</v>
      </c>
      <c r="E281" s="304">
        <v>5000</v>
      </c>
      <c r="F281" s="304">
        <v>1934</v>
      </c>
      <c r="G281" s="304">
        <v>2249</v>
      </c>
      <c r="H281" s="304">
        <v>2174</v>
      </c>
      <c r="I281" s="304">
        <f t="shared" si="6"/>
        <v>659374.84246500302</v>
      </c>
      <c r="J281" s="73"/>
      <c r="K281" s="48"/>
      <c r="L281" s="48"/>
      <c r="M281" s="14"/>
      <c r="N281" s="48"/>
    </row>
    <row r="282" spans="1:14" x14ac:dyDescent="0.25">
      <c r="A282" s="303" t="s">
        <v>480</v>
      </c>
      <c r="B282" s="303" t="s">
        <v>150</v>
      </c>
      <c r="C282" s="304" t="s">
        <v>446</v>
      </c>
      <c r="D282" s="304" t="s">
        <v>444</v>
      </c>
      <c r="E282" s="304">
        <v>28000</v>
      </c>
      <c r="F282" s="304">
        <v>12907</v>
      </c>
      <c r="G282" s="304">
        <v>15166</v>
      </c>
      <c r="H282" s="304">
        <v>4586</v>
      </c>
      <c r="I282" s="304">
        <f t="shared" si="6"/>
        <v>2806955.5393346464</v>
      </c>
      <c r="J282" s="73"/>
      <c r="K282" s="48"/>
      <c r="L282" s="48"/>
      <c r="M282" s="14"/>
      <c r="N282" s="48"/>
    </row>
    <row r="283" spans="1:14" x14ac:dyDescent="0.25">
      <c r="A283" s="303" t="s">
        <v>480</v>
      </c>
      <c r="B283" s="303" t="s">
        <v>150</v>
      </c>
      <c r="C283" s="304" t="s">
        <v>446</v>
      </c>
      <c r="D283" s="304" t="s">
        <v>444</v>
      </c>
      <c r="E283" s="304">
        <v>60000</v>
      </c>
      <c r="F283" s="304">
        <v>36289</v>
      </c>
      <c r="G283" s="304">
        <v>48719</v>
      </c>
      <c r="H283" s="304">
        <v>50317</v>
      </c>
      <c r="I283" s="304">
        <f t="shared" si="6"/>
        <v>5599587.0723218126</v>
      </c>
      <c r="J283" s="73"/>
      <c r="K283" s="48"/>
      <c r="L283" s="48"/>
      <c r="M283" s="14"/>
      <c r="N283" s="48"/>
    </row>
    <row r="284" spans="1:14" x14ac:dyDescent="0.25">
      <c r="A284" s="303" t="s">
        <v>481</v>
      </c>
      <c r="B284" s="303" t="s">
        <v>152</v>
      </c>
      <c r="C284" s="304" t="s">
        <v>443</v>
      </c>
      <c r="D284" s="304" t="s">
        <v>456</v>
      </c>
      <c r="E284" s="304">
        <v>165</v>
      </c>
      <c r="F284" s="304">
        <v>3614</v>
      </c>
      <c r="G284" s="304">
        <v>8130</v>
      </c>
      <c r="H284" s="304">
        <v>182</v>
      </c>
      <c r="I284" s="304">
        <f t="shared" si="6"/>
        <v>241710.41084705648</v>
      </c>
      <c r="J284" s="73"/>
      <c r="K284" s="48"/>
      <c r="L284" s="48"/>
      <c r="M284" s="14"/>
      <c r="N284" s="48"/>
    </row>
    <row r="285" spans="1:14" x14ac:dyDescent="0.25">
      <c r="A285" s="303" t="s">
        <v>481</v>
      </c>
      <c r="B285" s="303" t="s">
        <v>152</v>
      </c>
      <c r="C285" s="304" t="s">
        <v>443</v>
      </c>
      <c r="D285" s="304" t="s">
        <v>444</v>
      </c>
      <c r="E285" s="304">
        <v>7500</v>
      </c>
      <c r="F285" s="304">
        <v>2611</v>
      </c>
      <c r="G285" s="304">
        <v>3553</v>
      </c>
      <c r="H285" s="304">
        <v>3919</v>
      </c>
      <c r="I285" s="304">
        <f t="shared" si="6"/>
        <v>921259.44521580695</v>
      </c>
      <c r="J285" s="73"/>
      <c r="K285" s="48"/>
      <c r="L285" s="48"/>
      <c r="M285" s="14"/>
      <c r="N285" s="48"/>
    </row>
    <row r="286" spans="1:14" x14ac:dyDescent="0.25">
      <c r="A286" s="303" t="s">
        <v>481</v>
      </c>
      <c r="B286" s="303" t="s">
        <v>152</v>
      </c>
      <c r="C286" s="304" t="s">
        <v>443</v>
      </c>
      <c r="D286" s="304" t="s">
        <v>456</v>
      </c>
      <c r="E286" s="304">
        <v>40</v>
      </c>
      <c r="F286" s="304">
        <v>876</v>
      </c>
      <c r="G286" s="304">
        <v>1971</v>
      </c>
      <c r="H286" s="304">
        <v>176</v>
      </c>
      <c r="I286" s="304">
        <f t="shared" si="6"/>
        <v>115851.19412530886</v>
      </c>
      <c r="J286" s="73"/>
      <c r="K286" s="48"/>
      <c r="L286" s="48"/>
      <c r="M286" s="14"/>
      <c r="N286" s="48"/>
    </row>
    <row r="287" spans="1:14" x14ac:dyDescent="0.25">
      <c r="A287" s="303" t="s">
        <v>481</v>
      </c>
      <c r="B287" s="303" t="s">
        <v>152</v>
      </c>
      <c r="C287" s="304" t="s">
        <v>443</v>
      </c>
      <c r="D287" s="304" t="s">
        <v>445</v>
      </c>
      <c r="E287" s="304">
        <v>100</v>
      </c>
      <c r="F287" s="304">
        <v>2190</v>
      </c>
      <c r="G287" s="304">
        <v>29</v>
      </c>
      <c r="H287" s="304">
        <v>33</v>
      </c>
      <c r="I287" s="304">
        <f t="shared" si="6"/>
        <v>271359.81649327977</v>
      </c>
      <c r="J287" s="73"/>
      <c r="K287" s="48"/>
      <c r="L287" s="48"/>
      <c r="M287" s="14"/>
      <c r="N287" s="48"/>
    </row>
    <row r="288" spans="1:14" x14ac:dyDescent="0.25">
      <c r="A288" s="303" t="s">
        <v>481</v>
      </c>
      <c r="B288" s="303" t="s">
        <v>152</v>
      </c>
      <c r="C288" s="304" t="s">
        <v>443</v>
      </c>
      <c r="D288" s="304" t="s">
        <v>444</v>
      </c>
      <c r="E288" s="304">
        <v>750</v>
      </c>
      <c r="F288" s="304">
        <v>217</v>
      </c>
      <c r="G288" s="304">
        <v>236</v>
      </c>
      <c r="H288" s="304">
        <v>338</v>
      </c>
      <c r="I288" s="304">
        <f t="shared" si="6"/>
        <v>163277.58145770227</v>
      </c>
      <c r="J288" s="73"/>
      <c r="K288" s="48"/>
      <c r="L288" s="48"/>
      <c r="M288" s="14"/>
      <c r="N288" s="48"/>
    </row>
    <row r="289" spans="1:14" x14ac:dyDescent="0.25">
      <c r="A289" s="303" t="s">
        <v>481</v>
      </c>
      <c r="B289" s="303" t="s">
        <v>152</v>
      </c>
      <c r="C289" s="304" t="s">
        <v>443</v>
      </c>
      <c r="D289" s="304" t="s">
        <v>447</v>
      </c>
      <c r="E289" s="304">
        <v>125</v>
      </c>
      <c r="F289" s="304">
        <v>2738</v>
      </c>
      <c r="G289" s="304">
        <v>6159</v>
      </c>
      <c r="H289" s="304">
        <v>16</v>
      </c>
      <c r="I289" s="304">
        <f t="shared" si="6"/>
        <v>511983.22700299521</v>
      </c>
      <c r="J289" s="73"/>
      <c r="K289" s="48"/>
      <c r="L289" s="48"/>
      <c r="M289" s="14"/>
      <c r="N289" s="48"/>
    </row>
    <row r="290" spans="1:14" x14ac:dyDescent="0.25">
      <c r="A290" s="303" t="s">
        <v>481</v>
      </c>
      <c r="B290" s="303" t="s">
        <v>152</v>
      </c>
      <c r="C290" s="304" t="s">
        <v>446</v>
      </c>
      <c r="D290" s="304" t="s">
        <v>444</v>
      </c>
      <c r="E290" s="304">
        <v>11500</v>
      </c>
      <c r="F290" s="304">
        <v>4397</v>
      </c>
      <c r="G290" s="304">
        <v>5528</v>
      </c>
      <c r="H290" s="304">
        <v>6360</v>
      </c>
      <c r="I290" s="304">
        <f t="shared" si="6"/>
        <v>1466074.0772871904</v>
      </c>
      <c r="J290" s="73"/>
      <c r="K290" s="48"/>
      <c r="L290" s="48"/>
      <c r="M290" s="14"/>
      <c r="N290" s="48"/>
    </row>
    <row r="291" spans="1:14" x14ac:dyDescent="0.25">
      <c r="A291" s="303" t="s">
        <v>481</v>
      </c>
      <c r="B291" s="303" t="s">
        <v>152</v>
      </c>
      <c r="C291" s="304" t="s">
        <v>443</v>
      </c>
      <c r="D291" s="304" t="s">
        <v>456</v>
      </c>
      <c r="E291" s="304">
        <v>155</v>
      </c>
      <c r="F291" s="304">
        <v>3395</v>
      </c>
      <c r="G291" s="304">
        <v>7638</v>
      </c>
      <c r="H291" s="304">
        <v>682</v>
      </c>
      <c r="I291" s="304">
        <f t="shared" si="6"/>
        <v>234004.59040260583</v>
      </c>
      <c r="J291" s="73"/>
      <c r="K291" s="48"/>
      <c r="L291" s="48"/>
      <c r="M291" s="14"/>
      <c r="N291" s="48"/>
    </row>
    <row r="292" spans="1:14" x14ac:dyDescent="0.25">
      <c r="A292" s="303" t="s">
        <v>481</v>
      </c>
      <c r="B292" s="303" t="s">
        <v>152</v>
      </c>
      <c r="C292" s="304" t="s">
        <v>446</v>
      </c>
      <c r="D292" s="304" t="s">
        <v>444</v>
      </c>
      <c r="E292" s="304">
        <v>95000</v>
      </c>
      <c r="F292" s="304">
        <v>39235</v>
      </c>
      <c r="G292" s="304">
        <v>48183</v>
      </c>
      <c r="H292" s="304">
        <v>53984</v>
      </c>
      <c r="I292" s="304">
        <f t="shared" si="6"/>
        <v>6985571.337226986</v>
      </c>
      <c r="J292" s="73"/>
      <c r="K292" s="48"/>
      <c r="L292" s="48"/>
      <c r="M292" s="14"/>
      <c r="N292" s="48"/>
    </row>
    <row r="293" spans="1:14" x14ac:dyDescent="0.25">
      <c r="A293" s="303" t="s">
        <v>481</v>
      </c>
      <c r="B293" s="303" t="s">
        <v>152</v>
      </c>
      <c r="C293" s="304" t="s">
        <v>443</v>
      </c>
      <c r="D293" s="304" t="s">
        <v>456</v>
      </c>
      <c r="E293" s="304">
        <v>40</v>
      </c>
      <c r="F293" s="304">
        <v>876</v>
      </c>
      <c r="G293" s="304">
        <v>1971</v>
      </c>
      <c r="H293" s="304">
        <v>176</v>
      </c>
      <c r="I293" s="304">
        <f t="shared" si="6"/>
        <v>115851.19412530886</v>
      </c>
      <c r="J293" s="73"/>
      <c r="K293" s="48"/>
      <c r="L293" s="48"/>
      <c r="M293" s="14"/>
      <c r="N293" s="48"/>
    </row>
    <row r="294" spans="1:14" x14ac:dyDescent="0.25">
      <c r="A294" s="303" t="s">
        <v>481</v>
      </c>
      <c r="B294" s="303" t="s">
        <v>152</v>
      </c>
      <c r="C294" s="304" t="s">
        <v>443</v>
      </c>
      <c r="D294" s="304" t="s">
        <v>444</v>
      </c>
      <c r="E294" s="304">
        <v>700</v>
      </c>
      <c r="F294" s="304">
        <v>335</v>
      </c>
      <c r="G294" s="304">
        <v>427</v>
      </c>
      <c r="H294" s="304">
        <v>363</v>
      </c>
      <c r="I294" s="304">
        <f t="shared" si="6"/>
        <v>167565.14782887007</v>
      </c>
      <c r="J294" s="73"/>
      <c r="K294" s="48"/>
      <c r="L294" s="48"/>
      <c r="M294" s="14"/>
      <c r="N294" s="48"/>
    </row>
    <row r="295" spans="1:14" x14ac:dyDescent="0.25">
      <c r="A295" s="303" t="s">
        <v>481</v>
      </c>
      <c r="B295" s="303" t="s">
        <v>152</v>
      </c>
      <c r="C295" s="304" t="s">
        <v>446</v>
      </c>
      <c r="D295" s="304" t="s">
        <v>456</v>
      </c>
      <c r="E295" s="304">
        <v>165</v>
      </c>
      <c r="F295" s="304">
        <v>1807</v>
      </c>
      <c r="G295" s="304">
        <v>4065</v>
      </c>
      <c r="H295" s="304">
        <v>363</v>
      </c>
      <c r="I295" s="304">
        <f t="shared" si="6"/>
        <v>170412.04989386068</v>
      </c>
      <c r="J295" s="73"/>
      <c r="K295" s="48"/>
      <c r="L295" s="48"/>
      <c r="M295" s="14"/>
      <c r="N295" s="48"/>
    </row>
    <row r="296" spans="1:14" x14ac:dyDescent="0.25">
      <c r="A296" s="303" t="s">
        <v>482</v>
      </c>
      <c r="B296" s="303" t="s">
        <v>154</v>
      </c>
      <c r="C296" s="304" t="s">
        <v>446</v>
      </c>
      <c r="D296" s="304" t="s">
        <v>456</v>
      </c>
      <c r="E296" s="304">
        <v>99</v>
      </c>
      <c r="F296" s="304">
        <v>99</v>
      </c>
      <c r="G296" s="304">
        <v>0</v>
      </c>
      <c r="H296" s="304">
        <v>0</v>
      </c>
      <c r="I296" s="304">
        <f t="shared" si="6"/>
        <v>34785.550741367966</v>
      </c>
      <c r="J296" s="73"/>
      <c r="K296" s="48"/>
      <c r="L296" s="48"/>
      <c r="M296" s="14"/>
      <c r="N296" s="48"/>
    </row>
    <row r="297" spans="1:14" x14ac:dyDescent="0.25">
      <c r="A297" s="303" t="s">
        <v>482</v>
      </c>
      <c r="B297" s="303" t="s">
        <v>154</v>
      </c>
      <c r="C297" s="304" t="s">
        <v>446</v>
      </c>
      <c r="D297" s="304" t="s">
        <v>444</v>
      </c>
      <c r="E297" s="304">
        <v>38000</v>
      </c>
      <c r="F297" s="304">
        <v>14819</v>
      </c>
      <c r="G297" s="304">
        <v>20584</v>
      </c>
      <c r="H297" s="304">
        <v>20872</v>
      </c>
      <c r="I297" s="304">
        <f t="shared" si="6"/>
        <v>3527150.8459368888</v>
      </c>
      <c r="J297" s="73"/>
      <c r="K297" s="48"/>
      <c r="L297" s="48"/>
      <c r="M297" s="14"/>
      <c r="N297" s="48"/>
    </row>
    <row r="298" spans="1:14" x14ac:dyDescent="0.25">
      <c r="A298" s="303" t="s">
        <v>483</v>
      </c>
      <c r="B298" s="303" t="s">
        <v>156</v>
      </c>
      <c r="C298" s="304" t="s">
        <v>443</v>
      </c>
      <c r="D298" s="304" t="s">
        <v>444</v>
      </c>
      <c r="E298" s="304">
        <v>4000</v>
      </c>
      <c r="F298" s="304">
        <v>2518</v>
      </c>
      <c r="G298" s="304">
        <v>3618</v>
      </c>
      <c r="H298" s="304">
        <v>1998</v>
      </c>
      <c r="I298" s="304">
        <f t="shared" si="6"/>
        <v>683915.81173989631</v>
      </c>
      <c r="J298" s="73"/>
      <c r="K298" s="48"/>
      <c r="L298" s="48"/>
      <c r="M298" s="14"/>
      <c r="N298" s="48"/>
    </row>
    <row r="299" spans="1:14" x14ac:dyDescent="0.25">
      <c r="A299" s="303" t="s">
        <v>483</v>
      </c>
      <c r="B299" s="303" t="s">
        <v>156</v>
      </c>
      <c r="C299" s="304" t="s">
        <v>446</v>
      </c>
      <c r="D299" s="304" t="s">
        <v>444</v>
      </c>
      <c r="E299" s="304">
        <v>8900</v>
      </c>
      <c r="F299" s="304">
        <v>7778</v>
      </c>
      <c r="G299" s="304">
        <v>7052</v>
      </c>
      <c r="H299" s="304">
        <v>4910</v>
      </c>
      <c r="I299" s="304">
        <f t="shared" si="6"/>
        <v>1394020.3887629414</v>
      </c>
      <c r="J299" s="73"/>
      <c r="K299" s="48"/>
      <c r="L299" s="48"/>
      <c r="M299" s="14"/>
      <c r="N299" s="48"/>
    </row>
    <row r="300" spans="1:14" x14ac:dyDescent="0.25">
      <c r="A300" s="303" t="s">
        <v>483</v>
      </c>
      <c r="B300" s="303" t="s">
        <v>156</v>
      </c>
      <c r="C300" s="304" t="s">
        <v>443</v>
      </c>
      <c r="D300" s="304" t="s">
        <v>444</v>
      </c>
      <c r="E300" s="304">
        <v>1200</v>
      </c>
      <c r="F300" s="304">
        <v>478</v>
      </c>
      <c r="G300" s="304">
        <v>441</v>
      </c>
      <c r="H300" s="304">
        <v>415</v>
      </c>
      <c r="I300" s="304">
        <f t="shared" si="6"/>
        <v>224602.49265224909</v>
      </c>
      <c r="J300" s="73"/>
      <c r="K300" s="48"/>
      <c r="L300" s="48"/>
      <c r="M300" s="14"/>
      <c r="N300" s="48"/>
    </row>
    <row r="301" spans="1:14" x14ac:dyDescent="0.25">
      <c r="A301" s="303" t="s">
        <v>483</v>
      </c>
      <c r="B301" s="303" t="s">
        <v>156</v>
      </c>
      <c r="C301" s="304" t="s">
        <v>443</v>
      </c>
      <c r="D301" s="304" t="s">
        <v>444</v>
      </c>
      <c r="E301" s="304">
        <v>26200</v>
      </c>
      <c r="F301" s="304">
        <v>11683</v>
      </c>
      <c r="G301" s="304">
        <v>16421</v>
      </c>
      <c r="H301" s="304">
        <v>12026</v>
      </c>
      <c r="I301" s="304">
        <f t="shared" si="6"/>
        <v>2428682.1857031691</v>
      </c>
      <c r="J301" s="73"/>
      <c r="K301" s="48"/>
      <c r="L301" s="48"/>
      <c r="M301" s="14"/>
      <c r="N301" s="48"/>
    </row>
    <row r="302" spans="1:14" x14ac:dyDescent="0.25">
      <c r="A302" s="303" t="s">
        <v>483</v>
      </c>
      <c r="B302" s="303" t="s">
        <v>156</v>
      </c>
      <c r="C302" s="304" t="s">
        <v>443</v>
      </c>
      <c r="D302" s="304" t="s">
        <v>444</v>
      </c>
      <c r="E302" s="304">
        <v>2000</v>
      </c>
      <c r="F302" s="304">
        <v>1064</v>
      </c>
      <c r="G302" s="304">
        <v>1158</v>
      </c>
      <c r="H302" s="304">
        <v>806</v>
      </c>
      <c r="I302" s="304">
        <f t="shared" si="6"/>
        <v>357713.24111673585</v>
      </c>
      <c r="J302" s="73"/>
      <c r="K302" s="48"/>
      <c r="L302" s="48"/>
      <c r="M302" s="14"/>
      <c r="N302" s="48"/>
    </row>
    <row r="303" spans="1:14" x14ac:dyDescent="0.25">
      <c r="A303" s="303" t="s">
        <v>483</v>
      </c>
      <c r="B303" s="303" t="s">
        <v>156</v>
      </c>
      <c r="C303" s="304" t="s">
        <v>443</v>
      </c>
      <c r="D303" s="304" t="s">
        <v>444</v>
      </c>
      <c r="E303" s="304">
        <v>4500</v>
      </c>
      <c r="F303" s="304">
        <v>3908</v>
      </c>
      <c r="G303" s="304">
        <v>4690</v>
      </c>
      <c r="H303" s="304">
        <v>2935</v>
      </c>
      <c r="I303" s="304">
        <f t="shared" si="6"/>
        <v>785177.61243797524</v>
      </c>
      <c r="J303" s="73"/>
      <c r="K303" s="48"/>
      <c r="L303" s="48"/>
      <c r="M303" s="14"/>
      <c r="N303" s="48"/>
    </row>
    <row r="304" spans="1:14" x14ac:dyDescent="0.25">
      <c r="A304" s="303" t="s">
        <v>157</v>
      </c>
      <c r="B304" s="303" t="s">
        <v>158</v>
      </c>
      <c r="C304" s="304" t="s">
        <v>446</v>
      </c>
      <c r="D304" s="304" t="s">
        <v>444</v>
      </c>
      <c r="E304" s="304">
        <v>9700</v>
      </c>
      <c r="F304" s="304">
        <v>9116</v>
      </c>
      <c r="G304" s="304">
        <v>8716</v>
      </c>
      <c r="H304" s="304">
        <v>6037</v>
      </c>
      <c r="I304" s="304">
        <f t="shared" si="6"/>
        <v>1523432.65396279</v>
      </c>
      <c r="J304" s="73"/>
      <c r="K304" s="48"/>
      <c r="L304" s="48"/>
      <c r="M304" s="14"/>
      <c r="N304" s="48"/>
    </row>
    <row r="305" spans="1:14" x14ac:dyDescent="0.25">
      <c r="A305" s="303" t="s">
        <v>157</v>
      </c>
      <c r="B305" s="303" t="s">
        <v>158</v>
      </c>
      <c r="C305" s="304" t="s">
        <v>443</v>
      </c>
      <c r="D305" s="304" t="s">
        <v>448</v>
      </c>
      <c r="E305" s="304">
        <v>2000</v>
      </c>
      <c r="F305" s="304">
        <v>718</v>
      </c>
      <c r="G305" s="304">
        <v>899</v>
      </c>
      <c r="H305" s="304">
        <v>788</v>
      </c>
      <c r="I305" s="304">
        <f t="shared" si="6"/>
        <v>335878.63402795594</v>
      </c>
      <c r="J305" s="73"/>
      <c r="K305" s="48"/>
      <c r="L305" s="48"/>
      <c r="M305" s="14"/>
      <c r="N305" s="48"/>
    </row>
    <row r="306" spans="1:14" x14ac:dyDescent="0.25">
      <c r="A306" s="303" t="s">
        <v>157</v>
      </c>
      <c r="B306" s="303" t="s">
        <v>158</v>
      </c>
      <c r="C306" s="304" t="s">
        <v>446</v>
      </c>
      <c r="D306" s="304" t="s">
        <v>456</v>
      </c>
      <c r="E306" s="304">
        <v>536000</v>
      </c>
      <c r="F306" s="304">
        <v>22008</v>
      </c>
      <c r="G306" s="304">
        <v>22559</v>
      </c>
      <c r="H306" s="304">
        <v>23218</v>
      </c>
      <c r="I306" s="304">
        <f t="shared" si="6"/>
        <v>2149929.7166654863</v>
      </c>
      <c r="J306" s="73"/>
      <c r="K306" s="48"/>
      <c r="L306" s="48"/>
      <c r="M306" s="14"/>
      <c r="N306" s="48"/>
    </row>
    <row r="307" spans="1:14" x14ac:dyDescent="0.25">
      <c r="A307" s="303" t="s">
        <v>157</v>
      </c>
      <c r="B307" s="303" t="s">
        <v>158</v>
      </c>
      <c r="C307" s="304" t="s">
        <v>443</v>
      </c>
      <c r="D307" s="304" t="s">
        <v>448</v>
      </c>
      <c r="E307" s="304">
        <v>6100</v>
      </c>
      <c r="F307" s="304">
        <v>3222</v>
      </c>
      <c r="G307" s="304">
        <v>3757</v>
      </c>
      <c r="H307" s="304">
        <v>2756</v>
      </c>
      <c r="I307" s="304">
        <f t="shared" si="6"/>
        <v>826730.2574285164</v>
      </c>
      <c r="J307" s="73"/>
      <c r="K307" s="48"/>
      <c r="L307" s="48"/>
      <c r="M307" s="14"/>
      <c r="N307" s="48"/>
    </row>
    <row r="308" spans="1:14" x14ac:dyDescent="0.25">
      <c r="A308" s="303" t="s">
        <v>157</v>
      </c>
      <c r="B308" s="303" t="s">
        <v>158</v>
      </c>
      <c r="C308" s="304" t="s">
        <v>443</v>
      </c>
      <c r="D308" s="304" t="s">
        <v>456</v>
      </c>
      <c r="E308" s="304">
        <v>202000</v>
      </c>
      <c r="F308" s="304">
        <v>16348</v>
      </c>
      <c r="G308" s="304">
        <v>19136</v>
      </c>
      <c r="H308" s="304">
        <v>16347</v>
      </c>
      <c r="I308" s="304">
        <f t="shared" si="6"/>
        <v>1328335.8820785028</v>
      </c>
      <c r="J308" s="73"/>
      <c r="K308" s="48"/>
      <c r="L308" s="48"/>
      <c r="M308" s="14"/>
      <c r="N308" s="48"/>
    </row>
    <row r="309" spans="1:14" x14ac:dyDescent="0.25">
      <c r="A309" s="303" t="s">
        <v>157</v>
      </c>
      <c r="B309" s="303" t="s">
        <v>158</v>
      </c>
      <c r="C309" s="304" t="s">
        <v>443</v>
      </c>
      <c r="D309" s="304" t="s">
        <v>444</v>
      </c>
      <c r="E309" s="304">
        <v>160000</v>
      </c>
      <c r="F309" s="304">
        <v>80332</v>
      </c>
      <c r="G309" s="304">
        <v>89665</v>
      </c>
      <c r="H309" s="304">
        <v>86341</v>
      </c>
      <c r="I309" s="304">
        <f t="shared" si="6"/>
        <v>8921192.9469671436</v>
      </c>
      <c r="J309" s="73"/>
      <c r="K309" s="48"/>
      <c r="L309" s="48"/>
      <c r="M309" s="14"/>
      <c r="N309" s="48"/>
    </row>
    <row r="310" spans="1:14" x14ac:dyDescent="0.25">
      <c r="A310" s="303" t="s">
        <v>159</v>
      </c>
      <c r="B310" s="303" t="s">
        <v>160</v>
      </c>
      <c r="C310" s="304" t="s">
        <v>446</v>
      </c>
      <c r="D310" s="304" t="s">
        <v>444</v>
      </c>
      <c r="E310" s="304">
        <v>8500</v>
      </c>
      <c r="F310" s="304">
        <v>9423</v>
      </c>
      <c r="G310" s="304">
        <v>8727</v>
      </c>
      <c r="H310" s="304">
        <v>4705</v>
      </c>
      <c r="I310" s="304">
        <f t="shared" si="6"/>
        <v>1469878.5183463509</v>
      </c>
      <c r="J310" s="73"/>
      <c r="K310" s="48"/>
      <c r="L310" s="48"/>
      <c r="M310" s="14"/>
      <c r="N310" s="48"/>
    </row>
    <row r="311" spans="1:14" x14ac:dyDescent="0.25">
      <c r="A311" s="303" t="s">
        <v>159</v>
      </c>
      <c r="B311" s="303" t="s">
        <v>160</v>
      </c>
      <c r="C311" s="304" t="s">
        <v>443</v>
      </c>
      <c r="D311" s="304" t="s">
        <v>445</v>
      </c>
      <c r="E311" s="304">
        <v>285</v>
      </c>
      <c r="F311" s="304">
        <v>55</v>
      </c>
      <c r="G311" s="304">
        <v>0</v>
      </c>
      <c r="H311" s="304">
        <v>162</v>
      </c>
      <c r="I311" s="304">
        <f t="shared" si="6"/>
        <v>97123.293994983993</v>
      </c>
      <c r="J311" s="73"/>
      <c r="K311" s="48"/>
      <c r="L311" s="48"/>
      <c r="M311" s="14"/>
      <c r="N311" s="48"/>
    </row>
    <row r="312" spans="1:14" x14ac:dyDescent="0.25">
      <c r="A312" s="303" t="s">
        <v>159</v>
      </c>
      <c r="B312" s="303" t="s">
        <v>160</v>
      </c>
      <c r="C312" s="304" t="s">
        <v>446</v>
      </c>
      <c r="D312" s="304" t="s">
        <v>444</v>
      </c>
      <c r="E312" s="304">
        <v>1730</v>
      </c>
      <c r="F312" s="304">
        <v>1881</v>
      </c>
      <c r="G312" s="304">
        <v>0</v>
      </c>
      <c r="H312" s="304">
        <v>2471</v>
      </c>
      <c r="I312" s="304">
        <f t="shared" si="6"/>
        <v>505310.98301773431</v>
      </c>
      <c r="J312" s="73"/>
      <c r="K312" s="48"/>
      <c r="L312" s="48"/>
      <c r="M312" s="14"/>
      <c r="N312" s="48"/>
    </row>
    <row r="313" spans="1:14" x14ac:dyDescent="0.25">
      <c r="A313" s="303" t="s">
        <v>159</v>
      </c>
      <c r="B313" s="303" t="s">
        <v>160</v>
      </c>
      <c r="C313" s="304" t="s">
        <v>443</v>
      </c>
      <c r="D313" s="304" t="s">
        <v>456</v>
      </c>
      <c r="E313" s="304">
        <v>192</v>
      </c>
      <c r="F313" s="304">
        <v>76</v>
      </c>
      <c r="G313" s="304">
        <v>0</v>
      </c>
      <c r="H313" s="304">
        <v>196</v>
      </c>
      <c r="I313" s="304">
        <f t="shared" si="6"/>
        <v>49321.163769139057</v>
      </c>
      <c r="J313" s="73"/>
      <c r="K313" s="48"/>
      <c r="L313" s="48"/>
      <c r="M313" s="14"/>
      <c r="N313" s="48"/>
    </row>
    <row r="314" spans="1:14" x14ac:dyDescent="0.25">
      <c r="A314" s="303" t="s">
        <v>159</v>
      </c>
      <c r="B314" s="303" t="s">
        <v>160</v>
      </c>
      <c r="C314" s="304" t="s">
        <v>443</v>
      </c>
      <c r="D314" s="304" t="s">
        <v>448</v>
      </c>
      <c r="E314" s="304">
        <v>200</v>
      </c>
      <c r="F314" s="304">
        <v>196</v>
      </c>
      <c r="G314" s="304">
        <v>0</v>
      </c>
      <c r="H314" s="304">
        <v>289</v>
      </c>
      <c r="I314" s="304">
        <f t="shared" si="6"/>
        <v>90635.64132772942</v>
      </c>
      <c r="J314" s="73"/>
      <c r="K314" s="48"/>
      <c r="L314" s="48"/>
      <c r="M314" s="14"/>
      <c r="N314" s="48"/>
    </row>
    <row r="315" spans="1:14" x14ac:dyDescent="0.25">
      <c r="A315" s="303" t="s">
        <v>159</v>
      </c>
      <c r="B315" s="303" t="s">
        <v>160</v>
      </c>
      <c r="C315" s="304" t="s">
        <v>443</v>
      </c>
      <c r="D315" s="304" t="s">
        <v>448</v>
      </c>
      <c r="E315" s="304">
        <v>0</v>
      </c>
      <c r="F315" s="304">
        <v>0</v>
      </c>
      <c r="G315" s="304">
        <v>0</v>
      </c>
      <c r="H315" s="304">
        <v>0</v>
      </c>
      <c r="I315" s="304">
        <f t="shared" si="6"/>
        <v>0</v>
      </c>
      <c r="J315" s="73"/>
      <c r="K315" s="48"/>
      <c r="L315" s="48"/>
      <c r="M315" s="14"/>
      <c r="N315" s="48"/>
    </row>
    <row r="316" spans="1:14" x14ac:dyDescent="0.25">
      <c r="A316" s="303" t="s">
        <v>159</v>
      </c>
      <c r="B316" s="303" t="s">
        <v>160</v>
      </c>
      <c r="C316" s="304" t="s">
        <v>443</v>
      </c>
      <c r="D316" s="304" t="s">
        <v>456</v>
      </c>
      <c r="E316" s="304">
        <v>30</v>
      </c>
      <c r="F316" s="304">
        <v>15</v>
      </c>
      <c r="G316" s="304">
        <v>0</v>
      </c>
      <c r="H316" s="304">
        <v>0</v>
      </c>
      <c r="I316" s="304">
        <f t="shared" si="6"/>
        <v>16123.040489012412</v>
      </c>
      <c r="J316" s="73"/>
      <c r="K316" s="48"/>
      <c r="L316" s="48"/>
      <c r="M316" s="14"/>
      <c r="N316" s="48"/>
    </row>
    <row r="317" spans="1:14" x14ac:dyDescent="0.25">
      <c r="A317" s="303" t="s">
        <v>159</v>
      </c>
      <c r="B317" s="303" t="s">
        <v>160</v>
      </c>
      <c r="C317" s="304" t="s">
        <v>443</v>
      </c>
      <c r="D317" s="304" t="s">
        <v>445</v>
      </c>
      <c r="E317" s="304">
        <v>124</v>
      </c>
      <c r="F317" s="304">
        <v>9</v>
      </c>
      <c r="G317" s="304">
        <v>0</v>
      </c>
      <c r="H317" s="304">
        <v>23</v>
      </c>
      <c r="I317" s="304">
        <f t="shared" si="6"/>
        <v>48258.172764481096</v>
      </c>
      <c r="J317" s="73"/>
      <c r="K317" s="48"/>
      <c r="L317" s="48"/>
      <c r="M317" s="14"/>
      <c r="N317" s="48"/>
    </row>
    <row r="318" spans="1:14" x14ac:dyDescent="0.25">
      <c r="A318" s="303" t="s">
        <v>159</v>
      </c>
      <c r="B318" s="303" t="s">
        <v>160</v>
      </c>
      <c r="C318" s="304" t="s">
        <v>443</v>
      </c>
      <c r="D318" s="304" t="s">
        <v>445</v>
      </c>
      <c r="E318" s="304">
        <v>50</v>
      </c>
      <c r="F318" s="304">
        <v>25</v>
      </c>
      <c r="G318" s="304">
        <v>0</v>
      </c>
      <c r="H318" s="304">
        <v>0</v>
      </c>
      <c r="I318" s="304">
        <f t="shared" si="6"/>
        <v>31606.108786520053</v>
      </c>
      <c r="J318" s="73"/>
      <c r="K318" s="48"/>
      <c r="L318" s="48"/>
      <c r="M318" s="14"/>
      <c r="N318" s="48"/>
    </row>
    <row r="319" spans="1:14" x14ac:dyDescent="0.25">
      <c r="A319" s="303" t="s">
        <v>159</v>
      </c>
      <c r="B319" s="303" t="s">
        <v>160</v>
      </c>
      <c r="C319" s="304" t="s">
        <v>443</v>
      </c>
      <c r="D319" s="304" t="s">
        <v>445</v>
      </c>
      <c r="E319" s="304">
        <v>50</v>
      </c>
      <c r="F319" s="304">
        <v>25</v>
      </c>
      <c r="G319" s="304">
        <v>0</v>
      </c>
      <c r="H319" s="304">
        <v>0</v>
      </c>
      <c r="I319" s="304">
        <f t="shared" si="6"/>
        <v>31606.108786520053</v>
      </c>
      <c r="J319" s="73"/>
      <c r="K319" s="48"/>
      <c r="L319" s="48"/>
      <c r="M319" s="14"/>
      <c r="N319" s="48"/>
    </row>
    <row r="320" spans="1:14" x14ac:dyDescent="0.25">
      <c r="A320" s="303" t="s">
        <v>159</v>
      </c>
      <c r="B320" s="303" t="s">
        <v>160</v>
      </c>
      <c r="C320" s="304" t="s">
        <v>443</v>
      </c>
      <c r="D320" s="304" t="s">
        <v>448</v>
      </c>
      <c r="E320" s="304">
        <v>167</v>
      </c>
      <c r="F320" s="304">
        <v>29</v>
      </c>
      <c r="G320" s="304">
        <v>0</v>
      </c>
      <c r="H320" s="304">
        <v>37</v>
      </c>
      <c r="I320" s="304">
        <f t="shared" si="6"/>
        <v>47627.248791186044</v>
      </c>
      <c r="J320" s="73"/>
      <c r="K320" s="48"/>
      <c r="L320" s="48"/>
      <c r="M320" s="14"/>
      <c r="N320" s="48"/>
    </row>
    <row r="321" spans="1:14" x14ac:dyDescent="0.25">
      <c r="A321" s="303" t="s">
        <v>484</v>
      </c>
      <c r="B321" s="303" t="s">
        <v>164</v>
      </c>
      <c r="C321" s="304" t="s">
        <v>446</v>
      </c>
      <c r="D321" s="304" t="s">
        <v>444</v>
      </c>
      <c r="E321" s="304">
        <v>148000</v>
      </c>
      <c r="F321" s="304">
        <v>87973</v>
      </c>
      <c r="G321" s="304">
        <v>105567</v>
      </c>
      <c r="H321" s="304">
        <v>99357</v>
      </c>
      <c r="I321" s="304">
        <f t="shared" si="6"/>
        <v>10331976.632532073</v>
      </c>
      <c r="J321" s="73"/>
      <c r="K321" s="48"/>
      <c r="L321" s="48"/>
      <c r="M321" s="14"/>
      <c r="N321" s="48"/>
    </row>
    <row r="322" spans="1:14" x14ac:dyDescent="0.25">
      <c r="A322" s="303" t="s">
        <v>485</v>
      </c>
      <c r="B322" s="303" t="s">
        <v>166</v>
      </c>
      <c r="C322" s="304" t="s">
        <v>443</v>
      </c>
      <c r="D322" s="304" t="s">
        <v>448</v>
      </c>
      <c r="E322" s="304">
        <v>2500</v>
      </c>
      <c r="F322" s="304">
        <v>920</v>
      </c>
      <c r="G322" s="304">
        <v>1523</v>
      </c>
      <c r="H322" s="304">
        <v>732</v>
      </c>
      <c r="I322" s="304">
        <f t="shared" si="6"/>
        <v>427480.70383514382</v>
      </c>
      <c r="J322" s="73"/>
      <c r="K322" s="48"/>
      <c r="L322" s="48"/>
      <c r="M322" s="14"/>
      <c r="N322" s="48"/>
    </row>
    <row r="323" spans="1:14" x14ac:dyDescent="0.25">
      <c r="A323" s="303" t="s">
        <v>485</v>
      </c>
      <c r="B323" s="303" t="s">
        <v>166</v>
      </c>
      <c r="C323" s="304" t="s">
        <v>443</v>
      </c>
      <c r="D323" s="304" t="s">
        <v>448</v>
      </c>
      <c r="E323" s="304">
        <v>1250</v>
      </c>
      <c r="F323" s="304">
        <v>1021</v>
      </c>
      <c r="G323" s="304">
        <v>988</v>
      </c>
      <c r="H323" s="304">
        <v>692</v>
      </c>
      <c r="I323" s="304">
        <f t="shared" ref="I323:I386" si="7">IF(D323="M",(AVERAGE(E323,MAX(F323:H323))^0.519)*3203.7913,IF(OR(D323="MB",D323="MK",D323="MBK",D323="MBN"),(AVERAGE(E323,MAX(F323:H323))^0.6289)*3234.9142,IF(AND(C323="Landzone og sommerhusområde",OR(D323="MBNKD",D323="MBNK/MBND")),(AVERAGE(E323,MAX(F323:H323))^0.736)*1583.1635,IF(AND(C323="Byzone",OR(D323="MBNKD",D323="MBNK/MBND")),(AVERAGE(E323,MAX(F323:H323))^0.736)*1812.7138,0))))</f>
        <v>280636.07819038129</v>
      </c>
      <c r="J323" s="73"/>
      <c r="K323" s="48"/>
      <c r="L323" s="48"/>
      <c r="M323" s="14"/>
      <c r="N323" s="48"/>
    </row>
    <row r="324" spans="1:14" x14ac:dyDescent="0.25">
      <c r="A324" s="303" t="s">
        <v>486</v>
      </c>
      <c r="B324" s="303" t="s">
        <v>168</v>
      </c>
      <c r="C324" s="304" t="s">
        <v>446</v>
      </c>
      <c r="D324" s="304" t="s">
        <v>444</v>
      </c>
      <c r="E324" s="304">
        <v>17000</v>
      </c>
      <c r="F324" s="304">
        <v>8660</v>
      </c>
      <c r="G324" s="304">
        <v>11736</v>
      </c>
      <c r="H324" s="304">
        <v>14460</v>
      </c>
      <c r="I324" s="304">
        <f t="shared" si="7"/>
        <v>2223932.3939514803</v>
      </c>
      <c r="J324" s="73"/>
      <c r="K324" s="48"/>
      <c r="L324" s="48"/>
      <c r="M324" s="14"/>
      <c r="N324" s="48"/>
    </row>
    <row r="325" spans="1:14" x14ac:dyDescent="0.25">
      <c r="A325" s="303" t="s">
        <v>486</v>
      </c>
      <c r="B325" s="303" t="s">
        <v>168</v>
      </c>
      <c r="C325" s="304" t="s">
        <v>446</v>
      </c>
      <c r="D325" s="304" t="s">
        <v>448</v>
      </c>
      <c r="E325" s="304">
        <v>6500</v>
      </c>
      <c r="F325" s="304">
        <v>3877</v>
      </c>
      <c r="G325" s="304">
        <v>4326</v>
      </c>
      <c r="H325" s="304">
        <v>5107</v>
      </c>
      <c r="I325" s="304">
        <f t="shared" si="7"/>
        <v>1067591.4149372631</v>
      </c>
      <c r="J325" s="73"/>
      <c r="K325" s="48"/>
      <c r="L325" s="48"/>
      <c r="M325" s="14"/>
      <c r="N325" s="48"/>
    </row>
    <row r="326" spans="1:14" x14ac:dyDescent="0.25">
      <c r="A326" s="303" t="s">
        <v>486</v>
      </c>
      <c r="B326" s="303" t="s">
        <v>168</v>
      </c>
      <c r="C326" s="304" t="s">
        <v>446</v>
      </c>
      <c r="D326" s="304" t="s">
        <v>444</v>
      </c>
      <c r="E326" s="304">
        <v>22500</v>
      </c>
      <c r="F326" s="304">
        <v>5523</v>
      </c>
      <c r="G326" s="304">
        <v>5415</v>
      </c>
      <c r="H326" s="304">
        <v>6198</v>
      </c>
      <c r="I326" s="304">
        <f t="shared" si="7"/>
        <v>2078499.6934764483</v>
      </c>
      <c r="J326" s="73"/>
      <c r="K326" s="48"/>
      <c r="L326" s="48"/>
      <c r="M326" s="14"/>
      <c r="N326" s="48"/>
    </row>
    <row r="327" spans="1:14" x14ac:dyDescent="0.25">
      <c r="A327" s="303" t="s">
        <v>486</v>
      </c>
      <c r="B327" s="303" t="s">
        <v>168</v>
      </c>
      <c r="C327" s="304" t="s">
        <v>446</v>
      </c>
      <c r="D327" s="304" t="s">
        <v>444</v>
      </c>
      <c r="E327" s="304">
        <v>125000</v>
      </c>
      <c r="F327" s="304">
        <v>51135</v>
      </c>
      <c r="G327" s="304">
        <v>82765</v>
      </c>
      <c r="H327" s="304">
        <v>100043</v>
      </c>
      <c r="I327" s="304">
        <f t="shared" si="7"/>
        <v>9463212.197877042</v>
      </c>
      <c r="J327" s="73"/>
      <c r="K327" s="48"/>
      <c r="L327" s="48"/>
      <c r="M327" s="14"/>
      <c r="N327" s="48"/>
    </row>
    <row r="328" spans="1:14" x14ac:dyDescent="0.25">
      <c r="A328" s="303" t="s">
        <v>169</v>
      </c>
      <c r="B328" s="303" t="s">
        <v>170</v>
      </c>
      <c r="C328" s="304" t="s">
        <v>443</v>
      </c>
      <c r="D328" s="304" t="s">
        <v>444</v>
      </c>
      <c r="E328" s="304">
        <v>17500</v>
      </c>
      <c r="F328" s="304">
        <v>8421.42</v>
      </c>
      <c r="G328" s="304">
        <v>14691.57</v>
      </c>
      <c r="H328" s="304">
        <v>14582.65</v>
      </c>
      <c r="I328" s="304">
        <f t="shared" si="7"/>
        <v>1975449.4460025511</v>
      </c>
      <c r="J328" s="73"/>
      <c r="K328" s="48"/>
      <c r="L328" s="48"/>
      <c r="M328" s="14"/>
      <c r="N328" s="48"/>
    </row>
    <row r="329" spans="1:14" x14ac:dyDescent="0.25">
      <c r="A329" s="303" t="s">
        <v>169</v>
      </c>
      <c r="B329" s="303" t="s">
        <v>170</v>
      </c>
      <c r="C329" s="304" t="s">
        <v>443</v>
      </c>
      <c r="D329" s="304" t="s">
        <v>444</v>
      </c>
      <c r="E329" s="304">
        <v>15000</v>
      </c>
      <c r="F329" s="304">
        <v>9614</v>
      </c>
      <c r="G329" s="304">
        <v>16772</v>
      </c>
      <c r="H329" s="304">
        <v>16571</v>
      </c>
      <c r="I329" s="304">
        <f t="shared" si="7"/>
        <v>1956466.8038591102</v>
      </c>
      <c r="J329" s="73"/>
      <c r="K329" s="48"/>
      <c r="L329" s="48"/>
      <c r="M329" s="14"/>
      <c r="N329" s="48"/>
    </row>
    <row r="330" spans="1:14" x14ac:dyDescent="0.25">
      <c r="A330" s="303" t="s">
        <v>169</v>
      </c>
      <c r="B330" s="303" t="s">
        <v>170</v>
      </c>
      <c r="C330" s="304" t="s">
        <v>443</v>
      </c>
      <c r="D330" s="304" t="s">
        <v>444</v>
      </c>
      <c r="E330" s="304">
        <v>15000</v>
      </c>
      <c r="F330" s="304">
        <v>8013</v>
      </c>
      <c r="G330" s="304">
        <v>9864</v>
      </c>
      <c r="H330" s="304">
        <v>10407</v>
      </c>
      <c r="I330" s="304">
        <f t="shared" si="7"/>
        <v>1659638.0571067072</v>
      </c>
      <c r="J330" s="73"/>
      <c r="K330" s="48"/>
      <c r="L330" s="48"/>
      <c r="M330" s="14"/>
      <c r="N330" s="48"/>
    </row>
    <row r="331" spans="1:14" x14ac:dyDescent="0.25">
      <c r="A331" s="303" t="s">
        <v>487</v>
      </c>
      <c r="B331" s="303" t="s">
        <v>172</v>
      </c>
      <c r="C331" s="304" t="s">
        <v>443</v>
      </c>
      <c r="D331" s="304" t="s">
        <v>444</v>
      </c>
      <c r="E331" s="304">
        <v>12000</v>
      </c>
      <c r="F331" s="304">
        <v>3181</v>
      </c>
      <c r="G331" s="304">
        <v>5312</v>
      </c>
      <c r="H331" s="304">
        <v>5456</v>
      </c>
      <c r="I331" s="304">
        <f t="shared" si="7"/>
        <v>1259038.5142458808</v>
      </c>
      <c r="J331" s="73"/>
      <c r="K331" s="48"/>
      <c r="L331" s="48"/>
      <c r="M331" s="14"/>
      <c r="N331" s="48"/>
    </row>
    <row r="332" spans="1:14" x14ac:dyDescent="0.25">
      <c r="A332" s="303" t="s">
        <v>487</v>
      </c>
      <c r="B332" s="303" t="s">
        <v>172</v>
      </c>
      <c r="C332" s="304" t="s">
        <v>446</v>
      </c>
      <c r="D332" s="304" t="s">
        <v>444</v>
      </c>
      <c r="E332" s="304">
        <v>25000</v>
      </c>
      <c r="F332" s="304">
        <v>6566</v>
      </c>
      <c r="G332" s="304">
        <v>11604</v>
      </c>
      <c r="H332" s="304">
        <v>8609</v>
      </c>
      <c r="I332" s="304">
        <f t="shared" si="7"/>
        <v>2486154.8465305315</v>
      </c>
      <c r="J332" s="73"/>
      <c r="K332" s="48"/>
      <c r="L332" s="48"/>
      <c r="M332" s="14"/>
      <c r="N332" s="48"/>
    </row>
    <row r="333" spans="1:14" x14ac:dyDescent="0.25">
      <c r="A333" s="303" t="s">
        <v>487</v>
      </c>
      <c r="B333" s="303" t="s">
        <v>172</v>
      </c>
      <c r="C333" s="304" t="s">
        <v>443</v>
      </c>
      <c r="D333" s="304" t="s">
        <v>444</v>
      </c>
      <c r="E333" s="304">
        <v>1400</v>
      </c>
      <c r="F333" s="304">
        <v>330</v>
      </c>
      <c r="G333" s="304">
        <v>509</v>
      </c>
      <c r="H333" s="304">
        <v>445</v>
      </c>
      <c r="I333" s="304">
        <f t="shared" si="7"/>
        <v>246968.09687526553</v>
      </c>
      <c r="J333" s="73"/>
      <c r="K333" s="48"/>
      <c r="L333" s="48"/>
      <c r="M333" s="14"/>
      <c r="N333" s="48"/>
    </row>
    <row r="334" spans="1:14" x14ac:dyDescent="0.25">
      <c r="A334" s="303" t="s">
        <v>487</v>
      </c>
      <c r="B334" s="303" t="s">
        <v>172</v>
      </c>
      <c r="C334" s="304" t="s">
        <v>443</v>
      </c>
      <c r="D334" s="304" t="s">
        <v>444</v>
      </c>
      <c r="E334" s="304">
        <v>17500</v>
      </c>
      <c r="F334" s="304">
        <v>13814</v>
      </c>
      <c r="G334" s="304">
        <v>14652</v>
      </c>
      <c r="H334" s="304">
        <v>9420</v>
      </c>
      <c r="I334" s="304">
        <f t="shared" si="7"/>
        <v>1973661.9786269844</v>
      </c>
      <c r="J334" s="73"/>
      <c r="K334" s="48"/>
      <c r="L334" s="48"/>
      <c r="M334" s="14"/>
      <c r="N334" s="48"/>
    </row>
    <row r="335" spans="1:14" x14ac:dyDescent="0.25">
      <c r="A335" s="303" t="s">
        <v>487</v>
      </c>
      <c r="B335" s="303" t="s">
        <v>172</v>
      </c>
      <c r="C335" s="304" t="s">
        <v>446</v>
      </c>
      <c r="D335" s="304" t="s">
        <v>444</v>
      </c>
      <c r="E335" s="304">
        <v>105000</v>
      </c>
      <c r="F335" s="304">
        <v>57583</v>
      </c>
      <c r="G335" s="304">
        <v>90696</v>
      </c>
      <c r="H335" s="304">
        <v>61990</v>
      </c>
      <c r="I335" s="304">
        <f t="shared" si="7"/>
        <v>8538379.9879103526</v>
      </c>
      <c r="J335" s="73"/>
      <c r="K335" s="48"/>
      <c r="L335" s="48"/>
      <c r="M335" s="14"/>
      <c r="N335" s="48"/>
    </row>
    <row r="336" spans="1:14" x14ac:dyDescent="0.25">
      <c r="A336" s="303" t="s">
        <v>487</v>
      </c>
      <c r="B336" s="303" t="s">
        <v>172</v>
      </c>
      <c r="C336" s="304" t="s">
        <v>443</v>
      </c>
      <c r="D336" s="304" t="s">
        <v>447</v>
      </c>
      <c r="E336" s="304">
        <v>850</v>
      </c>
      <c r="F336" s="304">
        <v>427</v>
      </c>
      <c r="G336" s="304">
        <v>614</v>
      </c>
      <c r="H336" s="304">
        <v>647</v>
      </c>
      <c r="I336" s="304">
        <f t="shared" si="7"/>
        <v>207702.62833868744</v>
      </c>
      <c r="J336" s="73"/>
      <c r="K336" s="48"/>
      <c r="L336" s="48"/>
      <c r="M336" s="14"/>
      <c r="N336" s="48"/>
    </row>
    <row r="337" spans="1:14" x14ac:dyDescent="0.25">
      <c r="A337" s="303" t="s">
        <v>487</v>
      </c>
      <c r="B337" s="303" t="s">
        <v>172</v>
      </c>
      <c r="C337" s="304" t="s">
        <v>443</v>
      </c>
      <c r="D337" s="304" t="s">
        <v>456</v>
      </c>
      <c r="E337" s="304">
        <v>200</v>
      </c>
      <c r="F337" s="304">
        <v>72</v>
      </c>
      <c r="G337" s="304">
        <v>163</v>
      </c>
      <c r="H337" s="304">
        <v>109</v>
      </c>
      <c r="I337" s="304">
        <f t="shared" si="7"/>
        <v>47645.423148031856</v>
      </c>
      <c r="J337" s="73"/>
      <c r="K337" s="48"/>
      <c r="L337" s="48"/>
      <c r="M337" s="14"/>
      <c r="N337" s="48"/>
    </row>
    <row r="338" spans="1:14" x14ac:dyDescent="0.25">
      <c r="A338" s="303" t="s">
        <v>487</v>
      </c>
      <c r="B338" s="303" t="s">
        <v>172</v>
      </c>
      <c r="C338" s="304" t="s">
        <v>443</v>
      </c>
      <c r="D338" s="304" t="s">
        <v>447</v>
      </c>
      <c r="E338" s="304">
        <v>300</v>
      </c>
      <c r="F338" s="304">
        <v>77</v>
      </c>
      <c r="G338" s="304">
        <v>103</v>
      </c>
      <c r="H338" s="304">
        <v>94</v>
      </c>
      <c r="I338" s="304">
        <f t="shared" si="7"/>
        <v>90995.799594027252</v>
      </c>
      <c r="J338" s="73"/>
      <c r="K338" s="48"/>
      <c r="L338" s="48"/>
      <c r="M338" s="14"/>
      <c r="N338" s="48"/>
    </row>
    <row r="339" spans="1:14" x14ac:dyDescent="0.25">
      <c r="A339" s="303" t="s">
        <v>487</v>
      </c>
      <c r="B339" s="303" t="s">
        <v>172</v>
      </c>
      <c r="C339" s="304" t="s">
        <v>443</v>
      </c>
      <c r="D339" s="304" t="s">
        <v>456</v>
      </c>
      <c r="E339" s="304">
        <v>100</v>
      </c>
      <c r="F339" s="304">
        <v>0</v>
      </c>
      <c r="G339" s="304">
        <v>0</v>
      </c>
      <c r="H339" s="304">
        <v>0</v>
      </c>
      <c r="I339" s="304">
        <f t="shared" si="7"/>
        <v>24402.237516078338</v>
      </c>
      <c r="J339" s="73"/>
      <c r="K339" s="48"/>
      <c r="L339" s="48"/>
      <c r="M339" s="14"/>
      <c r="N339" s="48"/>
    </row>
    <row r="340" spans="1:14" x14ac:dyDescent="0.25">
      <c r="A340" s="303" t="s">
        <v>487</v>
      </c>
      <c r="B340" s="303" t="s">
        <v>172</v>
      </c>
      <c r="C340" s="304" t="s">
        <v>443</v>
      </c>
      <c r="D340" s="304" t="s">
        <v>456</v>
      </c>
      <c r="E340" s="304">
        <v>360</v>
      </c>
      <c r="F340" s="304">
        <v>109</v>
      </c>
      <c r="G340" s="304">
        <v>130</v>
      </c>
      <c r="H340" s="304">
        <v>190</v>
      </c>
      <c r="I340" s="304">
        <f t="shared" si="7"/>
        <v>59112.303834028353</v>
      </c>
      <c r="J340" s="73"/>
      <c r="K340" s="48"/>
      <c r="L340" s="48"/>
      <c r="M340" s="14"/>
      <c r="N340" s="48"/>
    </row>
    <row r="341" spans="1:14" x14ac:dyDescent="0.25">
      <c r="A341" s="303" t="s">
        <v>173</v>
      </c>
      <c r="B341" s="303" t="s">
        <v>174</v>
      </c>
      <c r="C341" s="304" t="s">
        <v>443</v>
      </c>
      <c r="D341" s="304" t="s">
        <v>445</v>
      </c>
      <c r="E341" s="304">
        <v>100</v>
      </c>
      <c r="F341" s="304">
        <v>78</v>
      </c>
      <c r="G341" s="304">
        <v>71</v>
      </c>
      <c r="H341" s="304">
        <v>103</v>
      </c>
      <c r="I341" s="304">
        <f t="shared" si="7"/>
        <v>59119.296885013297</v>
      </c>
      <c r="J341" s="73"/>
      <c r="K341" s="48"/>
      <c r="L341" s="48"/>
      <c r="M341" s="14"/>
      <c r="N341" s="48"/>
    </row>
    <row r="342" spans="1:14" x14ac:dyDescent="0.25">
      <c r="A342" s="303" t="s">
        <v>173</v>
      </c>
      <c r="B342" s="303" t="s">
        <v>174</v>
      </c>
      <c r="C342" s="304" t="s">
        <v>443</v>
      </c>
      <c r="D342" s="304" t="s">
        <v>445</v>
      </c>
      <c r="E342" s="304">
        <v>75</v>
      </c>
      <c r="F342" s="304">
        <v>34</v>
      </c>
      <c r="G342" s="304">
        <v>33</v>
      </c>
      <c r="H342" s="304">
        <v>37</v>
      </c>
      <c r="I342" s="304">
        <f t="shared" si="7"/>
        <v>40672.251698893713</v>
      </c>
      <c r="J342" s="73"/>
      <c r="K342" s="48"/>
      <c r="L342" s="48"/>
      <c r="M342" s="14"/>
      <c r="N342" s="48"/>
    </row>
    <row r="343" spans="1:14" x14ac:dyDescent="0.25">
      <c r="A343" s="303" t="s">
        <v>173</v>
      </c>
      <c r="B343" s="303" t="s">
        <v>174</v>
      </c>
      <c r="C343" s="304" t="s">
        <v>446</v>
      </c>
      <c r="D343" s="304" t="s">
        <v>448</v>
      </c>
      <c r="E343" s="304">
        <v>1500</v>
      </c>
      <c r="F343" s="304">
        <v>147</v>
      </c>
      <c r="G343" s="304">
        <v>140</v>
      </c>
      <c r="H343" s="304">
        <v>161</v>
      </c>
      <c r="I343" s="304">
        <f t="shared" si="7"/>
        <v>255248.50887196482</v>
      </c>
      <c r="J343" s="73"/>
      <c r="K343" s="48"/>
      <c r="L343" s="48"/>
      <c r="M343" s="14"/>
      <c r="N343" s="48"/>
    </row>
    <row r="344" spans="1:14" x14ac:dyDescent="0.25">
      <c r="A344" s="303" t="s">
        <v>173</v>
      </c>
      <c r="B344" s="303" t="s">
        <v>174</v>
      </c>
      <c r="C344" s="304" t="s">
        <v>443</v>
      </c>
      <c r="D344" s="304" t="s">
        <v>448</v>
      </c>
      <c r="E344" s="304">
        <v>250</v>
      </c>
      <c r="F344" s="304">
        <v>155</v>
      </c>
      <c r="G344" s="304">
        <v>159</v>
      </c>
      <c r="H344" s="304">
        <v>247</v>
      </c>
      <c r="I344" s="304">
        <f t="shared" si="7"/>
        <v>91724.635351756777</v>
      </c>
      <c r="J344" s="73"/>
      <c r="K344" s="48"/>
      <c r="L344" s="48"/>
      <c r="M344" s="14"/>
      <c r="N344" s="48"/>
    </row>
    <row r="345" spans="1:14" x14ac:dyDescent="0.25">
      <c r="A345" s="303" t="s">
        <v>173</v>
      </c>
      <c r="B345" s="303" t="s">
        <v>174</v>
      </c>
      <c r="C345" s="304" t="s">
        <v>443</v>
      </c>
      <c r="D345" s="304" t="s">
        <v>444</v>
      </c>
      <c r="E345" s="304">
        <v>50000</v>
      </c>
      <c r="F345" s="304">
        <v>16544</v>
      </c>
      <c r="G345" s="304">
        <v>12273</v>
      </c>
      <c r="H345" s="304">
        <v>18419</v>
      </c>
      <c r="I345" s="304">
        <f t="shared" si="7"/>
        <v>3440786.7681464413</v>
      </c>
      <c r="J345" s="73"/>
      <c r="K345" s="48"/>
      <c r="L345" s="48"/>
      <c r="M345" s="14"/>
      <c r="N345" s="48"/>
    </row>
    <row r="346" spans="1:14" x14ac:dyDescent="0.25">
      <c r="A346" s="303" t="s">
        <v>173</v>
      </c>
      <c r="B346" s="303" t="s">
        <v>174</v>
      </c>
      <c r="C346" s="304" t="s">
        <v>443</v>
      </c>
      <c r="D346" s="304" t="s">
        <v>456</v>
      </c>
      <c r="E346" s="304">
        <v>70</v>
      </c>
      <c r="F346" s="304">
        <v>0</v>
      </c>
      <c r="G346" s="304">
        <v>0</v>
      </c>
      <c r="H346" s="304">
        <v>0</v>
      </c>
      <c r="I346" s="304">
        <f t="shared" si="7"/>
        <v>20278.486254807827</v>
      </c>
      <c r="J346" s="73"/>
      <c r="K346" s="48"/>
      <c r="L346" s="48"/>
      <c r="M346" s="14"/>
      <c r="N346" s="48"/>
    </row>
    <row r="347" spans="1:14" x14ac:dyDescent="0.25">
      <c r="A347" s="303" t="s">
        <v>173</v>
      </c>
      <c r="B347" s="303" t="s">
        <v>174</v>
      </c>
      <c r="C347" s="304" t="s">
        <v>443</v>
      </c>
      <c r="D347" s="304" t="s">
        <v>445</v>
      </c>
      <c r="E347" s="304">
        <v>75</v>
      </c>
      <c r="F347" s="304">
        <v>0</v>
      </c>
      <c r="G347" s="304">
        <v>14</v>
      </c>
      <c r="H347" s="304">
        <v>14</v>
      </c>
      <c r="I347" s="304">
        <f t="shared" si="7"/>
        <v>35197.869537178813</v>
      </c>
      <c r="J347" s="73"/>
      <c r="K347" s="48"/>
      <c r="L347" s="48"/>
      <c r="M347" s="14"/>
      <c r="N347" s="48"/>
    </row>
    <row r="348" spans="1:14" x14ac:dyDescent="0.25">
      <c r="A348" s="303" t="s">
        <v>173</v>
      </c>
      <c r="B348" s="303" t="s">
        <v>174</v>
      </c>
      <c r="C348" s="304" t="s">
        <v>446</v>
      </c>
      <c r="D348" s="304" t="s">
        <v>444</v>
      </c>
      <c r="E348" s="304">
        <v>115000</v>
      </c>
      <c r="F348" s="304">
        <v>65634</v>
      </c>
      <c r="G348" s="304">
        <v>69412</v>
      </c>
      <c r="H348" s="304">
        <v>42185</v>
      </c>
      <c r="I348" s="304">
        <f t="shared" si="7"/>
        <v>8173197.6062383102</v>
      </c>
      <c r="J348" s="73"/>
      <c r="K348" s="48"/>
      <c r="L348" s="48"/>
      <c r="M348" s="14"/>
      <c r="N348" s="48"/>
    </row>
    <row r="349" spans="1:14" x14ac:dyDescent="0.25">
      <c r="A349" s="303" t="s">
        <v>173</v>
      </c>
      <c r="B349" s="303" t="s">
        <v>174</v>
      </c>
      <c r="C349" s="304" t="s">
        <v>443</v>
      </c>
      <c r="D349" s="304" t="s">
        <v>445</v>
      </c>
      <c r="E349" s="304">
        <v>175</v>
      </c>
      <c r="F349" s="304">
        <v>32</v>
      </c>
      <c r="G349" s="304">
        <v>32</v>
      </c>
      <c r="H349" s="304">
        <v>30</v>
      </c>
      <c r="I349" s="304">
        <f t="shared" si="7"/>
        <v>59849.255495556346</v>
      </c>
      <c r="J349" s="73"/>
      <c r="K349" s="48"/>
      <c r="L349" s="48"/>
      <c r="M349" s="14"/>
      <c r="N349" s="48"/>
    </row>
    <row r="350" spans="1:14" x14ac:dyDescent="0.25">
      <c r="A350" s="303" t="s">
        <v>173</v>
      </c>
      <c r="B350" s="303" t="s">
        <v>174</v>
      </c>
      <c r="C350" s="304" t="s">
        <v>443</v>
      </c>
      <c r="D350" s="304" t="s">
        <v>445</v>
      </c>
      <c r="E350" s="304">
        <v>120</v>
      </c>
      <c r="F350" s="304">
        <v>40</v>
      </c>
      <c r="G350" s="304">
        <v>59</v>
      </c>
      <c r="H350" s="304">
        <v>50</v>
      </c>
      <c r="I350" s="304">
        <f t="shared" si="7"/>
        <v>54621.581849979186</v>
      </c>
      <c r="J350" s="73"/>
      <c r="K350" s="48"/>
      <c r="L350" s="48"/>
      <c r="M350" s="14"/>
      <c r="N350" s="48"/>
    </row>
    <row r="351" spans="1:14" x14ac:dyDescent="0.25">
      <c r="A351" s="303" t="s">
        <v>173</v>
      </c>
      <c r="B351" s="303" t="s">
        <v>174</v>
      </c>
      <c r="C351" s="304" t="s">
        <v>443</v>
      </c>
      <c r="D351" s="304" t="s">
        <v>448</v>
      </c>
      <c r="E351" s="304">
        <v>800</v>
      </c>
      <c r="F351" s="304">
        <v>245</v>
      </c>
      <c r="G351" s="304">
        <v>442</v>
      </c>
      <c r="H351" s="304">
        <v>430</v>
      </c>
      <c r="I351" s="304">
        <f t="shared" si="7"/>
        <v>179987.01992647775</v>
      </c>
      <c r="J351" s="73"/>
      <c r="K351" s="48"/>
      <c r="L351" s="48"/>
      <c r="M351" s="14"/>
      <c r="N351" s="48"/>
    </row>
    <row r="352" spans="1:14" x14ac:dyDescent="0.25">
      <c r="A352" s="303" t="s">
        <v>173</v>
      </c>
      <c r="B352" s="303" t="s">
        <v>174</v>
      </c>
      <c r="C352" s="304" t="s">
        <v>443</v>
      </c>
      <c r="D352" s="304" t="s">
        <v>445</v>
      </c>
      <c r="E352" s="304">
        <v>25</v>
      </c>
      <c r="F352" s="304">
        <v>0</v>
      </c>
      <c r="G352" s="304">
        <v>0</v>
      </c>
      <c r="H352" s="304">
        <v>0</v>
      </c>
      <c r="I352" s="304">
        <f t="shared" si="7"/>
        <v>15838.333136942807</v>
      </c>
      <c r="J352" s="73"/>
      <c r="K352" s="48"/>
      <c r="L352" s="48"/>
      <c r="M352" s="14"/>
      <c r="N352" s="48"/>
    </row>
    <row r="353" spans="1:14" x14ac:dyDescent="0.25">
      <c r="A353" s="303" t="s">
        <v>173</v>
      </c>
      <c r="B353" s="303" t="s">
        <v>174</v>
      </c>
      <c r="C353" s="304" t="s">
        <v>443</v>
      </c>
      <c r="D353" s="304" t="s">
        <v>445</v>
      </c>
      <c r="E353" s="304">
        <v>999</v>
      </c>
      <c r="F353" s="304">
        <v>29</v>
      </c>
      <c r="G353" s="304">
        <v>40</v>
      </c>
      <c r="H353" s="304">
        <v>93</v>
      </c>
      <c r="I353" s="304">
        <f t="shared" si="7"/>
        <v>170326.89102273207</v>
      </c>
      <c r="J353" s="73"/>
      <c r="K353" s="48"/>
      <c r="L353" s="48"/>
      <c r="M353" s="14"/>
      <c r="N353" s="48"/>
    </row>
    <row r="354" spans="1:14" x14ac:dyDescent="0.25">
      <c r="A354" s="303" t="s">
        <v>173</v>
      </c>
      <c r="B354" s="303" t="s">
        <v>174</v>
      </c>
      <c r="C354" s="304" t="s">
        <v>443</v>
      </c>
      <c r="D354" s="304" t="s">
        <v>448</v>
      </c>
      <c r="E354" s="304">
        <v>800</v>
      </c>
      <c r="F354" s="304">
        <v>127</v>
      </c>
      <c r="G354" s="304">
        <v>155</v>
      </c>
      <c r="H354" s="304">
        <v>262</v>
      </c>
      <c r="I354" s="304">
        <f t="shared" si="7"/>
        <v>160396.66574677793</v>
      </c>
      <c r="J354" s="73"/>
      <c r="K354" s="48"/>
      <c r="L354" s="48"/>
      <c r="M354" s="14"/>
      <c r="N354" s="48"/>
    </row>
    <row r="355" spans="1:14" x14ac:dyDescent="0.25">
      <c r="A355" s="303" t="s">
        <v>173</v>
      </c>
      <c r="B355" s="303" t="s">
        <v>174</v>
      </c>
      <c r="C355" s="304" t="s">
        <v>443</v>
      </c>
      <c r="D355" s="304" t="s">
        <v>448</v>
      </c>
      <c r="E355" s="304">
        <v>80</v>
      </c>
      <c r="F355" s="304">
        <v>79</v>
      </c>
      <c r="G355" s="304">
        <v>110</v>
      </c>
      <c r="H355" s="304">
        <v>152</v>
      </c>
      <c r="I355" s="304">
        <f t="shared" si="7"/>
        <v>52356.04697341867</v>
      </c>
      <c r="J355" s="73"/>
      <c r="K355" s="48"/>
      <c r="L355" s="48"/>
      <c r="M355" s="14"/>
      <c r="N355" s="48"/>
    </row>
    <row r="356" spans="1:14" x14ac:dyDescent="0.25">
      <c r="A356" s="303" t="s">
        <v>173</v>
      </c>
      <c r="B356" s="303" t="s">
        <v>174</v>
      </c>
      <c r="C356" s="304" t="s">
        <v>443</v>
      </c>
      <c r="D356" s="304" t="s">
        <v>456</v>
      </c>
      <c r="E356" s="304">
        <v>50</v>
      </c>
      <c r="F356" s="304">
        <v>0</v>
      </c>
      <c r="G356" s="304">
        <v>0</v>
      </c>
      <c r="H356" s="304">
        <v>0</v>
      </c>
      <c r="I356" s="304">
        <f t="shared" si="7"/>
        <v>17029.232784928146</v>
      </c>
      <c r="J356" s="73"/>
      <c r="K356" s="48"/>
      <c r="L356" s="48"/>
      <c r="M356" s="14"/>
      <c r="N356" s="48"/>
    </row>
    <row r="357" spans="1:14" x14ac:dyDescent="0.25">
      <c r="A357" s="303" t="s">
        <v>173</v>
      </c>
      <c r="B357" s="303" t="s">
        <v>174</v>
      </c>
      <c r="C357" s="304" t="s">
        <v>443</v>
      </c>
      <c r="D357" s="304" t="s">
        <v>448</v>
      </c>
      <c r="E357" s="304">
        <v>80</v>
      </c>
      <c r="F357" s="304">
        <v>75</v>
      </c>
      <c r="G357" s="304">
        <v>267</v>
      </c>
      <c r="H357" s="304">
        <v>135</v>
      </c>
      <c r="I357" s="304">
        <f t="shared" si="7"/>
        <v>70412.56825758511</v>
      </c>
      <c r="J357" s="73"/>
      <c r="K357" s="48"/>
      <c r="L357" s="48"/>
      <c r="M357" s="14"/>
      <c r="N357" s="48"/>
    </row>
    <row r="358" spans="1:14" x14ac:dyDescent="0.25">
      <c r="A358" s="303" t="s">
        <v>173</v>
      </c>
      <c r="B358" s="303" t="s">
        <v>174</v>
      </c>
      <c r="C358" s="304" t="s">
        <v>446</v>
      </c>
      <c r="D358" s="304" t="s">
        <v>448</v>
      </c>
      <c r="E358" s="304">
        <v>3000</v>
      </c>
      <c r="F358" s="304">
        <v>900</v>
      </c>
      <c r="G358" s="304">
        <v>1261</v>
      </c>
      <c r="H358" s="304">
        <v>1187</v>
      </c>
      <c r="I358" s="304">
        <f t="shared" si="7"/>
        <v>510612.74814964534</v>
      </c>
      <c r="J358" s="73"/>
      <c r="K358" s="48"/>
      <c r="L358" s="48"/>
      <c r="M358" s="14"/>
      <c r="N358" s="48"/>
    </row>
    <row r="359" spans="1:14" x14ac:dyDescent="0.25">
      <c r="A359" s="303" t="s">
        <v>173</v>
      </c>
      <c r="B359" s="303" t="s">
        <v>174</v>
      </c>
      <c r="C359" s="304" t="s">
        <v>443</v>
      </c>
      <c r="D359" s="304" t="s">
        <v>448</v>
      </c>
      <c r="E359" s="304">
        <v>3000</v>
      </c>
      <c r="F359" s="304">
        <v>1271</v>
      </c>
      <c r="G359" s="304">
        <v>2242</v>
      </c>
      <c r="H359" s="304">
        <v>1970</v>
      </c>
      <c r="I359" s="304">
        <f t="shared" si="7"/>
        <v>519418.59842894989</v>
      </c>
      <c r="J359" s="73"/>
      <c r="K359" s="48"/>
      <c r="L359" s="48"/>
      <c r="M359" s="14"/>
      <c r="N359" s="48"/>
    </row>
    <row r="360" spans="1:14" x14ac:dyDescent="0.25">
      <c r="A360" s="303" t="s">
        <v>173</v>
      </c>
      <c r="B360" s="303" t="s">
        <v>174</v>
      </c>
      <c r="C360" s="304" t="s">
        <v>446</v>
      </c>
      <c r="D360" s="304" t="s">
        <v>444</v>
      </c>
      <c r="E360" s="304">
        <v>35000</v>
      </c>
      <c r="F360" s="304">
        <v>22084</v>
      </c>
      <c r="G360" s="304">
        <v>23608</v>
      </c>
      <c r="H360" s="304">
        <v>8678</v>
      </c>
      <c r="I360" s="304">
        <f t="shared" si="7"/>
        <v>3515502.7626678785</v>
      </c>
      <c r="J360" s="73"/>
      <c r="K360" s="48"/>
      <c r="L360" s="48"/>
      <c r="M360" s="14"/>
      <c r="N360" s="48"/>
    </row>
    <row r="361" spans="1:14" x14ac:dyDescent="0.25">
      <c r="A361" s="303" t="s">
        <v>173</v>
      </c>
      <c r="B361" s="303" t="s">
        <v>174</v>
      </c>
      <c r="C361" s="304" t="s">
        <v>443</v>
      </c>
      <c r="D361" s="304" t="s">
        <v>448</v>
      </c>
      <c r="E361" s="304">
        <v>3000</v>
      </c>
      <c r="F361" s="304">
        <v>1205</v>
      </c>
      <c r="G361" s="304">
        <v>1375</v>
      </c>
      <c r="H361" s="304">
        <v>1611</v>
      </c>
      <c r="I361" s="304">
        <f t="shared" si="7"/>
        <v>472629.5830991547</v>
      </c>
      <c r="J361" s="73"/>
      <c r="K361" s="48"/>
      <c r="L361" s="48"/>
      <c r="M361" s="14"/>
      <c r="N361" s="48"/>
    </row>
    <row r="362" spans="1:14" x14ac:dyDescent="0.25">
      <c r="A362" s="303" t="s">
        <v>173</v>
      </c>
      <c r="B362" s="303" t="s">
        <v>174</v>
      </c>
      <c r="C362" s="304" t="s">
        <v>443</v>
      </c>
      <c r="D362" s="304" t="s">
        <v>445</v>
      </c>
      <c r="E362" s="304">
        <v>30</v>
      </c>
      <c r="F362" s="304">
        <v>0</v>
      </c>
      <c r="G362" s="304">
        <v>0</v>
      </c>
      <c r="H362" s="304">
        <v>0</v>
      </c>
      <c r="I362" s="304">
        <f t="shared" si="7"/>
        <v>17762.600948836847</v>
      </c>
      <c r="J362" s="73"/>
      <c r="K362" s="48"/>
      <c r="L362" s="48"/>
      <c r="M362" s="14"/>
      <c r="N362" s="48"/>
    </row>
    <row r="363" spans="1:14" x14ac:dyDescent="0.25">
      <c r="A363" s="303" t="s">
        <v>175</v>
      </c>
      <c r="B363" s="303" t="s">
        <v>176</v>
      </c>
      <c r="C363" s="304" t="s">
        <v>446</v>
      </c>
      <c r="D363" s="304" t="s">
        <v>444</v>
      </c>
      <c r="E363" s="304">
        <v>21500</v>
      </c>
      <c r="F363" s="304">
        <v>13781</v>
      </c>
      <c r="G363" s="304">
        <v>20684</v>
      </c>
      <c r="H363" s="304">
        <v>14837</v>
      </c>
      <c r="I363" s="304">
        <f t="shared" si="7"/>
        <v>2759814.6412525838</v>
      </c>
      <c r="J363" s="73"/>
      <c r="K363" s="48"/>
      <c r="L363" s="48"/>
      <c r="M363" s="14"/>
      <c r="N363" s="48"/>
    </row>
    <row r="364" spans="1:14" x14ac:dyDescent="0.25">
      <c r="A364" s="303" t="s">
        <v>175</v>
      </c>
      <c r="B364" s="303" t="s">
        <v>176</v>
      </c>
      <c r="C364" s="304" t="s">
        <v>446</v>
      </c>
      <c r="D364" s="304" t="s">
        <v>444</v>
      </c>
      <c r="E364" s="304">
        <v>12000</v>
      </c>
      <c r="F364" s="304">
        <v>6206</v>
      </c>
      <c r="G364" s="304">
        <v>8273</v>
      </c>
      <c r="H364" s="304">
        <v>6683</v>
      </c>
      <c r="I364" s="304">
        <f t="shared" si="7"/>
        <v>1609395.6649762921</v>
      </c>
      <c r="J364" s="73"/>
      <c r="K364" s="48"/>
      <c r="L364" s="48"/>
      <c r="M364" s="14"/>
      <c r="N364" s="48"/>
    </row>
    <row r="365" spans="1:14" x14ac:dyDescent="0.25">
      <c r="A365" s="303" t="s">
        <v>175</v>
      </c>
      <c r="B365" s="303" t="s">
        <v>176</v>
      </c>
      <c r="C365" s="304" t="s">
        <v>446</v>
      </c>
      <c r="D365" s="304" t="s">
        <v>444</v>
      </c>
      <c r="E365" s="304">
        <v>41382</v>
      </c>
      <c r="F365" s="304">
        <v>30491</v>
      </c>
      <c r="G365" s="304">
        <v>40224</v>
      </c>
      <c r="H365" s="304">
        <v>28928</v>
      </c>
      <c r="I365" s="304">
        <f t="shared" si="7"/>
        <v>4485373.6063013934</v>
      </c>
      <c r="J365" s="73"/>
      <c r="K365" s="48"/>
      <c r="L365" s="48"/>
      <c r="M365" s="14"/>
      <c r="N365" s="48"/>
    </row>
    <row r="366" spans="1:14" x14ac:dyDescent="0.25">
      <c r="A366" s="303" t="s">
        <v>175</v>
      </c>
      <c r="B366" s="303" t="s">
        <v>176</v>
      </c>
      <c r="C366" s="304" t="s">
        <v>446</v>
      </c>
      <c r="D366" s="304" t="s">
        <v>444</v>
      </c>
      <c r="E366" s="304">
        <v>13518</v>
      </c>
      <c r="F366" s="304">
        <v>8407</v>
      </c>
      <c r="G366" s="304">
        <v>12989</v>
      </c>
      <c r="H366" s="304">
        <v>10527</v>
      </c>
      <c r="I366" s="304">
        <f t="shared" si="7"/>
        <v>1960489.6309836912</v>
      </c>
      <c r="J366" s="73"/>
      <c r="K366" s="48"/>
      <c r="L366" s="48"/>
      <c r="M366" s="14"/>
      <c r="N366" s="48"/>
    </row>
    <row r="367" spans="1:14" x14ac:dyDescent="0.25">
      <c r="A367" s="303" t="s">
        <v>175</v>
      </c>
      <c r="B367" s="303" t="s">
        <v>176</v>
      </c>
      <c r="C367" s="304" t="s">
        <v>443</v>
      </c>
      <c r="D367" s="304" t="s">
        <v>444</v>
      </c>
      <c r="E367" s="304">
        <v>2200</v>
      </c>
      <c r="F367" s="304">
        <v>1060</v>
      </c>
      <c r="G367" s="304">
        <v>1451</v>
      </c>
      <c r="H367" s="304">
        <v>1183</v>
      </c>
      <c r="I367" s="304">
        <f t="shared" si="7"/>
        <v>398018.08043206268</v>
      </c>
      <c r="J367" s="73"/>
      <c r="K367" s="48"/>
      <c r="L367" s="48"/>
      <c r="M367" s="14"/>
      <c r="N367" s="48"/>
    </row>
    <row r="368" spans="1:14" x14ac:dyDescent="0.25">
      <c r="A368" s="303" t="s">
        <v>488</v>
      </c>
      <c r="B368" s="303" t="s">
        <v>178</v>
      </c>
      <c r="C368" s="304" t="s">
        <v>443</v>
      </c>
      <c r="D368" s="304" t="s">
        <v>445</v>
      </c>
      <c r="E368" s="304">
        <v>50</v>
      </c>
      <c r="F368" s="304">
        <v>15</v>
      </c>
      <c r="G368" s="304">
        <v>47</v>
      </c>
      <c r="H368" s="304">
        <v>35</v>
      </c>
      <c r="I368" s="304">
        <f t="shared" si="7"/>
        <v>37155.725499596294</v>
      </c>
      <c r="J368" s="73"/>
      <c r="K368" s="48"/>
      <c r="L368" s="48"/>
      <c r="M368" s="14"/>
      <c r="N368" s="48"/>
    </row>
    <row r="369" spans="1:14" x14ac:dyDescent="0.25">
      <c r="A369" s="303" t="s">
        <v>488</v>
      </c>
      <c r="B369" s="303" t="s">
        <v>178</v>
      </c>
      <c r="C369" s="304" t="s">
        <v>446</v>
      </c>
      <c r="D369" s="304" t="s">
        <v>444</v>
      </c>
      <c r="E369" s="304">
        <v>64000</v>
      </c>
      <c r="F369" s="304">
        <v>31883</v>
      </c>
      <c r="G369" s="304">
        <v>47094</v>
      </c>
      <c r="H369" s="304">
        <v>41560</v>
      </c>
      <c r="I369" s="304">
        <f t="shared" si="7"/>
        <v>5628587.8488371866</v>
      </c>
      <c r="J369" s="73"/>
      <c r="K369" s="48"/>
      <c r="L369" s="48"/>
      <c r="M369" s="14"/>
      <c r="N369" s="48"/>
    </row>
    <row r="370" spans="1:14" x14ac:dyDescent="0.25">
      <c r="A370" s="303" t="s">
        <v>488</v>
      </c>
      <c r="B370" s="303" t="s">
        <v>178</v>
      </c>
      <c r="C370" s="304" t="s">
        <v>443</v>
      </c>
      <c r="D370" s="304" t="s">
        <v>444</v>
      </c>
      <c r="E370" s="304">
        <v>17800</v>
      </c>
      <c r="F370" s="304">
        <v>3923</v>
      </c>
      <c r="G370" s="304">
        <v>5406</v>
      </c>
      <c r="H370" s="304">
        <v>4900</v>
      </c>
      <c r="I370" s="304">
        <f t="shared" si="7"/>
        <v>1552563.971179368</v>
      </c>
      <c r="J370" s="73"/>
      <c r="K370" s="48"/>
      <c r="L370" s="48"/>
      <c r="M370" s="14"/>
      <c r="N370" s="48"/>
    </row>
    <row r="371" spans="1:14" x14ac:dyDescent="0.25">
      <c r="A371" s="303" t="s">
        <v>488</v>
      </c>
      <c r="B371" s="303" t="s">
        <v>178</v>
      </c>
      <c r="C371" s="304" t="s">
        <v>443</v>
      </c>
      <c r="D371" s="304" t="s">
        <v>444</v>
      </c>
      <c r="E371" s="304">
        <v>1500</v>
      </c>
      <c r="F371" s="304">
        <v>205</v>
      </c>
      <c r="G371" s="304">
        <v>337</v>
      </c>
      <c r="H371" s="304">
        <v>423</v>
      </c>
      <c r="I371" s="304">
        <f t="shared" si="7"/>
        <v>248299.84302840059</v>
      </c>
      <c r="J371" s="73"/>
      <c r="K371" s="48"/>
      <c r="L371" s="48"/>
      <c r="M371" s="14"/>
      <c r="N371" s="48"/>
    </row>
    <row r="372" spans="1:14" x14ac:dyDescent="0.25">
      <c r="A372" s="303" t="s">
        <v>488</v>
      </c>
      <c r="B372" s="303" t="s">
        <v>178</v>
      </c>
      <c r="C372" s="304" t="s">
        <v>443</v>
      </c>
      <c r="D372" s="304" t="s">
        <v>444</v>
      </c>
      <c r="E372" s="304">
        <v>1500</v>
      </c>
      <c r="F372" s="304">
        <v>520</v>
      </c>
      <c r="G372" s="304">
        <v>711</v>
      </c>
      <c r="H372" s="304">
        <v>864</v>
      </c>
      <c r="I372" s="304">
        <f t="shared" si="7"/>
        <v>289049.5059104822</v>
      </c>
      <c r="J372" s="73"/>
      <c r="K372" s="48"/>
      <c r="L372" s="48"/>
      <c r="M372" s="14"/>
      <c r="N372" s="48"/>
    </row>
    <row r="373" spans="1:14" x14ac:dyDescent="0.25">
      <c r="A373" s="303" t="s">
        <v>179</v>
      </c>
      <c r="B373" s="303" t="s">
        <v>180</v>
      </c>
      <c r="C373" s="304" t="s">
        <v>446</v>
      </c>
      <c r="D373" s="304" t="s">
        <v>444</v>
      </c>
      <c r="E373" s="304">
        <v>24500</v>
      </c>
      <c r="F373" s="304">
        <v>18997</v>
      </c>
      <c r="G373" s="304">
        <v>23293</v>
      </c>
      <c r="H373" s="304">
        <v>20948</v>
      </c>
      <c r="I373" s="304">
        <f t="shared" si="7"/>
        <v>3025403.3493373985</v>
      </c>
      <c r="J373" s="73"/>
      <c r="K373" s="48"/>
      <c r="L373" s="48"/>
      <c r="M373" s="14"/>
      <c r="N373" s="48"/>
    </row>
    <row r="374" spans="1:14" x14ac:dyDescent="0.25">
      <c r="A374" s="303" t="s">
        <v>489</v>
      </c>
      <c r="B374" s="303" t="s">
        <v>184</v>
      </c>
      <c r="C374" s="304" t="s">
        <v>443</v>
      </c>
      <c r="D374" s="304" t="s">
        <v>448</v>
      </c>
      <c r="E374" s="304">
        <v>5500</v>
      </c>
      <c r="F374" s="304">
        <v>2520</v>
      </c>
      <c r="G374" s="304">
        <v>3395</v>
      </c>
      <c r="H374" s="304">
        <v>3263</v>
      </c>
      <c r="I374" s="304">
        <f t="shared" si="7"/>
        <v>766547.57271745126</v>
      </c>
      <c r="J374" s="73"/>
      <c r="K374" s="48"/>
      <c r="L374" s="48"/>
      <c r="M374" s="14"/>
      <c r="N374" s="48"/>
    </row>
    <row r="375" spans="1:14" x14ac:dyDescent="0.25">
      <c r="A375" s="303" t="s">
        <v>489</v>
      </c>
      <c r="B375" s="303" t="s">
        <v>184</v>
      </c>
      <c r="C375" s="304" t="s">
        <v>443</v>
      </c>
      <c r="D375" s="304" t="s">
        <v>444</v>
      </c>
      <c r="E375" s="304">
        <v>12000</v>
      </c>
      <c r="F375" s="304">
        <v>7531</v>
      </c>
      <c r="G375" s="304">
        <v>9834</v>
      </c>
      <c r="H375" s="304">
        <v>6589</v>
      </c>
      <c r="I375" s="304">
        <f t="shared" si="7"/>
        <v>1484464.4617416777</v>
      </c>
      <c r="J375" s="73"/>
      <c r="K375" s="48"/>
      <c r="L375" s="48"/>
      <c r="M375" s="14"/>
      <c r="N375" s="48"/>
    </row>
    <row r="376" spans="1:14" x14ac:dyDescent="0.25">
      <c r="A376" s="303" t="s">
        <v>489</v>
      </c>
      <c r="B376" s="303" t="s">
        <v>184</v>
      </c>
      <c r="C376" s="304" t="s">
        <v>443</v>
      </c>
      <c r="D376" s="304" t="s">
        <v>444</v>
      </c>
      <c r="E376" s="304">
        <v>1500</v>
      </c>
      <c r="F376" s="304">
        <v>1774</v>
      </c>
      <c r="G376" s="304">
        <v>2744</v>
      </c>
      <c r="H376" s="304">
        <v>2313</v>
      </c>
      <c r="I376" s="304">
        <f t="shared" si="7"/>
        <v>444641.88233640592</v>
      </c>
      <c r="J376" s="73"/>
      <c r="K376" s="48"/>
      <c r="L376" s="48"/>
      <c r="M376" s="14"/>
      <c r="N376" s="48"/>
    </row>
    <row r="377" spans="1:14" x14ac:dyDescent="0.25">
      <c r="A377" s="303" t="s">
        <v>489</v>
      </c>
      <c r="B377" s="303" t="s">
        <v>184</v>
      </c>
      <c r="C377" s="304" t="s">
        <v>443</v>
      </c>
      <c r="D377" s="304" t="s">
        <v>444</v>
      </c>
      <c r="E377" s="304">
        <v>13000</v>
      </c>
      <c r="F377" s="304">
        <v>11039</v>
      </c>
      <c r="G377" s="304">
        <v>14191</v>
      </c>
      <c r="H377" s="304">
        <v>11945</v>
      </c>
      <c r="I377" s="304">
        <f t="shared" si="7"/>
        <v>1744635.1741892111</v>
      </c>
      <c r="J377" s="73"/>
      <c r="K377" s="48"/>
      <c r="L377" s="48"/>
      <c r="M377" s="14"/>
      <c r="N377" s="48"/>
    </row>
    <row r="378" spans="1:14" x14ac:dyDescent="0.25">
      <c r="A378" s="303" t="s">
        <v>185</v>
      </c>
      <c r="B378" s="303" t="s">
        <v>186</v>
      </c>
      <c r="C378" s="304" t="s">
        <v>443</v>
      </c>
      <c r="D378" s="304" t="s">
        <v>444</v>
      </c>
      <c r="E378" s="304">
        <v>6516</v>
      </c>
      <c r="F378" s="304">
        <v>4430</v>
      </c>
      <c r="G378" s="304">
        <v>4399</v>
      </c>
      <c r="H378" s="304">
        <v>2952</v>
      </c>
      <c r="I378" s="304">
        <f t="shared" si="7"/>
        <v>893016.94240038644</v>
      </c>
      <c r="J378" s="73"/>
      <c r="K378" s="48"/>
      <c r="L378" s="48"/>
      <c r="M378" s="14"/>
      <c r="N378" s="48"/>
    </row>
    <row r="379" spans="1:14" x14ac:dyDescent="0.25">
      <c r="A379" s="303" t="s">
        <v>185</v>
      </c>
      <c r="B379" s="303" t="s">
        <v>186</v>
      </c>
      <c r="C379" s="304" t="s">
        <v>443</v>
      </c>
      <c r="D379" s="304" t="s">
        <v>445</v>
      </c>
      <c r="E379" s="304">
        <v>1200</v>
      </c>
      <c r="F379" s="304">
        <v>661</v>
      </c>
      <c r="G379" s="304">
        <v>669</v>
      </c>
      <c r="H379" s="304">
        <v>856</v>
      </c>
      <c r="I379" s="304">
        <f t="shared" si="7"/>
        <v>253574.30049577926</v>
      </c>
      <c r="J379" s="73"/>
      <c r="K379" s="48"/>
      <c r="L379" s="48"/>
      <c r="M379" s="14"/>
      <c r="N379" s="48"/>
    </row>
    <row r="380" spans="1:14" x14ac:dyDescent="0.25">
      <c r="A380" s="303" t="s">
        <v>185</v>
      </c>
      <c r="B380" s="303" t="s">
        <v>186</v>
      </c>
      <c r="C380" s="304" t="s">
        <v>446</v>
      </c>
      <c r="D380" s="304" t="s">
        <v>444</v>
      </c>
      <c r="E380" s="304">
        <v>60000</v>
      </c>
      <c r="F380" s="304">
        <v>18884</v>
      </c>
      <c r="G380" s="304">
        <v>22538</v>
      </c>
      <c r="H380" s="304">
        <v>17816</v>
      </c>
      <c r="I380" s="304">
        <f t="shared" si="7"/>
        <v>4523019.5497185718</v>
      </c>
      <c r="J380" s="73"/>
      <c r="K380" s="48"/>
      <c r="L380" s="48"/>
      <c r="M380" s="14"/>
      <c r="N380" s="48"/>
    </row>
    <row r="381" spans="1:14" x14ac:dyDescent="0.25">
      <c r="A381" s="303" t="s">
        <v>490</v>
      </c>
      <c r="B381" s="303" t="s">
        <v>188</v>
      </c>
      <c r="C381" s="304" t="s">
        <v>443</v>
      </c>
      <c r="D381" s="304" t="s">
        <v>444</v>
      </c>
      <c r="E381" s="304">
        <v>105000</v>
      </c>
      <c r="F381" s="304">
        <v>39885</v>
      </c>
      <c r="G381" s="304">
        <v>41010</v>
      </c>
      <c r="H381" s="304">
        <v>41115</v>
      </c>
      <c r="I381" s="304">
        <f t="shared" si="7"/>
        <v>6014272.0119470395</v>
      </c>
      <c r="J381" s="73"/>
      <c r="K381" s="48"/>
      <c r="L381" s="48"/>
      <c r="M381" s="14"/>
      <c r="N381" s="48"/>
    </row>
    <row r="382" spans="1:14" x14ac:dyDescent="0.25">
      <c r="A382" s="303" t="s">
        <v>490</v>
      </c>
      <c r="B382" s="303" t="s">
        <v>188</v>
      </c>
      <c r="C382" s="304" t="s">
        <v>443</v>
      </c>
      <c r="D382" s="304" t="s">
        <v>444</v>
      </c>
      <c r="E382" s="304">
        <v>3000</v>
      </c>
      <c r="F382" s="304">
        <v>1233</v>
      </c>
      <c r="G382" s="304">
        <v>1441</v>
      </c>
      <c r="H382" s="304">
        <v>1449</v>
      </c>
      <c r="I382" s="304">
        <f t="shared" si="7"/>
        <v>460350.7154372643</v>
      </c>
      <c r="J382" s="73"/>
      <c r="K382" s="48"/>
      <c r="L382" s="48"/>
      <c r="M382" s="14"/>
      <c r="N382" s="48"/>
    </row>
    <row r="383" spans="1:14" x14ac:dyDescent="0.25">
      <c r="A383" s="303" t="s">
        <v>490</v>
      </c>
      <c r="B383" s="303" t="s">
        <v>188</v>
      </c>
      <c r="C383" s="304" t="s">
        <v>443</v>
      </c>
      <c r="D383" s="304" t="s">
        <v>444</v>
      </c>
      <c r="E383" s="304">
        <v>20000</v>
      </c>
      <c r="F383" s="304">
        <v>3110</v>
      </c>
      <c r="G383" s="304">
        <v>3652</v>
      </c>
      <c r="H383" s="304">
        <v>4681</v>
      </c>
      <c r="I383" s="304">
        <f t="shared" si="7"/>
        <v>1624600.8543684778</v>
      </c>
      <c r="J383" s="73"/>
      <c r="K383" s="48"/>
      <c r="L383" s="48"/>
      <c r="M383" s="14"/>
      <c r="N383" s="48"/>
    </row>
    <row r="384" spans="1:14" x14ac:dyDescent="0.25">
      <c r="A384" s="303" t="s">
        <v>490</v>
      </c>
      <c r="B384" s="303" t="s">
        <v>188</v>
      </c>
      <c r="C384" s="304" t="s">
        <v>443</v>
      </c>
      <c r="D384" s="304" t="s">
        <v>444</v>
      </c>
      <c r="E384" s="304">
        <v>5300</v>
      </c>
      <c r="F384" s="304">
        <v>6240</v>
      </c>
      <c r="G384" s="304">
        <v>4989</v>
      </c>
      <c r="H384" s="304">
        <v>4028</v>
      </c>
      <c r="I384" s="304">
        <f t="shared" si="7"/>
        <v>928434.27963107324</v>
      </c>
      <c r="J384" s="73"/>
      <c r="K384" s="48"/>
      <c r="L384" s="48"/>
      <c r="M384" s="14"/>
      <c r="N384" s="48"/>
    </row>
    <row r="385" spans="1:14" x14ac:dyDescent="0.25">
      <c r="A385" s="303" t="s">
        <v>490</v>
      </c>
      <c r="B385" s="303" t="s">
        <v>188</v>
      </c>
      <c r="C385" s="304" t="s">
        <v>443</v>
      </c>
      <c r="D385" s="304" t="s">
        <v>444</v>
      </c>
      <c r="E385" s="304">
        <v>20000</v>
      </c>
      <c r="F385" s="304">
        <v>16799</v>
      </c>
      <c r="G385" s="304">
        <v>16370</v>
      </c>
      <c r="H385" s="304">
        <v>15281</v>
      </c>
      <c r="I385" s="304">
        <f t="shared" si="7"/>
        <v>2179831.8824848128</v>
      </c>
      <c r="J385" s="73"/>
      <c r="K385" s="48"/>
      <c r="L385" s="48"/>
      <c r="M385" s="14"/>
      <c r="N385" s="48"/>
    </row>
    <row r="386" spans="1:14" x14ac:dyDescent="0.25">
      <c r="A386" s="303" t="s">
        <v>490</v>
      </c>
      <c r="B386" s="303" t="s">
        <v>188</v>
      </c>
      <c r="C386" s="304" t="s">
        <v>443</v>
      </c>
      <c r="D386" s="304" t="s">
        <v>448</v>
      </c>
      <c r="E386" s="304">
        <v>3000</v>
      </c>
      <c r="F386" s="304">
        <v>1626</v>
      </c>
      <c r="G386" s="304">
        <v>1848</v>
      </c>
      <c r="H386" s="304">
        <v>1811</v>
      </c>
      <c r="I386" s="304">
        <f t="shared" si="7"/>
        <v>490390.18983085552</v>
      </c>
      <c r="J386" s="73"/>
      <c r="K386" s="48"/>
      <c r="L386" s="48"/>
      <c r="M386" s="14"/>
      <c r="N386" s="48"/>
    </row>
    <row r="387" spans="1:14" x14ac:dyDescent="0.25">
      <c r="A387" s="303" t="s">
        <v>491</v>
      </c>
      <c r="B387" s="303" t="s">
        <v>190</v>
      </c>
      <c r="C387" s="304" t="s">
        <v>443</v>
      </c>
      <c r="D387" s="304" t="s">
        <v>449</v>
      </c>
      <c r="E387" s="304">
        <v>65</v>
      </c>
      <c r="F387" s="304">
        <v>42</v>
      </c>
      <c r="G387" s="304">
        <v>50</v>
      </c>
      <c r="H387" s="304">
        <v>60</v>
      </c>
      <c r="I387" s="304">
        <f t="shared" ref="I387:I450" si="8">IF(D387="M",(AVERAGE(E387,MAX(F387:H387))^0.519)*3203.7913,IF(OR(D387="MB",D387="MK",D387="MBK",D387="MBN"),(AVERAGE(E387,MAX(F387:H387))^0.6289)*3234.9142,IF(AND(C387="Landzone og sommerhusområde",OR(D387="MBNKD",D387="MBNK/MBND")),(AVERAGE(E387,MAX(F387:H387))^0.736)*1583.1635,IF(AND(C387="Byzone",OR(D387="MBNKD",D387="MBNK/MBND")),(AVERAGE(E387,MAX(F387:H387))^0.736)*1812.7138,0))))</f>
        <v>43580.449887761824</v>
      </c>
      <c r="J387" s="73"/>
      <c r="K387" s="48"/>
      <c r="L387" s="48"/>
      <c r="M387" s="14"/>
      <c r="N387" s="48"/>
    </row>
    <row r="388" spans="1:14" x14ac:dyDescent="0.25">
      <c r="A388" s="303" t="s">
        <v>491</v>
      </c>
      <c r="B388" s="303" t="s">
        <v>190</v>
      </c>
      <c r="C388" s="304" t="s">
        <v>443</v>
      </c>
      <c r="D388" s="304" t="s">
        <v>444</v>
      </c>
      <c r="E388" s="304">
        <v>14523</v>
      </c>
      <c r="F388" s="304">
        <v>7128</v>
      </c>
      <c r="G388" s="304">
        <v>9099</v>
      </c>
      <c r="H388" s="304">
        <v>10096</v>
      </c>
      <c r="I388" s="304">
        <f t="shared" si="8"/>
        <v>1621596.1789361406</v>
      </c>
      <c r="J388" s="73"/>
      <c r="K388" s="48"/>
      <c r="L388" s="48"/>
      <c r="M388" s="14"/>
      <c r="N388" s="48"/>
    </row>
    <row r="389" spans="1:14" x14ac:dyDescent="0.25">
      <c r="A389" s="303" t="s">
        <v>491</v>
      </c>
      <c r="B389" s="303" t="s">
        <v>190</v>
      </c>
      <c r="C389" s="304" t="s">
        <v>443</v>
      </c>
      <c r="D389" s="304" t="s">
        <v>444</v>
      </c>
      <c r="E389" s="304">
        <v>5591</v>
      </c>
      <c r="F389" s="304">
        <v>3713</v>
      </c>
      <c r="G389" s="304">
        <v>5797</v>
      </c>
      <c r="H389" s="304">
        <v>5029</v>
      </c>
      <c r="I389" s="304">
        <f t="shared" si="8"/>
        <v>919418.04084980988</v>
      </c>
      <c r="J389" s="73"/>
      <c r="K389" s="48"/>
      <c r="L389" s="48"/>
      <c r="M389" s="14"/>
      <c r="N389" s="48"/>
    </row>
    <row r="390" spans="1:14" x14ac:dyDescent="0.25">
      <c r="A390" s="303" t="s">
        <v>491</v>
      </c>
      <c r="B390" s="303" t="s">
        <v>190</v>
      </c>
      <c r="C390" s="304" t="s">
        <v>443</v>
      </c>
      <c r="D390" s="304" t="s">
        <v>448</v>
      </c>
      <c r="E390" s="304">
        <v>1507</v>
      </c>
      <c r="F390" s="304">
        <v>620</v>
      </c>
      <c r="G390" s="304">
        <v>2095</v>
      </c>
      <c r="H390" s="304">
        <v>1240</v>
      </c>
      <c r="I390" s="304">
        <f t="shared" si="8"/>
        <v>394079.51612708712</v>
      </c>
      <c r="J390" s="73"/>
      <c r="K390" s="48"/>
      <c r="L390" s="48"/>
      <c r="M390" s="14"/>
      <c r="N390" s="48"/>
    </row>
    <row r="391" spans="1:14" x14ac:dyDescent="0.25">
      <c r="A391" s="303" t="s">
        <v>491</v>
      </c>
      <c r="B391" s="303" t="s">
        <v>190</v>
      </c>
      <c r="C391" s="304" t="s">
        <v>443</v>
      </c>
      <c r="D391" s="304" t="s">
        <v>444</v>
      </c>
      <c r="E391" s="304">
        <v>3811</v>
      </c>
      <c r="F391" s="304">
        <v>1835</v>
      </c>
      <c r="G391" s="304">
        <v>1983</v>
      </c>
      <c r="H391" s="304">
        <v>1511</v>
      </c>
      <c r="I391" s="304">
        <f t="shared" si="8"/>
        <v>559139.0974369765</v>
      </c>
      <c r="J391" s="73"/>
      <c r="K391" s="48"/>
      <c r="L391" s="48"/>
      <c r="M391" s="14"/>
      <c r="N391" s="48"/>
    </row>
    <row r="392" spans="1:14" x14ac:dyDescent="0.25">
      <c r="A392" s="303" t="s">
        <v>491</v>
      </c>
      <c r="B392" s="303" t="s">
        <v>190</v>
      </c>
      <c r="C392" s="304" t="s">
        <v>443</v>
      </c>
      <c r="D392" s="304" t="s">
        <v>456</v>
      </c>
      <c r="E392" s="304">
        <v>70</v>
      </c>
      <c r="F392" s="304">
        <v>8</v>
      </c>
      <c r="G392" s="304">
        <v>19</v>
      </c>
      <c r="H392" s="304">
        <v>37</v>
      </c>
      <c r="I392" s="304">
        <f t="shared" si="8"/>
        <v>25274.34041261411</v>
      </c>
      <c r="J392" s="73"/>
      <c r="K392" s="48"/>
      <c r="L392" s="48"/>
      <c r="M392" s="14"/>
      <c r="N392" s="48"/>
    </row>
    <row r="393" spans="1:14" x14ac:dyDescent="0.25">
      <c r="A393" s="303" t="s">
        <v>491</v>
      </c>
      <c r="B393" s="303" t="s">
        <v>190</v>
      </c>
      <c r="C393" s="304" t="s">
        <v>446</v>
      </c>
      <c r="D393" s="304" t="s">
        <v>444</v>
      </c>
      <c r="E393" s="304">
        <v>1897</v>
      </c>
      <c r="F393" s="304">
        <v>693</v>
      </c>
      <c r="G393" s="304">
        <v>864</v>
      </c>
      <c r="H393" s="304">
        <v>827</v>
      </c>
      <c r="I393" s="304">
        <f t="shared" si="8"/>
        <v>371018.90511753567</v>
      </c>
      <c r="J393" s="73"/>
      <c r="K393" s="48"/>
      <c r="L393" s="48"/>
      <c r="M393" s="14"/>
      <c r="N393" s="48"/>
    </row>
    <row r="394" spans="1:14" x14ac:dyDescent="0.25">
      <c r="A394" s="303" t="s">
        <v>491</v>
      </c>
      <c r="B394" s="303" t="s">
        <v>190</v>
      </c>
      <c r="C394" s="304" t="s">
        <v>443</v>
      </c>
      <c r="D394" s="304" t="s">
        <v>448</v>
      </c>
      <c r="E394" s="304">
        <v>2971</v>
      </c>
      <c r="F394" s="304">
        <v>1100</v>
      </c>
      <c r="G394" s="304">
        <v>1346</v>
      </c>
      <c r="H394" s="304">
        <v>1755</v>
      </c>
      <c r="I394" s="304">
        <f t="shared" si="8"/>
        <v>481276.95598850661</v>
      </c>
      <c r="J394" s="73"/>
      <c r="K394" s="48"/>
      <c r="L394" s="48"/>
      <c r="M394" s="14"/>
      <c r="N394" s="48"/>
    </row>
    <row r="395" spans="1:14" x14ac:dyDescent="0.25">
      <c r="A395" s="303" t="s">
        <v>491</v>
      </c>
      <c r="B395" s="303" t="s">
        <v>190</v>
      </c>
      <c r="C395" s="304" t="s">
        <v>443</v>
      </c>
      <c r="D395" s="304" t="s">
        <v>444</v>
      </c>
      <c r="E395" s="304">
        <v>23753</v>
      </c>
      <c r="F395" s="304">
        <v>8612</v>
      </c>
      <c r="G395" s="304">
        <v>9708</v>
      </c>
      <c r="H395" s="304">
        <v>11969</v>
      </c>
      <c r="I395" s="304">
        <f t="shared" si="8"/>
        <v>2132693.3544693696</v>
      </c>
      <c r="J395" s="73"/>
      <c r="K395" s="48"/>
      <c r="L395" s="48"/>
      <c r="M395" s="14"/>
      <c r="N395" s="48"/>
    </row>
    <row r="396" spans="1:14" x14ac:dyDescent="0.25">
      <c r="A396" s="303" t="s">
        <v>491</v>
      </c>
      <c r="B396" s="303" t="s">
        <v>190</v>
      </c>
      <c r="C396" s="304" t="s">
        <v>443</v>
      </c>
      <c r="D396" s="304" t="s">
        <v>449</v>
      </c>
      <c r="E396" s="304">
        <v>100</v>
      </c>
      <c r="F396" s="304">
        <v>37</v>
      </c>
      <c r="G396" s="304">
        <v>64</v>
      </c>
      <c r="H396" s="304">
        <v>71</v>
      </c>
      <c r="I396" s="304">
        <f t="shared" si="8"/>
        <v>53073.320013417651</v>
      </c>
      <c r="J396" s="73"/>
      <c r="K396" s="48"/>
      <c r="L396" s="48"/>
      <c r="M396" s="14"/>
      <c r="N396" s="48"/>
    </row>
    <row r="397" spans="1:14" x14ac:dyDescent="0.25">
      <c r="A397" s="303" t="s">
        <v>492</v>
      </c>
      <c r="B397" s="303" t="s">
        <v>192</v>
      </c>
      <c r="C397" s="304" t="s">
        <v>443</v>
      </c>
      <c r="D397" s="304" t="s">
        <v>444</v>
      </c>
      <c r="E397" s="304">
        <v>5000</v>
      </c>
      <c r="F397" s="304">
        <v>1814</v>
      </c>
      <c r="G397" s="304">
        <v>2065</v>
      </c>
      <c r="H397" s="304">
        <v>2724</v>
      </c>
      <c r="I397" s="304">
        <f t="shared" si="8"/>
        <v>690907.00972193491</v>
      </c>
      <c r="J397" s="73"/>
      <c r="K397" s="48"/>
      <c r="L397" s="48"/>
      <c r="M397" s="14"/>
      <c r="N397" s="48"/>
    </row>
    <row r="398" spans="1:14" x14ac:dyDescent="0.25">
      <c r="A398" s="303" t="s">
        <v>492</v>
      </c>
      <c r="B398" s="303" t="s">
        <v>192</v>
      </c>
      <c r="C398" s="304" t="s">
        <v>443</v>
      </c>
      <c r="D398" s="304" t="s">
        <v>444</v>
      </c>
      <c r="E398" s="304">
        <v>10000</v>
      </c>
      <c r="F398" s="304">
        <v>6133</v>
      </c>
      <c r="G398" s="304">
        <v>6334</v>
      </c>
      <c r="H398" s="304">
        <v>5971</v>
      </c>
      <c r="I398" s="304">
        <f t="shared" si="8"/>
        <v>1198957.5573881266</v>
      </c>
      <c r="J398" s="73"/>
      <c r="K398" s="48"/>
      <c r="L398" s="48"/>
      <c r="M398" s="14"/>
      <c r="N398" s="48"/>
    </row>
    <row r="399" spans="1:14" x14ac:dyDescent="0.25">
      <c r="A399" s="303" t="s">
        <v>492</v>
      </c>
      <c r="B399" s="303" t="s">
        <v>192</v>
      </c>
      <c r="C399" s="304" t="s">
        <v>443</v>
      </c>
      <c r="D399" s="304" t="s">
        <v>444</v>
      </c>
      <c r="E399" s="304">
        <v>52200</v>
      </c>
      <c r="F399" s="304">
        <v>16930</v>
      </c>
      <c r="G399" s="304">
        <v>16030</v>
      </c>
      <c r="H399" s="304">
        <v>14751</v>
      </c>
      <c r="I399" s="304">
        <f t="shared" si="8"/>
        <v>3467067.3458450129</v>
      </c>
      <c r="J399" s="73"/>
      <c r="K399" s="48"/>
      <c r="L399" s="48"/>
      <c r="M399" s="14"/>
      <c r="N399" s="48"/>
    </row>
    <row r="400" spans="1:14" x14ac:dyDescent="0.25">
      <c r="A400" s="303" t="s">
        <v>492</v>
      </c>
      <c r="B400" s="303" t="s">
        <v>192</v>
      </c>
      <c r="C400" s="304" t="s">
        <v>443</v>
      </c>
      <c r="D400" s="304" t="s">
        <v>444</v>
      </c>
      <c r="E400" s="304">
        <v>15000</v>
      </c>
      <c r="F400" s="304">
        <v>9176</v>
      </c>
      <c r="G400" s="304">
        <v>11316</v>
      </c>
      <c r="H400" s="304">
        <v>11681</v>
      </c>
      <c r="I400" s="304">
        <f t="shared" si="8"/>
        <v>1720491.1360919459</v>
      </c>
      <c r="J400" s="73"/>
      <c r="K400" s="48"/>
      <c r="L400" s="48"/>
      <c r="M400" s="14"/>
      <c r="N400" s="48"/>
    </row>
    <row r="401" spans="1:14" x14ac:dyDescent="0.25">
      <c r="A401" s="303" t="s">
        <v>492</v>
      </c>
      <c r="B401" s="303" t="s">
        <v>192</v>
      </c>
      <c r="C401" s="304" t="s">
        <v>443</v>
      </c>
      <c r="D401" s="304" t="s">
        <v>444</v>
      </c>
      <c r="E401" s="304">
        <v>57000</v>
      </c>
      <c r="F401" s="304">
        <v>36764</v>
      </c>
      <c r="G401" s="304">
        <v>39532</v>
      </c>
      <c r="H401" s="304">
        <v>43764</v>
      </c>
      <c r="I401" s="304">
        <f t="shared" si="8"/>
        <v>4575098.678565613</v>
      </c>
      <c r="J401" s="73"/>
      <c r="K401" s="48"/>
      <c r="L401" s="48"/>
      <c r="M401" s="14"/>
      <c r="N401" s="48"/>
    </row>
    <row r="402" spans="1:14" x14ac:dyDescent="0.25">
      <c r="A402" s="303" t="s">
        <v>493</v>
      </c>
      <c r="B402" s="303" t="s">
        <v>194</v>
      </c>
      <c r="C402" s="304" t="s">
        <v>443</v>
      </c>
      <c r="D402" s="304" t="s">
        <v>444</v>
      </c>
      <c r="E402" s="304">
        <v>9000</v>
      </c>
      <c r="F402" s="304">
        <v>2100</v>
      </c>
      <c r="G402" s="304">
        <v>2540</v>
      </c>
      <c r="H402" s="304">
        <v>3944</v>
      </c>
      <c r="I402" s="304">
        <f t="shared" si="8"/>
        <v>1010299.4369247716</v>
      </c>
      <c r="J402" s="73"/>
      <c r="K402" s="48"/>
      <c r="L402" s="48"/>
      <c r="M402" s="14"/>
      <c r="N402" s="48"/>
    </row>
    <row r="403" spans="1:14" x14ac:dyDescent="0.25">
      <c r="A403" s="303" t="s">
        <v>493</v>
      </c>
      <c r="B403" s="303" t="s">
        <v>194</v>
      </c>
      <c r="C403" s="304" t="s">
        <v>443</v>
      </c>
      <c r="D403" s="304" t="s">
        <v>444</v>
      </c>
      <c r="E403" s="304">
        <v>25000</v>
      </c>
      <c r="F403" s="304">
        <v>9036</v>
      </c>
      <c r="G403" s="304">
        <v>11763</v>
      </c>
      <c r="H403" s="304">
        <v>10845</v>
      </c>
      <c r="I403" s="304">
        <f t="shared" si="8"/>
        <v>2178262.158117278</v>
      </c>
      <c r="J403" s="73"/>
      <c r="K403" s="48"/>
      <c r="L403" s="48"/>
      <c r="M403" s="14"/>
      <c r="N403" s="48"/>
    </row>
    <row r="404" spans="1:14" x14ac:dyDescent="0.25">
      <c r="A404" s="303" t="s">
        <v>493</v>
      </c>
      <c r="B404" s="303" t="s">
        <v>194</v>
      </c>
      <c r="C404" s="304" t="s">
        <v>443</v>
      </c>
      <c r="D404" s="304" t="s">
        <v>444</v>
      </c>
      <c r="E404" s="304">
        <v>5000</v>
      </c>
      <c r="F404" s="304">
        <v>1508</v>
      </c>
      <c r="G404" s="304">
        <v>2137</v>
      </c>
      <c r="H404" s="304">
        <v>2114</v>
      </c>
      <c r="I404" s="304">
        <f t="shared" si="8"/>
        <v>651861.36934694659</v>
      </c>
      <c r="J404" s="73"/>
      <c r="K404" s="48"/>
      <c r="L404" s="48"/>
      <c r="M404" s="14"/>
      <c r="N404" s="48"/>
    </row>
    <row r="405" spans="1:14" x14ac:dyDescent="0.25">
      <c r="A405" s="303" t="s">
        <v>493</v>
      </c>
      <c r="B405" s="303" t="s">
        <v>194</v>
      </c>
      <c r="C405" s="304" t="s">
        <v>446</v>
      </c>
      <c r="D405" s="304" t="s">
        <v>444</v>
      </c>
      <c r="E405" s="304">
        <v>130000</v>
      </c>
      <c r="F405" s="304">
        <v>14199</v>
      </c>
      <c r="G405" s="304">
        <v>14960</v>
      </c>
      <c r="H405" s="304">
        <v>12171</v>
      </c>
      <c r="I405" s="304">
        <f t="shared" si="8"/>
        <v>6846203.8268582504</v>
      </c>
      <c r="J405" s="73"/>
      <c r="K405" s="48"/>
      <c r="L405" s="48"/>
      <c r="M405" s="14"/>
      <c r="N405" s="48"/>
    </row>
    <row r="406" spans="1:14" x14ac:dyDescent="0.25">
      <c r="A406" s="303" t="s">
        <v>493</v>
      </c>
      <c r="B406" s="303" t="s">
        <v>194</v>
      </c>
      <c r="C406" s="304" t="s">
        <v>446</v>
      </c>
      <c r="D406" s="304" t="s">
        <v>444</v>
      </c>
      <c r="E406" s="304">
        <v>130000</v>
      </c>
      <c r="F406" s="304">
        <v>82646</v>
      </c>
      <c r="G406" s="304">
        <v>86158</v>
      </c>
      <c r="H406" s="304">
        <v>57010</v>
      </c>
      <c r="I406" s="304">
        <f t="shared" si="8"/>
        <v>9186770.1551227421</v>
      </c>
      <c r="J406" s="73"/>
      <c r="K406" s="48"/>
      <c r="L406" s="48"/>
      <c r="M406" s="14"/>
      <c r="N406" s="48"/>
    </row>
    <row r="407" spans="1:14" x14ac:dyDescent="0.25">
      <c r="A407" s="303" t="s">
        <v>494</v>
      </c>
      <c r="B407" s="303" t="s">
        <v>198</v>
      </c>
      <c r="C407" s="304" t="s">
        <v>443</v>
      </c>
      <c r="D407" s="304" t="s">
        <v>447</v>
      </c>
      <c r="E407" s="304">
        <v>2600</v>
      </c>
      <c r="F407" s="304">
        <v>1235</v>
      </c>
      <c r="G407" s="304">
        <v>1344</v>
      </c>
      <c r="H407" s="304">
        <v>2110</v>
      </c>
      <c r="I407" s="304">
        <f t="shared" si="8"/>
        <v>427078.63946905907</v>
      </c>
      <c r="J407" s="73"/>
      <c r="K407" s="48"/>
      <c r="L407" s="48"/>
      <c r="M407" s="14"/>
      <c r="N407" s="48"/>
    </row>
    <row r="408" spans="1:14" x14ac:dyDescent="0.25">
      <c r="A408" s="303" t="s">
        <v>494</v>
      </c>
      <c r="B408" s="303" t="s">
        <v>198</v>
      </c>
      <c r="C408" s="304" t="s">
        <v>443</v>
      </c>
      <c r="D408" s="304" t="s">
        <v>445</v>
      </c>
      <c r="E408" s="304">
        <v>800</v>
      </c>
      <c r="F408" s="304">
        <v>180</v>
      </c>
      <c r="G408" s="304">
        <v>273</v>
      </c>
      <c r="H408" s="304">
        <v>737</v>
      </c>
      <c r="I408" s="304">
        <f t="shared" si="8"/>
        <v>211175.82392910894</v>
      </c>
      <c r="J408" s="73"/>
      <c r="K408" s="48"/>
      <c r="L408" s="48"/>
      <c r="M408" s="14"/>
      <c r="N408" s="48"/>
    </row>
    <row r="409" spans="1:14" x14ac:dyDescent="0.25">
      <c r="A409" s="303" t="s">
        <v>494</v>
      </c>
      <c r="B409" s="303" t="s">
        <v>198</v>
      </c>
      <c r="C409" s="304" t="s">
        <v>443</v>
      </c>
      <c r="D409" s="304" t="s">
        <v>445</v>
      </c>
      <c r="E409" s="304">
        <v>450</v>
      </c>
      <c r="F409" s="304">
        <v>211</v>
      </c>
      <c r="G409" s="304">
        <v>286</v>
      </c>
      <c r="H409" s="304">
        <v>366</v>
      </c>
      <c r="I409" s="304">
        <f t="shared" si="8"/>
        <v>141810.02803577352</v>
      </c>
      <c r="J409" s="73"/>
      <c r="K409" s="48"/>
      <c r="L409" s="48"/>
      <c r="M409" s="14"/>
      <c r="N409" s="48"/>
    </row>
    <row r="410" spans="1:14" x14ac:dyDescent="0.25">
      <c r="A410" s="303" t="s">
        <v>494</v>
      </c>
      <c r="B410" s="303" t="s">
        <v>198</v>
      </c>
      <c r="C410" s="304" t="s">
        <v>443</v>
      </c>
      <c r="D410" s="304" t="s">
        <v>445</v>
      </c>
      <c r="E410" s="304">
        <v>600</v>
      </c>
      <c r="F410" s="304">
        <v>61</v>
      </c>
      <c r="G410" s="304">
        <v>112</v>
      </c>
      <c r="H410" s="304">
        <v>133</v>
      </c>
      <c r="I410" s="304">
        <f t="shared" si="8"/>
        <v>132558.90003945577</v>
      </c>
      <c r="J410" s="73"/>
      <c r="K410" s="48"/>
      <c r="L410" s="48"/>
      <c r="M410" s="14"/>
      <c r="N410" s="48"/>
    </row>
    <row r="411" spans="1:14" x14ac:dyDescent="0.25">
      <c r="A411" s="303" t="s">
        <v>494</v>
      </c>
      <c r="B411" s="303" t="s">
        <v>198</v>
      </c>
      <c r="C411" s="304" t="s">
        <v>446</v>
      </c>
      <c r="D411" s="304" t="s">
        <v>444</v>
      </c>
      <c r="E411" s="304">
        <v>27500</v>
      </c>
      <c r="F411" s="304">
        <v>23791</v>
      </c>
      <c r="G411" s="304">
        <v>21375</v>
      </c>
      <c r="H411" s="304">
        <v>19581</v>
      </c>
      <c r="I411" s="304">
        <f t="shared" si="8"/>
        <v>3186848.8279197565</v>
      </c>
      <c r="J411" s="73"/>
      <c r="K411" s="48"/>
      <c r="L411" s="48"/>
      <c r="M411" s="14"/>
      <c r="N411" s="48"/>
    </row>
    <row r="412" spans="1:14" x14ac:dyDescent="0.25">
      <c r="A412" s="303" t="s">
        <v>494</v>
      </c>
      <c r="B412" s="303" t="s">
        <v>198</v>
      </c>
      <c r="C412" s="304" t="s">
        <v>443</v>
      </c>
      <c r="D412" s="304" t="s">
        <v>448</v>
      </c>
      <c r="E412" s="304">
        <v>4500</v>
      </c>
      <c r="F412" s="304">
        <v>938</v>
      </c>
      <c r="G412" s="304">
        <v>1727</v>
      </c>
      <c r="H412" s="304">
        <v>1577</v>
      </c>
      <c r="I412" s="304">
        <f t="shared" si="8"/>
        <v>589599.26977278595</v>
      </c>
      <c r="J412" s="73"/>
      <c r="K412" s="48"/>
      <c r="L412" s="48"/>
      <c r="M412" s="14"/>
      <c r="N412" s="48"/>
    </row>
    <row r="413" spans="1:14" x14ac:dyDescent="0.25">
      <c r="A413" s="303" t="s">
        <v>494</v>
      </c>
      <c r="B413" s="303" t="s">
        <v>198</v>
      </c>
      <c r="C413" s="304" t="s">
        <v>443</v>
      </c>
      <c r="D413" s="304" t="s">
        <v>448</v>
      </c>
      <c r="E413" s="304">
        <v>15000</v>
      </c>
      <c r="F413" s="304">
        <v>5927</v>
      </c>
      <c r="G413" s="304">
        <v>7119</v>
      </c>
      <c r="H413" s="304">
        <v>8880</v>
      </c>
      <c r="I413" s="304">
        <f t="shared" si="8"/>
        <v>1585626.7107421816</v>
      </c>
      <c r="J413" s="73"/>
      <c r="K413" s="48"/>
      <c r="L413" s="48"/>
      <c r="M413" s="14"/>
      <c r="N413" s="48"/>
    </row>
    <row r="414" spans="1:14" x14ac:dyDescent="0.25">
      <c r="A414" s="303" t="s">
        <v>494</v>
      </c>
      <c r="B414" s="303" t="s">
        <v>198</v>
      </c>
      <c r="C414" s="304" t="s">
        <v>446</v>
      </c>
      <c r="D414" s="304" t="s">
        <v>448</v>
      </c>
      <c r="E414" s="304">
        <v>4500</v>
      </c>
      <c r="F414" s="304">
        <v>898</v>
      </c>
      <c r="G414" s="304">
        <v>1186</v>
      </c>
      <c r="H414" s="304">
        <v>1168</v>
      </c>
      <c r="I414" s="304">
        <f t="shared" si="8"/>
        <v>631406.44376162288</v>
      </c>
      <c r="J414" s="73"/>
      <c r="K414" s="48"/>
      <c r="L414" s="48"/>
      <c r="M414" s="14"/>
      <c r="N414" s="48"/>
    </row>
    <row r="415" spans="1:14" x14ac:dyDescent="0.25">
      <c r="A415" s="303" t="s">
        <v>494</v>
      </c>
      <c r="B415" s="303" t="s">
        <v>198</v>
      </c>
      <c r="C415" s="304" t="s">
        <v>443</v>
      </c>
      <c r="D415" s="304" t="s">
        <v>445</v>
      </c>
      <c r="E415" s="304">
        <v>120</v>
      </c>
      <c r="F415" s="304">
        <v>47</v>
      </c>
      <c r="G415" s="304">
        <v>65</v>
      </c>
      <c r="H415" s="304">
        <v>89</v>
      </c>
      <c r="I415" s="304">
        <f t="shared" si="8"/>
        <v>60212.270135618754</v>
      </c>
      <c r="J415" s="73"/>
      <c r="K415" s="48"/>
      <c r="L415" s="48"/>
      <c r="M415" s="14"/>
      <c r="N415" s="48"/>
    </row>
    <row r="416" spans="1:14" x14ac:dyDescent="0.25">
      <c r="A416" s="303" t="s">
        <v>494</v>
      </c>
      <c r="B416" s="303" t="s">
        <v>198</v>
      </c>
      <c r="C416" s="304" t="s">
        <v>443</v>
      </c>
      <c r="D416" s="304" t="s">
        <v>445</v>
      </c>
      <c r="E416" s="304">
        <v>2200</v>
      </c>
      <c r="F416" s="304">
        <v>627</v>
      </c>
      <c r="G416" s="304">
        <v>747</v>
      </c>
      <c r="H416" s="304">
        <v>802</v>
      </c>
      <c r="I416" s="304">
        <f t="shared" si="8"/>
        <v>321727.79587464692</v>
      </c>
      <c r="J416" s="73"/>
      <c r="K416" s="48"/>
      <c r="L416" s="48"/>
      <c r="M416" s="14"/>
      <c r="N416" s="48"/>
    </row>
    <row r="417" spans="1:14" x14ac:dyDescent="0.25">
      <c r="A417" s="303" t="s">
        <v>494</v>
      </c>
      <c r="B417" s="303" t="s">
        <v>198</v>
      </c>
      <c r="C417" s="304" t="s">
        <v>443</v>
      </c>
      <c r="D417" s="304" t="s">
        <v>449</v>
      </c>
      <c r="E417" s="304">
        <v>900</v>
      </c>
      <c r="F417" s="304">
        <v>51</v>
      </c>
      <c r="G417" s="304">
        <v>63</v>
      </c>
      <c r="H417" s="304">
        <v>120</v>
      </c>
      <c r="I417" s="304">
        <f t="shared" si="8"/>
        <v>163175.0107814642</v>
      </c>
      <c r="J417" s="73"/>
      <c r="K417" s="48"/>
      <c r="L417" s="48"/>
      <c r="M417" s="14"/>
      <c r="N417" s="48"/>
    </row>
    <row r="418" spans="1:14" x14ac:dyDescent="0.25">
      <c r="A418" s="303" t="s">
        <v>494</v>
      </c>
      <c r="B418" s="303" t="s">
        <v>198</v>
      </c>
      <c r="C418" s="304" t="s">
        <v>443</v>
      </c>
      <c r="D418" s="304" t="s">
        <v>445</v>
      </c>
      <c r="E418" s="304">
        <v>730</v>
      </c>
      <c r="F418" s="304">
        <v>400</v>
      </c>
      <c r="G418" s="304">
        <v>673</v>
      </c>
      <c r="H418" s="304">
        <v>673</v>
      </c>
      <c r="I418" s="304">
        <f t="shared" si="8"/>
        <v>199402.02818439601</v>
      </c>
      <c r="J418" s="73"/>
      <c r="K418" s="48"/>
      <c r="L418" s="48"/>
      <c r="M418" s="14"/>
      <c r="N418" s="48"/>
    </row>
    <row r="419" spans="1:14" x14ac:dyDescent="0.25">
      <c r="A419" s="303" t="s">
        <v>494</v>
      </c>
      <c r="B419" s="303" t="s">
        <v>198</v>
      </c>
      <c r="C419" s="304" t="s">
        <v>443</v>
      </c>
      <c r="D419" s="304" t="s">
        <v>447</v>
      </c>
      <c r="E419" s="304">
        <v>400</v>
      </c>
      <c r="F419" s="304">
        <v>166</v>
      </c>
      <c r="G419" s="304">
        <v>232</v>
      </c>
      <c r="H419" s="304">
        <v>305</v>
      </c>
      <c r="I419" s="304">
        <f t="shared" si="8"/>
        <v>129351.40124222927</v>
      </c>
      <c r="J419" s="73"/>
      <c r="K419" s="48"/>
      <c r="L419" s="48"/>
      <c r="M419" s="14"/>
      <c r="N419" s="48"/>
    </row>
    <row r="420" spans="1:14" x14ac:dyDescent="0.25">
      <c r="A420" s="303" t="s">
        <v>494</v>
      </c>
      <c r="B420" s="303" t="s">
        <v>198</v>
      </c>
      <c r="C420" s="304" t="s">
        <v>446</v>
      </c>
      <c r="D420" s="304" t="s">
        <v>448</v>
      </c>
      <c r="E420" s="304">
        <v>5000</v>
      </c>
      <c r="F420" s="304">
        <v>2951</v>
      </c>
      <c r="G420" s="304">
        <v>4754</v>
      </c>
      <c r="H420" s="304">
        <v>4247</v>
      </c>
      <c r="I420" s="304">
        <f t="shared" si="8"/>
        <v>939311.56418136088</v>
      </c>
      <c r="J420" s="73"/>
      <c r="K420" s="48"/>
      <c r="L420" s="48"/>
      <c r="M420" s="14"/>
      <c r="N420" s="48"/>
    </row>
    <row r="421" spans="1:14" x14ac:dyDescent="0.25">
      <c r="A421" s="303" t="s">
        <v>494</v>
      </c>
      <c r="B421" s="303" t="s">
        <v>198</v>
      </c>
      <c r="C421" s="304" t="s">
        <v>443</v>
      </c>
      <c r="D421" s="304" t="s">
        <v>447</v>
      </c>
      <c r="E421" s="304">
        <v>750</v>
      </c>
      <c r="F421" s="304">
        <v>592</v>
      </c>
      <c r="G421" s="304">
        <v>829</v>
      </c>
      <c r="H421" s="304">
        <v>523</v>
      </c>
      <c r="I421" s="304">
        <f t="shared" si="8"/>
        <v>214786.76829076369</v>
      </c>
      <c r="J421" s="73"/>
      <c r="K421" s="48"/>
      <c r="L421" s="48"/>
      <c r="M421" s="14"/>
      <c r="N421" s="48"/>
    </row>
    <row r="422" spans="1:14" x14ac:dyDescent="0.25">
      <c r="A422" s="303" t="s">
        <v>494</v>
      </c>
      <c r="B422" s="303" t="s">
        <v>198</v>
      </c>
      <c r="C422" s="304" t="s">
        <v>443</v>
      </c>
      <c r="D422" s="304" t="s">
        <v>447</v>
      </c>
      <c r="E422" s="304">
        <v>2800</v>
      </c>
      <c r="F422" s="304">
        <v>677</v>
      </c>
      <c r="G422" s="304">
        <v>845</v>
      </c>
      <c r="H422" s="304">
        <v>1274</v>
      </c>
      <c r="I422" s="304">
        <f t="shared" si="8"/>
        <v>389840.7415230872</v>
      </c>
      <c r="J422" s="73"/>
      <c r="K422" s="48"/>
      <c r="L422" s="48"/>
      <c r="M422" s="14"/>
      <c r="N422" s="48"/>
    </row>
    <row r="423" spans="1:14" x14ac:dyDescent="0.25">
      <c r="A423" s="303" t="s">
        <v>494</v>
      </c>
      <c r="B423" s="303" t="s">
        <v>198</v>
      </c>
      <c r="C423" s="304" t="s">
        <v>443</v>
      </c>
      <c r="D423" s="304" t="s">
        <v>444</v>
      </c>
      <c r="E423" s="304">
        <v>6700</v>
      </c>
      <c r="F423" s="304">
        <v>3811</v>
      </c>
      <c r="G423" s="304">
        <v>6438</v>
      </c>
      <c r="H423" s="304">
        <v>4287</v>
      </c>
      <c r="I423" s="304">
        <f t="shared" si="8"/>
        <v>1021422.0414602249</v>
      </c>
      <c r="J423" s="73"/>
      <c r="K423" s="48"/>
      <c r="L423" s="48"/>
      <c r="M423" s="14"/>
      <c r="N423" s="48"/>
    </row>
    <row r="424" spans="1:14" x14ac:dyDescent="0.25">
      <c r="A424" s="303" t="s">
        <v>495</v>
      </c>
      <c r="B424" s="303" t="s">
        <v>200</v>
      </c>
      <c r="C424" s="304" t="s">
        <v>446</v>
      </c>
      <c r="D424" s="304" t="s">
        <v>444</v>
      </c>
      <c r="E424" s="304">
        <v>71500</v>
      </c>
      <c r="F424" s="304">
        <v>35013</v>
      </c>
      <c r="G424" s="304">
        <v>39227</v>
      </c>
      <c r="H424" s="304">
        <v>47588</v>
      </c>
      <c r="I424" s="304">
        <f t="shared" si="8"/>
        <v>5923931.3006967157</v>
      </c>
      <c r="J424" s="73"/>
      <c r="K424" s="48"/>
      <c r="L424" s="48"/>
      <c r="M424" s="14"/>
      <c r="N424" s="48"/>
    </row>
    <row r="425" spans="1:14" x14ac:dyDescent="0.25">
      <c r="A425" s="303" t="s">
        <v>496</v>
      </c>
      <c r="B425" s="303" t="s">
        <v>202</v>
      </c>
      <c r="C425" s="304" t="s">
        <v>443</v>
      </c>
      <c r="D425" s="304" t="s">
        <v>448</v>
      </c>
      <c r="E425" s="304">
        <v>7500</v>
      </c>
      <c r="F425" s="304">
        <v>1994</v>
      </c>
      <c r="G425" s="304">
        <v>2698</v>
      </c>
      <c r="H425" s="304">
        <v>2445</v>
      </c>
      <c r="I425" s="304">
        <f t="shared" si="8"/>
        <v>847685.46677404235</v>
      </c>
      <c r="J425" s="73"/>
      <c r="K425" s="48"/>
      <c r="L425" s="48"/>
      <c r="M425" s="14"/>
      <c r="N425" s="48"/>
    </row>
    <row r="426" spans="1:14" x14ac:dyDescent="0.25">
      <c r="A426" s="303" t="s">
        <v>496</v>
      </c>
      <c r="B426" s="303" t="s">
        <v>202</v>
      </c>
      <c r="C426" s="304" t="s">
        <v>443</v>
      </c>
      <c r="D426" s="304" t="s">
        <v>444</v>
      </c>
      <c r="E426" s="304">
        <v>30000</v>
      </c>
      <c r="F426" s="304">
        <v>14099</v>
      </c>
      <c r="G426" s="304">
        <v>14865</v>
      </c>
      <c r="H426" s="304">
        <v>12671</v>
      </c>
      <c r="I426" s="304">
        <f t="shared" si="8"/>
        <v>2522154.8006046498</v>
      </c>
      <c r="J426" s="73"/>
      <c r="K426" s="48"/>
      <c r="L426" s="48"/>
      <c r="M426" s="14"/>
      <c r="N426" s="48"/>
    </row>
    <row r="427" spans="1:14" x14ac:dyDescent="0.25">
      <c r="A427" s="303" t="s">
        <v>496</v>
      </c>
      <c r="B427" s="303" t="s">
        <v>202</v>
      </c>
      <c r="C427" s="304" t="s">
        <v>443</v>
      </c>
      <c r="D427" s="304" t="s">
        <v>444</v>
      </c>
      <c r="E427" s="304">
        <v>12500</v>
      </c>
      <c r="F427" s="304">
        <v>12511</v>
      </c>
      <c r="G427" s="304">
        <v>11321</v>
      </c>
      <c r="H427" s="304">
        <v>13500</v>
      </c>
      <c r="I427" s="304">
        <f t="shared" si="8"/>
        <v>1688060.7652688301</v>
      </c>
      <c r="J427" s="73"/>
      <c r="K427" s="48"/>
      <c r="L427" s="48"/>
      <c r="M427" s="14"/>
      <c r="N427" s="48"/>
    </row>
    <row r="428" spans="1:14" x14ac:dyDescent="0.25">
      <c r="A428" s="303" t="s">
        <v>496</v>
      </c>
      <c r="B428" s="303" t="s">
        <v>202</v>
      </c>
      <c r="C428" s="304" t="s">
        <v>446</v>
      </c>
      <c r="D428" s="304" t="s">
        <v>444</v>
      </c>
      <c r="E428" s="304">
        <v>410000</v>
      </c>
      <c r="F428" s="304">
        <v>208094</v>
      </c>
      <c r="G428" s="304">
        <v>232271</v>
      </c>
      <c r="H428" s="304">
        <v>157011</v>
      </c>
      <c r="I428" s="304">
        <f t="shared" si="8"/>
        <v>20476316.916924383</v>
      </c>
      <c r="J428" s="73"/>
      <c r="K428" s="48"/>
      <c r="L428" s="48"/>
      <c r="M428" s="14"/>
      <c r="N428" s="48"/>
    </row>
    <row r="429" spans="1:14" x14ac:dyDescent="0.25">
      <c r="A429" s="303" t="s">
        <v>496</v>
      </c>
      <c r="B429" s="303" t="s">
        <v>202</v>
      </c>
      <c r="C429" s="304" t="s">
        <v>443</v>
      </c>
      <c r="D429" s="304" t="s">
        <v>448</v>
      </c>
      <c r="E429" s="304">
        <v>3200</v>
      </c>
      <c r="F429" s="304">
        <v>879</v>
      </c>
      <c r="G429" s="304">
        <v>1010</v>
      </c>
      <c r="H429" s="304">
        <v>1539</v>
      </c>
      <c r="I429" s="304">
        <f t="shared" si="8"/>
        <v>482250.96949594066</v>
      </c>
      <c r="J429" s="73"/>
      <c r="K429" s="48"/>
      <c r="L429" s="48"/>
      <c r="M429" s="14"/>
      <c r="N429" s="48"/>
    </row>
    <row r="430" spans="1:14" x14ac:dyDescent="0.25">
      <c r="A430" s="303" t="s">
        <v>496</v>
      </c>
      <c r="B430" s="303" t="s">
        <v>202</v>
      </c>
      <c r="C430" s="304" t="s">
        <v>443</v>
      </c>
      <c r="D430" s="304" t="s">
        <v>444</v>
      </c>
      <c r="E430" s="304">
        <v>75000</v>
      </c>
      <c r="F430" s="304">
        <v>44414</v>
      </c>
      <c r="G430" s="304">
        <v>52412</v>
      </c>
      <c r="H430" s="304">
        <v>52472</v>
      </c>
      <c r="I430" s="304">
        <f t="shared" si="8"/>
        <v>5439424.893352773</v>
      </c>
      <c r="J430" s="73"/>
      <c r="K430" s="48"/>
      <c r="L430" s="48"/>
      <c r="M430" s="14"/>
      <c r="N430" s="48"/>
    </row>
    <row r="431" spans="1:14" x14ac:dyDescent="0.25">
      <c r="A431" s="303" t="s">
        <v>496</v>
      </c>
      <c r="B431" s="303" t="s">
        <v>202</v>
      </c>
      <c r="C431" s="304" t="s">
        <v>443</v>
      </c>
      <c r="D431" s="304" t="s">
        <v>448</v>
      </c>
      <c r="E431" s="304">
        <v>9500</v>
      </c>
      <c r="F431" s="304">
        <v>7431</v>
      </c>
      <c r="G431" s="304">
        <v>8560</v>
      </c>
      <c r="H431" s="304">
        <v>8207</v>
      </c>
      <c r="I431" s="304">
        <f t="shared" si="8"/>
        <v>1290957.5234154989</v>
      </c>
      <c r="J431" s="73"/>
      <c r="K431" s="48"/>
      <c r="L431" s="48"/>
      <c r="M431" s="14"/>
      <c r="N431" s="48"/>
    </row>
    <row r="432" spans="1:14" x14ac:dyDescent="0.25">
      <c r="A432" s="303" t="s">
        <v>496</v>
      </c>
      <c r="B432" s="303" t="s">
        <v>202</v>
      </c>
      <c r="C432" s="304" t="s">
        <v>443</v>
      </c>
      <c r="D432" s="304" t="s">
        <v>444</v>
      </c>
      <c r="E432" s="304">
        <v>37000</v>
      </c>
      <c r="F432" s="304">
        <v>22300</v>
      </c>
      <c r="G432" s="304">
        <v>24443</v>
      </c>
      <c r="H432" s="304">
        <v>20669</v>
      </c>
      <c r="I432" s="304">
        <f t="shared" si="8"/>
        <v>3178947.7313238797</v>
      </c>
      <c r="J432" s="73"/>
      <c r="K432" s="48"/>
      <c r="L432" s="48"/>
      <c r="M432" s="14"/>
      <c r="N432" s="48"/>
    </row>
    <row r="433" spans="1:14" x14ac:dyDescent="0.25">
      <c r="A433" s="303" t="s">
        <v>497</v>
      </c>
      <c r="B433" s="303" t="s">
        <v>204</v>
      </c>
      <c r="C433" s="304" t="s">
        <v>443</v>
      </c>
      <c r="D433" s="304" t="s">
        <v>445</v>
      </c>
      <c r="E433" s="304">
        <v>0</v>
      </c>
      <c r="F433" s="304">
        <v>0</v>
      </c>
      <c r="G433" s="304">
        <v>0</v>
      </c>
      <c r="H433" s="304">
        <v>0</v>
      </c>
      <c r="I433" s="304">
        <f t="shared" si="8"/>
        <v>0</v>
      </c>
      <c r="J433" s="73"/>
      <c r="K433" s="48"/>
      <c r="L433" s="48"/>
      <c r="M433" s="14"/>
      <c r="N433" s="48"/>
    </row>
    <row r="434" spans="1:14" x14ac:dyDescent="0.25">
      <c r="A434" s="303" t="s">
        <v>497</v>
      </c>
      <c r="B434" s="303" t="s">
        <v>204</v>
      </c>
      <c r="C434" s="304" t="s">
        <v>443</v>
      </c>
      <c r="D434" s="304" t="s">
        <v>444</v>
      </c>
      <c r="E434" s="304">
        <v>27000</v>
      </c>
      <c r="F434" s="304">
        <v>12369</v>
      </c>
      <c r="G434" s="304">
        <v>12004</v>
      </c>
      <c r="H434" s="304">
        <v>4308</v>
      </c>
      <c r="I434" s="304">
        <f t="shared" si="8"/>
        <v>2290874.6056045434</v>
      </c>
      <c r="J434" s="73"/>
      <c r="K434" s="48"/>
      <c r="L434" s="48"/>
      <c r="M434" s="14"/>
      <c r="N434" s="48"/>
    </row>
    <row r="435" spans="1:14" x14ac:dyDescent="0.25">
      <c r="A435" s="303" t="s">
        <v>497</v>
      </c>
      <c r="B435" s="303" t="s">
        <v>204</v>
      </c>
      <c r="C435" s="304" t="s">
        <v>443</v>
      </c>
      <c r="D435" s="304" t="s">
        <v>444</v>
      </c>
      <c r="E435" s="304">
        <v>28000</v>
      </c>
      <c r="F435" s="304">
        <v>33526</v>
      </c>
      <c r="G435" s="304">
        <v>31141</v>
      </c>
      <c r="H435" s="304">
        <v>8841</v>
      </c>
      <c r="I435" s="304">
        <f t="shared" si="8"/>
        <v>3182107.7487608939</v>
      </c>
      <c r="J435" s="73"/>
      <c r="K435" s="48"/>
      <c r="L435" s="48"/>
      <c r="M435" s="14"/>
      <c r="N435" s="48"/>
    </row>
    <row r="436" spans="1:14" x14ac:dyDescent="0.25">
      <c r="A436" s="303" t="s">
        <v>497</v>
      </c>
      <c r="B436" s="303" t="s">
        <v>204</v>
      </c>
      <c r="C436" s="304" t="s">
        <v>443</v>
      </c>
      <c r="D436" s="304" t="s">
        <v>445</v>
      </c>
      <c r="E436" s="304">
        <v>1000</v>
      </c>
      <c r="F436" s="304">
        <v>123</v>
      </c>
      <c r="G436" s="304">
        <v>169</v>
      </c>
      <c r="H436" s="304">
        <v>35</v>
      </c>
      <c r="I436" s="304">
        <f t="shared" si="8"/>
        <v>177784.3581331576</v>
      </c>
      <c r="J436" s="73"/>
      <c r="K436" s="48"/>
      <c r="L436" s="48"/>
      <c r="M436" s="14"/>
      <c r="N436" s="48"/>
    </row>
    <row r="437" spans="1:14" x14ac:dyDescent="0.25">
      <c r="A437" s="303" t="s">
        <v>497</v>
      </c>
      <c r="B437" s="303" t="s">
        <v>204</v>
      </c>
      <c r="C437" s="304" t="s">
        <v>443</v>
      </c>
      <c r="D437" s="304" t="s">
        <v>444</v>
      </c>
      <c r="E437" s="304">
        <v>12400</v>
      </c>
      <c r="F437" s="304">
        <v>5489</v>
      </c>
      <c r="G437" s="304">
        <v>5910</v>
      </c>
      <c r="H437" s="304">
        <v>2256</v>
      </c>
      <c r="I437" s="304">
        <f t="shared" si="8"/>
        <v>1304086.2421260218</v>
      </c>
      <c r="J437" s="73"/>
      <c r="K437" s="48"/>
      <c r="L437" s="48"/>
      <c r="M437" s="14"/>
      <c r="N437" s="48"/>
    </row>
    <row r="438" spans="1:14" x14ac:dyDescent="0.25">
      <c r="A438" s="303" t="s">
        <v>497</v>
      </c>
      <c r="B438" s="303" t="s">
        <v>204</v>
      </c>
      <c r="C438" s="304" t="s">
        <v>443</v>
      </c>
      <c r="D438" s="304" t="s">
        <v>444</v>
      </c>
      <c r="E438" s="304">
        <v>18000</v>
      </c>
      <c r="F438" s="304">
        <v>13244</v>
      </c>
      <c r="G438" s="304">
        <v>14108</v>
      </c>
      <c r="H438" s="304">
        <v>5399</v>
      </c>
      <c r="I438" s="304">
        <f t="shared" si="8"/>
        <v>1971673.715939716</v>
      </c>
      <c r="J438" s="73"/>
      <c r="K438" s="48"/>
      <c r="L438" s="48"/>
      <c r="M438" s="14"/>
      <c r="N438" s="48"/>
    </row>
    <row r="439" spans="1:14" x14ac:dyDescent="0.25">
      <c r="A439" s="303" t="s">
        <v>498</v>
      </c>
      <c r="B439" s="303" t="s">
        <v>208</v>
      </c>
      <c r="C439" s="304" t="s">
        <v>443</v>
      </c>
      <c r="D439" s="304" t="s">
        <v>444</v>
      </c>
      <c r="E439" s="304">
        <v>3600</v>
      </c>
      <c r="F439" s="304">
        <v>430</v>
      </c>
      <c r="G439" s="304">
        <v>536</v>
      </c>
      <c r="H439" s="304">
        <v>625</v>
      </c>
      <c r="I439" s="304">
        <f t="shared" si="8"/>
        <v>443175.91779946891</v>
      </c>
      <c r="J439" s="73"/>
      <c r="K439" s="48"/>
      <c r="L439" s="48"/>
      <c r="M439" s="14"/>
      <c r="N439" s="48"/>
    </row>
    <row r="440" spans="1:14" x14ac:dyDescent="0.25">
      <c r="A440" s="303" t="s">
        <v>498</v>
      </c>
      <c r="B440" s="303" t="s">
        <v>208</v>
      </c>
      <c r="C440" s="304" t="s">
        <v>446</v>
      </c>
      <c r="D440" s="304" t="s">
        <v>444</v>
      </c>
      <c r="E440" s="304">
        <v>3400</v>
      </c>
      <c r="F440" s="304">
        <v>2335</v>
      </c>
      <c r="G440" s="304">
        <v>1923</v>
      </c>
      <c r="H440" s="304">
        <v>3790</v>
      </c>
      <c r="I440" s="304">
        <f t="shared" si="8"/>
        <v>750453.22367197031</v>
      </c>
      <c r="J440" s="73"/>
      <c r="K440" s="48"/>
      <c r="L440" s="48"/>
      <c r="M440" s="14"/>
      <c r="N440" s="48"/>
    </row>
    <row r="441" spans="1:14" x14ac:dyDescent="0.25">
      <c r="A441" s="303" t="s">
        <v>498</v>
      </c>
      <c r="B441" s="303" t="s">
        <v>208</v>
      </c>
      <c r="C441" s="304" t="s">
        <v>446</v>
      </c>
      <c r="D441" s="304" t="s">
        <v>444</v>
      </c>
      <c r="E441" s="304">
        <v>3150</v>
      </c>
      <c r="F441" s="304">
        <v>2203</v>
      </c>
      <c r="G441" s="304">
        <v>2377</v>
      </c>
      <c r="H441" s="304">
        <v>3737</v>
      </c>
      <c r="I441" s="304">
        <f t="shared" si="8"/>
        <v>727045.02208025241</v>
      </c>
      <c r="J441" s="73"/>
      <c r="K441" s="48"/>
      <c r="L441" s="48"/>
      <c r="M441" s="14"/>
      <c r="N441" s="48"/>
    </row>
    <row r="442" spans="1:14" x14ac:dyDescent="0.25">
      <c r="A442" s="303" t="s">
        <v>498</v>
      </c>
      <c r="B442" s="303" t="s">
        <v>208</v>
      </c>
      <c r="C442" s="304" t="s">
        <v>443</v>
      </c>
      <c r="D442" s="304" t="s">
        <v>444</v>
      </c>
      <c r="E442" s="304">
        <v>19600</v>
      </c>
      <c r="F442" s="304">
        <v>10517</v>
      </c>
      <c r="G442" s="304">
        <v>11260</v>
      </c>
      <c r="H442" s="304">
        <v>14955</v>
      </c>
      <c r="I442" s="304">
        <f t="shared" si="8"/>
        <v>2081189.9125353275</v>
      </c>
      <c r="J442" s="73"/>
      <c r="K442" s="48"/>
      <c r="L442" s="48"/>
      <c r="M442" s="14"/>
      <c r="N442" s="48"/>
    </row>
    <row r="443" spans="1:14" x14ac:dyDescent="0.25">
      <c r="A443" s="303" t="s">
        <v>498</v>
      </c>
      <c r="B443" s="303" t="s">
        <v>208</v>
      </c>
      <c r="C443" s="304" t="s">
        <v>443</v>
      </c>
      <c r="D443" s="304" t="s">
        <v>444</v>
      </c>
      <c r="E443" s="304">
        <v>24000</v>
      </c>
      <c r="F443" s="304">
        <v>8540</v>
      </c>
      <c r="G443" s="304">
        <v>9155</v>
      </c>
      <c r="H443" s="304">
        <v>13975</v>
      </c>
      <c r="I443" s="304">
        <f t="shared" si="8"/>
        <v>2230889.5016551516</v>
      </c>
      <c r="J443" s="73"/>
      <c r="K443" s="48"/>
      <c r="L443" s="48"/>
      <c r="M443" s="14"/>
      <c r="N443" s="48"/>
    </row>
    <row r="444" spans="1:14" x14ac:dyDescent="0.25">
      <c r="A444" s="303" t="s">
        <v>498</v>
      </c>
      <c r="B444" s="303" t="s">
        <v>208</v>
      </c>
      <c r="C444" s="304" t="s">
        <v>446</v>
      </c>
      <c r="D444" s="304" t="s">
        <v>444</v>
      </c>
      <c r="E444" s="304">
        <v>170000</v>
      </c>
      <c r="F444" s="304">
        <v>99644</v>
      </c>
      <c r="G444" s="304">
        <v>107836</v>
      </c>
      <c r="H444" s="304">
        <v>102677</v>
      </c>
      <c r="I444" s="304">
        <f t="shared" si="8"/>
        <v>11050947.438991455</v>
      </c>
      <c r="J444" s="73"/>
      <c r="K444" s="48"/>
      <c r="L444" s="48"/>
      <c r="M444" s="14"/>
      <c r="N444" s="48"/>
    </row>
    <row r="445" spans="1:14" x14ac:dyDescent="0.25">
      <c r="A445" s="303" t="s">
        <v>498</v>
      </c>
      <c r="B445" s="303" t="s">
        <v>208</v>
      </c>
      <c r="C445" s="304" t="s">
        <v>446</v>
      </c>
      <c r="D445" s="304" t="s">
        <v>444</v>
      </c>
      <c r="E445" s="304">
        <v>42000</v>
      </c>
      <c r="F445" s="304">
        <v>21198</v>
      </c>
      <c r="G445" s="304">
        <v>22695</v>
      </c>
      <c r="H445" s="304">
        <v>12555</v>
      </c>
      <c r="I445" s="304">
        <f t="shared" si="8"/>
        <v>3780698.2132740086</v>
      </c>
      <c r="J445" s="73"/>
      <c r="K445" s="48"/>
      <c r="L445" s="48"/>
      <c r="M445" s="14"/>
      <c r="N445" s="48"/>
    </row>
    <row r="446" spans="1:14" x14ac:dyDescent="0.25">
      <c r="A446" s="303" t="s">
        <v>498</v>
      </c>
      <c r="B446" s="303" t="s">
        <v>208</v>
      </c>
      <c r="C446" s="304" t="s">
        <v>446</v>
      </c>
      <c r="D446" s="304" t="s">
        <v>444</v>
      </c>
      <c r="E446" s="304">
        <v>4500</v>
      </c>
      <c r="F446" s="304">
        <v>1684</v>
      </c>
      <c r="G446" s="304">
        <v>1504</v>
      </c>
      <c r="H446" s="304">
        <v>1672</v>
      </c>
      <c r="I446" s="304">
        <f t="shared" si="8"/>
        <v>671653.84013383312</v>
      </c>
      <c r="J446" s="73"/>
      <c r="K446" s="48"/>
      <c r="L446" s="48"/>
      <c r="M446" s="14"/>
      <c r="N446" s="48"/>
    </row>
    <row r="447" spans="1:14" x14ac:dyDescent="0.25">
      <c r="A447" s="303" t="s">
        <v>499</v>
      </c>
      <c r="B447" s="303" t="s">
        <v>210</v>
      </c>
      <c r="C447" s="304" t="s">
        <v>446</v>
      </c>
      <c r="D447" s="304" t="s">
        <v>444</v>
      </c>
      <c r="E447" s="304">
        <v>188000</v>
      </c>
      <c r="F447" s="304">
        <v>137163</v>
      </c>
      <c r="G447" s="304">
        <v>109632</v>
      </c>
      <c r="H447" s="304">
        <v>65233</v>
      </c>
      <c r="I447" s="304">
        <f t="shared" si="8"/>
        <v>12407308.75666414</v>
      </c>
      <c r="J447" s="73"/>
      <c r="K447" s="48"/>
      <c r="L447" s="48"/>
      <c r="M447" s="14"/>
      <c r="N447" s="48"/>
    </row>
    <row r="448" spans="1:14" x14ac:dyDescent="0.25">
      <c r="A448" s="303" t="s">
        <v>499</v>
      </c>
      <c r="B448" s="303" t="s">
        <v>210</v>
      </c>
      <c r="C448" s="304" t="s">
        <v>443</v>
      </c>
      <c r="D448" s="304" t="s">
        <v>444</v>
      </c>
      <c r="E448" s="304">
        <v>2500</v>
      </c>
      <c r="F448" s="304">
        <v>372</v>
      </c>
      <c r="G448" s="304">
        <v>450</v>
      </c>
      <c r="H448" s="304">
        <v>560</v>
      </c>
      <c r="I448" s="304">
        <f t="shared" si="8"/>
        <v>349509.23998715833</v>
      </c>
      <c r="J448" s="73"/>
      <c r="K448" s="48"/>
      <c r="L448" s="48"/>
      <c r="M448" s="14"/>
      <c r="N448" s="48"/>
    </row>
    <row r="449" spans="1:14" x14ac:dyDescent="0.25">
      <c r="A449" s="303" t="s">
        <v>499</v>
      </c>
      <c r="B449" s="303" t="s">
        <v>210</v>
      </c>
      <c r="C449" s="304" t="s">
        <v>446</v>
      </c>
      <c r="D449" s="304" t="s">
        <v>444</v>
      </c>
      <c r="E449" s="304">
        <v>8500</v>
      </c>
      <c r="F449" s="304">
        <v>3111</v>
      </c>
      <c r="G449" s="304">
        <v>3772</v>
      </c>
      <c r="H449" s="304">
        <v>4078</v>
      </c>
      <c r="I449" s="304">
        <f t="shared" si="8"/>
        <v>1132622.7866406648</v>
      </c>
      <c r="J449" s="73"/>
      <c r="K449" s="48"/>
      <c r="L449" s="48"/>
      <c r="M449" s="14"/>
      <c r="N449" s="48"/>
    </row>
    <row r="450" spans="1:14" x14ac:dyDescent="0.25">
      <c r="A450" s="303" t="s">
        <v>499</v>
      </c>
      <c r="B450" s="303" t="s">
        <v>210</v>
      </c>
      <c r="C450" s="304" t="s">
        <v>446</v>
      </c>
      <c r="D450" s="304" t="s">
        <v>444</v>
      </c>
      <c r="E450" s="304">
        <v>15000</v>
      </c>
      <c r="F450" s="304">
        <v>6446</v>
      </c>
      <c r="G450" s="304">
        <v>6293</v>
      </c>
      <c r="H450" s="304">
        <v>7819</v>
      </c>
      <c r="I450" s="304">
        <f t="shared" si="8"/>
        <v>1755809.7969417633</v>
      </c>
      <c r="J450" s="73"/>
      <c r="K450" s="48"/>
      <c r="L450" s="48"/>
      <c r="M450" s="14"/>
      <c r="N450" s="48"/>
    </row>
    <row r="451" spans="1:14" x14ac:dyDescent="0.25">
      <c r="A451" s="303" t="s">
        <v>499</v>
      </c>
      <c r="B451" s="303" t="s">
        <v>210</v>
      </c>
      <c r="C451" s="304" t="s">
        <v>446</v>
      </c>
      <c r="D451" s="304" t="s">
        <v>444</v>
      </c>
      <c r="E451" s="304">
        <v>2700</v>
      </c>
      <c r="F451" s="304">
        <v>672</v>
      </c>
      <c r="G451" s="304">
        <v>876</v>
      </c>
      <c r="H451" s="304">
        <v>1171</v>
      </c>
      <c r="I451" s="304">
        <f t="shared" ref="I451:I481" si="9">IF(D451="M",(AVERAGE(E451,MAX(F451:H451))^0.519)*3203.7913,IF(OR(D451="MB",D451="MK",D451="MBK",D451="MBN"),(AVERAGE(E451,MAX(F451:H451))^0.6289)*3234.9142,IF(AND(C451="Landzone og sommerhusområde",OR(D451="MBNKD",D451="MBNK/MBND")),(AVERAGE(E451,MAX(F451:H451))^0.736)*1583.1635,IF(AND(C451="Byzone",OR(D451="MBNKD",D451="MBNK/MBND")),(AVERAGE(E451,MAX(F451:H451))^0.736)*1812.7138,0))))</f>
        <v>475783.10724688362</v>
      </c>
      <c r="J451" s="73"/>
      <c r="K451" s="48"/>
      <c r="L451" s="48"/>
      <c r="M451" s="14"/>
      <c r="N451" s="48"/>
    </row>
    <row r="452" spans="1:14" x14ac:dyDescent="0.25">
      <c r="A452" s="303" t="s">
        <v>499</v>
      </c>
      <c r="B452" s="303" t="s">
        <v>210</v>
      </c>
      <c r="C452" s="304" t="s">
        <v>443</v>
      </c>
      <c r="D452" s="304" t="s">
        <v>448</v>
      </c>
      <c r="E452" s="304">
        <v>445</v>
      </c>
      <c r="F452" s="304">
        <v>252</v>
      </c>
      <c r="G452" s="304">
        <v>302</v>
      </c>
      <c r="H452" s="304">
        <v>270</v>
      </c>
      <c r="I452" s="304">
        <f t="shared" si="9"/>
        <v>123803.13856570695</v>
      </c>
      <c r="J452" s="73"/>
      <c r="K452" s="48"/>
      <c r="L452" s="48"/>
      <c r="M452" s="14"/>
      <c r="N452" s="48"/>
    </row>
    <row r="453" spans="1:14" x14ac:dyDescent="0.25">
      <c r="A453" s="303" t="s">
        <v>500</v>
      </c>
      <c r="B453" s="303" t="s">
        <v>212</v>
      </c>
      <c r="C453" s="304" t="s">
        <v>446</v>
      </c>
      <c r="D453" s="304" t="s">
        <v>444</v>
      </c>
      <c r="E453" s="304">
        <v>73000</v>
      </c>
      <c r="F453" s="304">
        <v>28135</v>
      </c>
      <c r="G453" s="304">
        <v>25455</v>
      </c>
      <c r="H453" s="304">
        <v>33071</v>
      </c>
      <c r="I453" s="304">
        <f t="shared" si="9"/>
        <v>5440142.9072478125</v>
      </c>
      <c r="J453" s="73"/>
      <c r="K453" s="48"/>
      <c r="L453" s="48"/>
      <c r="M453" s="14"/>
      <c r="N453" s="48"/>
    </row>
    <row r="454" spans="1:14" x14ac:dyDescent="0.25">
      <c r="A454" s="303" t="s">
        <v>500</v>
      </c>
      <c r="B454" s="303" t="s">
        <v>212</v>
      </c>
      <c r="C454" s="304" t="s">
        <v>443</v>
      </c>
      <c r="D454" s="304" t="s">
        <v>444</v>
      </c>
      <c r="E454" s="304">
        <v>105000</v>
      </c>
      <c r="F454" s="304">
        <v>38179</v>
      </c>
      <c r="G454" s="304">
        <v>34783</v>
      </c>
      <c r="H454" s="304">
        <v>30357</v>
      </c>
      <c r="I454" s="304">
        <f t="shared" si="9"/>
        <v>5925088.9548176629</v>
      </c>
      <c r="J454" s="73"/>
      <c r="K454" s="48"/>
      <c r="L454" s="48"/>
      <c r="M454" s="14"/>
      <c r="N454" s="48"/>
    </row>
    <row r="455" spans="1:14" x14ac:dyDescent="0.25">
      <c r="A455" s="303" t="s">
        <v>500</v>
      </c>
      <c r="B455" s="303" t="s">
        <v>212</v>
      </c>
      <c r="C455" s="304" t="s">
        <v>443</v>
      </c>
      <c r="D455" s="304" t="s">
        <v>444</v>
      </c>
      <c r="E455" s="304">
        <v>20000</v>
      </c>
      <c r="F455" s="304">
        <v>13842</v>
      </c>
      <c r="G455" s="304">
        <v>17560</v>
      </c>
      <c r="H455" s="304">
        <v>16415</v>
      </c>
      <c r="I455" s="304">
        <f t="shared" si="9"/>
        <v>2212920.0378972115</v>
      </c>
      <c r="J455" s="73"/>
      <c r="K455" s="48"/>
      <c r="L455" s="48"/>
      <c r="M455" s="14"/>
      <c r="N455" s="48"/>
    </row>
    <row r="456" spans="1:14" x14ac:dyDescent="0.25">
      <c r="A456" s="303" t="s">
        <v>501</v>
      </c>
      <c r="B456" s="303" t="s">
        <v>214</v>
      </c>
      <c r="C456" s="304" t="s">
        <v>443</v>
      </c>
      <c r="D456" s="304" t="s">
        <v>444</v>
      </c>
      <c r="E456" s="304">
        <v>12000</v>
      </c>
      <c r="F456" s="304">
        <v>4326</v>
      </c>
      <c r="G456" s="304">
        <v>8612</v>
      </c>
      <c r="H456" s="304">
        <v>9884</v>
      </c>
      <c r="I456" s="304">
        <f t="shared" si="9"/>
        <v>1486965.6889569317</v>
      </c>
      <c r="J456" s="73"/>
      <c r="K456" s="48"/>
      <c r="L456" s="48"/>
      <c r="M456" s="14"/>
      <c r="N456" s="48"/>
    </row>
    <row r="457" spans="1:14" x14ac:dyDescent="0.25">
      <c r="A457" s="303" t="s">
        <v>501</v>
      </c>
      <c r="B457" s="303" t="s">
        <v>214</v>
      </c>
      <c r="C457" s="304" t="s">
        <v>443</v>
      </c>
      <c r="D457" s="304" t="s">
        <v>448</v>
      </c>
      <c r="E457" s="304">
        <v>4500</v>
      </c>
      <c r="F457" s="304">
        <v>1236</v>
      </c>
      <c r="G457" s="304">
        <v>2291</v>
      </c>
      <c r="H457" s="304">
        <v>2271</v>
      </c>
      <c r="I457" s="304">
        <f t="shared" si="9"/>
        <v>628450.27038955607</v>
      </c>
      <c r="J457" s="73"/>
      <c r="K457" s="48"/>
      <c r="L457" s="48"/>
      <c r="M457" s="14"/>
      <c r="N457" s="48"/>
    </row>
    <row r="458" spans="1:14" x14ac:dyDescent="0.25">
      <c r="A458" s="303" t="s">
        <v>501</v>
      </c>
      <c r="B458" s="303" t="s">
        <v>214</v>
      </c>
      <c r="C458" s="304" t="s">
        <v>443</v>
      </c>
      <c r="D458" s="304" t="s">
        <v>448</v>
      </c>
      <c r="E458" s="304">
        <v>1650</v>
      </c>
      <c r="F458" s="304">
        <v>509</v>
      </c>
      <c r="G458" s="304">
        <v>603</v>
      </c>
      <c r="H458" s="304">
        <v>753</v>
      </c>
      <c r="I458" s="304">
        <f t="shared" si="9"/>
        <v>292551.59289319057</v>
      </c>
      <c r="J458" s="73"/>
      <c r="K458" s="48"/>
      <c r="L458" s="48"/>
      <c r="M458" s="14"/>
      <c r="N458" s="48"/>
    </row>
    <row r="459" spans="1:14" x14ac:dyDescent="0.25">
      <c r="A459" s="303" t="s">
        <v>501</v>
      </c>
      <c r="B459" s="303" t="s">
        <v>214</v>
      </c>
      <c r="C459" s="304" t="s">
        <v>443</v>
      </c>
      <c r="D459" s="304" t="s">
        <v>448</v>
      </c>
      <c r="E459" s="304">
        <v>1400</v>
      </c>
      <c r="F459" s="304">
        <v>357</v>
      </c>
      <c r="G459" s="304">
        <v>451</v>
      </c>
      <c r="H459" s="304">
        <v>427</v>
      </c>
      <c r="I459" s="304">
        <f t="shared" si="9"/>
        <v>241423.09655882919</v>
      </c>
      <c r="J459" s="73"/>
      <c r="K459" s="48"/>
      <c r="L459" s="48"/>
      <c r="M459" s="14"/>
      <c r="N459" s="48"/>
    </row>
    <row r="460" spans="1:14" x14ac:dyDescent="0.25">
      <c r="A460" s="303" t="s">
        <v>501</v>
      </c>
      <c r="B460" s="303" t="s">
        <v>214</v>
      </c>
      <c r="C460" s="304" t="s">
        <v>443</v>
      </c>
      <c r="D460" s="304" t="s">
        <v>448</v>
      </c>
      <c r="E460" s="304">
        <v>1795</v>
      </c>
      <c r="F460" s="304">
        <v>172</v>
      </c>
      <c r="G460" s="304">
        <v>392</v>
      </c>
      <c r="H460" s="304">
        <v>403</v>
      </c>
      <c r="I460" s="304">
        <f t="shared" si="9"/>
        <v>273968.1456583839</v>
      </c>
      <c r="J460" s="73"/>
      <c r="K460" s="48"/>
      <c r="L460" s="48"/>
      <c r="M460" s="14"/>
      <c r="N460" s="48"/>
    </row>
    <row r="461" spans="1:14" x14ac:dyDescent="0.25">
      <c r="A461" s="303" t="s">
        <v>501</v>
      </c>
      <c r="B461" s="303" t="s">
        <v>214</v>
      </c>
      <c r="C461" s="304" t="s">
        <v>443</v>
      </c>
      <c r="D461" s="304" t="s">
        <v>445</v>
      </c>
      <c r="E461" s="304">
        <v>2300</v>
      </c>
      <c r="F461" s="304">
        <v>528</v>
      </c>
      <c r="G461" s="304">
        <v>808</v>
      </c>
      <c r="H461" s="304">
        <v>902</v>
      </c>
      <c r="I461" s="304">
        <f t="shared" si="9"/>
        <v>335046.02896887198</v>
      </c>
      <c r="J461" s="73"/>
      <c r="K461" s="48"/>
      <c r="L461" s="48"/>
      <c r="M461" s="14"/>
      <c r="N461" s="48"/>
    </row>
    <row r="462" spans="1:14" x14ac:dyDescent="0.25">
      <c r="A462" s="303" t="s">
        <v>501</v>
      </c>
      <c r="B462" s="303" t="s">
        <v>214</v>
      </c>
      <c r="C462" s="304" t="s">
        <v>443</v>
      </c>
      <c r="D462" s="304" t="s">
        <v>445</v>
      </c>
      <c r="E462" s="304">
        <v>1200</v>
      </c>
      <c r="F462" s="304">
        <v>86</v>
      </c>
      <c r="G462" s="304">
        <v>131</v>
      </c>
      <c r="H462" s="304">
        <v>295</v>
      </c>
      <c r="I462" s="304">
        <f t="shared" si="9"/>
        <v>207528.07044431873</v>
      </c>
      <c r="J462" s="73"/>
      <c r="K462" s="48"/>
      <c r="L462" s="48"/>
      <c r="M462" s="14"/>
      <c r="N462" s="48"/>
    </row>
    <row r="463" spans="1:14" x14ac:dyDescent="0.25">
      <c r="A463" s="303" t="s">
        <v>501</v>
      </c>
      <c r="B463" s="303" t="s">
        <v>214</v>
      </c>
      <c r="C463" s="304" t="s">
        <v>446</v>
      </c>
      <c r="D463" s="304" t="s">
        <v>444</v>
      </c>
      <c r="E463" s="304">
        <v>47000</v>
      </c>
      <c r="F463" s="304">
        <v>23089</v>
      </c>
      <c r="G463" s="304">
        <v>34670</v>
      </c>
      <c r="H463" s="304">
        <v>25935</v>
      </c>
      <c r="I463" s="304">
        <f t="shared" si="9"/>
        <v>4487962.3519032989</v>
      </c>
      <c r="J463" s="73"/>
      <c r="K463" s="48"/>
      <c r="L463" s="48"/>
      <c r="M463" s="14"/>
      <c r="N463" s="48"/>
    </row>
    <row r="464" spans="1:14" x14ac:dyDescent="0.25">
      <c r="A464" s="303" t="s">
        <v>501</v>
      </c>
      <c r="B464" s="303" t="s">
        <v>214</v>
      </c>
      <c r="C464" s="304" t="s">
        <v>443</v>
      </c>
      <c r="D464" s="304" t="s">
        <v>444</v>
      </c>
      <c r="E464" s="304">
        <v>17500</v>
      </c>
      <c r="F464" s="304">
        <v>8298</v>
      </c>
      <c r="G464" s="304">
        <v>13469</v>
      </c>
      <c r="H464" s="304">
        <v>7605</v>
      </c>
      <c r="I464" s="304">
        <f t="shared" si="9"/>
        <v>1919950.7912992125</v>
      </c>
      <c r="J464" s="73"/>
      <c r="K464" s="48"/>
      <c r="L464" s="48"/>
      <c r="M464" s="14"/>
      <c r="N464" s="48"/>
    </row>
    <row r="465" spans="1:14" x14ac:dyDescent="0.25">
      <c r="A465" s="303" t="s">
        <v>501</v>
      </c>
      <c r="B465" s="303" t="s">
        <v>214</v>
      </c>
      <c r="C465" s="304" t="s">
        <v>443</v>
      </c>
      <c r="D465" s="304" t="s">
        <v>448</v>
      </c>
      <c r="E465" s="304">
        <v>1150</v>
      </c>
      <c r="F465" s="304">
        <v>147</v>
      </c>
      <c r="G465" s="304">
        <v>251</v>
      </c>
      <c r="H465" s="304">
        <v>264</v>
      </c>
      <c r="I465" s="304">
        <f t="shared" si="9"/>
        <v>198015.1673557125</v>
      </c>
      <c r="J465" s="73"/>
      <c r="K465" s="48"/>
      <c r="L465" s="48"/>
      <c r="M465" s="14"/>
      <c r="N465" s="48"/>
    </row>
    <row r="466" spans="1:14" x14ac:dyDescent="0.25">
      <c r="A466" s="303" t="s">
        <v>215</v>
      </c>
      <c r="B466" s="303" t="s">
        <v>216</v>
      </c>
      <c r="C466" s="304" t="s">
        <v>446</v>
      </c>
      <c r="D466" s="304" t="s">
        <v>444</v>
      </c>
      <c r="E466" s="304">
        <v>330000</v>
      </c>
      <c r="F466" s="304">
        <v>172233</v>
      </c>
      <c r="G466" s="304">
        <v>213228</v>
      </c>
      <c r="H466" s="304">
        <v>162001</v>
      </c>
      <c r="I466" s="304">
        <f t="shared" si="9"/>
        <v>18101644.204069674</v>
      </c>
      <c r="J466" s="73"/>
      <c r="K466" s="48"/>
      <c r="L466" s="48"/>
      <c r="M466" s="14"/>
      <c r="N466" s="48"/>
    </row>
    <row r="467" spans="1:14" x14ac:dyDescent="0.25">
      <c r="A467" s="303" t="s">
        <v>215</v>
      </c>
      <c r="B467" s="303" t="s">
        <v>216</v>
      </c>
      <c r="C467" s="304" t="s">
        <v>443</v>
      </c>
      <c r="D467" s="304" t="s">
        <v>444</v>
      </c>
      <c r="E467" s="304">
        <v>150000</v>
      </c>
      <c r="F467" s="304">
        <v>68725</v>
      </c>
      <c r="G467" s="304">
        <v>87593</v>
      </c>
      <c r="H467" s="304">
        <v>77498</v>
      </c>
      <c r="I467" s="304">
        <f t="shared" si="9"/>
        <v>8601639.7913334481</v>
      </c>
      <c r="J467" s="73"/>
      <c r="K467" s="48"/>
      <c r="L467" s="48"/>
      <c r="M467" s="14"/>
      <c r="N467" s="48"/>
    </row>
    <row r="468" spans="1:14" x14ac:dyDescent="0.25">
      <c r="A468" s="303" t="s">
        <v>502</v>
      </c>
      <c r="B468" s="303" t="s">
        <v>218</v>
      </c>
      <c r="C468" s="304" t="s">
        <v>446</v>
      </c>
      <c r="D468" s="304" t="s">
        <v>444</v>
      </c>
      <c r="E468" s="304">
        <v>220000</v>
      </c>
      <c r="F468" s="304">
        <v>157205</v>
      </c>
      <c r="G468" s="304">
        <v>154085</v>
      </c>
      <c r="H468" s="304">
        <v>157554</v>
      </c>
      <c r="I468" s="304">
        <f t="shared" si="9"/>
        <v>13849298.11888494</v>
      </c>
      <c r="J468" s="73"/>
      <c r="K468" s="48"/>
      <c r="L468" s="48"/>
      <c r="M468" s="14"/>
      <c r="N468" s="48"/>
    </row>
    <row r="469" spans="1:14" x14ac:dyDescent="0.25">
      <c r="A469" s="303" t="s">
        <v>502</v>
      </c>
      <c r="B469" s="303" t="s">
        <v>218</v>
      </c>
      <c r="C469" s="304" t="s">
        <v>443</v>
      </c>
      <c r="D469" s="304" t="s">
        <v>444</v>
      </c>
      <c r="E469" s="304">
        <v>120000</v>
      </c>
      <c r="F469" s="304">
        <v>85260</v>
      </c>
      <c r="G469" s="304">
        <v>85093</v>
      </c>
      <c r="H469" s="304">
        <v>87993</v>
      </c>
      <c r="I469" s="304">
        <f t="shared" si="9"/>
        <v>7799226.7872072849</v>
      </c>
      <c r="J469" s="73"/>
      <c r="K469" s="48"/>
      <c r="L469" s="48"/>
      <c r="M469" s="14"/>
      <c r="N469" s="48"/>
    </row>
    <row r="470" spans="1:14" x14ac:dyDescent="0.25">
      <c r="A470" s="303" t="s">
        <v>502</v>
      </c>
      <c r="B470" s="303" t="s">
        <v>218</v>
      </c>
      <c r="C470" s="304" t="s">
        <v>446</v>
      </c>
      <c r="D470" s="304" t="s">
        <v>444</v>
      </c>
      <c r="E470" s="304">
        <v>84000</v>
      </c>
      <c r="F470" s="304">
        <v>59476</v>
      </c>
      <c r="G470" s="304">
        <v>58372</v>
      </c>
      <c r="H470" s="304">
        <v>60124</v>
      </c>
      <c r="I470" s="304">
        <f t="shared" si="9"/>
        <v>6817122.3119326765</v>
      </c>
      <c r="J470" s="73"/>
      <c r="K470" s="48"/>
      <c r="L470" s="48"/>
      <c r="M470" s="14"/>
      <c r="N470" s="48"/>
    </row>
    <row r="471" spans="1:14" x14ac:dyDescent="0.25">
      <c r="A471" s="303" t="s">
        <v>502</v>
      </c>
      <c r="B471" s="303" t="s">
        <v>218</v>
      </c>
      <c r="C471" s="304" t="s">
        <v>446</v>
      </c>
      <c r="D471" s="304" t="s">
        <v>444</v>
      </c>
      <c r="E471" s="304">
        <v>100000</v>
      </c>
      <c r="F471" s="304">
        <v>67125</v>
      </c>
      <c r="G471" s="304">
        <v>69511</v>
      </c>
      <c r="H471" s="304">
        <v>77829</v>
      </c>
      <c r="I471" s="304">
        <f t="shared" si="9"/>
        <v>7957434.4120528819</v>
      </c>
      <c r="J471" s="73"/>
      <c r="K471" s="48"/>
      <c r="L471" s="48"/>
      <c r="M471" s="14"/>
      <c r="N471" s="48"/>
    </row>
    <row r="472" spans="1:14" x14ac:dyDescent="0.25">
      <c r="A472" s="303" t="s">
        <v>219</v>
      </c>
      <c r="B472" s="303" t="s">
        <v>220</v>
      </c>
      <c r="C472" s="304" t="s">
        <v>446</v>
      </c>
      <c r="D472" s="304" t="s">
        <v>444</v>
      </c>
      <c r="E472" s="304">
        <v>24000</v>
      </c>
      <c r="F472" s="304">
        <v>5062</v>
      </c>
      <c r="G472" s="304">
        <v>8134</v>
      </c>
      <c r="H472" s="304">
        <v>6215</v>
      </c>
      <c r="I472" s="304">
        <f t="shared" si="9"/>
        <v>2258901.2677345145</v>
      </c>
      <c r="J472" s="73"/>
      <c r="K472" s="48"/>
      <c r="L472" s="48"/>
      <c r="M472" s="14"/>
      <c r="N472" s="48"/>
    </row>
    <row r="473" spans="1:14" x14ac:dyDescent="0.25">
      <c r="A473" s="303" t="s">
        <v>219</v>
      </c>
      <c r="B473" s="303" t="s">
        <v>220</v>
      </c>
      <c r="C473" s="304" t="s">
        <v>443</v>
      </c>
      <c r="D473" s="304" t="s">
        <v>448</v>
      </c>
      <c r="E473" s="304">
        <v>1400</v>
      </c>
      <c r="F473" s="304">
        <v>659</v>
      </c>
      <c r="G473" s="304">
        <v>867</v>
      </c>
      <c r="H473" s="304">
        <v>983</v>
      </c>
      <c r="I473" s="304">
        <f t="shared" si="9"/>
        <v>290757.54079243139</v>
      </c>
      <c r="J473" s="73"/>
      <c r="K473" s="48"/>
      <c r="L473" s="48"/>
      <c r="M473" s="14"/>
      <c r="N473" s="48"/>
    </row>
    <row r="474" spans="1:14" x14ac:dyDescent="0.25">
      <c r="A474" s="303" t="s">
        <v>219</v>
      </c>
      <c r="B474" s="303" t="s">
        <v>220</v>
      </c>
      <c r="C474" s="304" t="s">
        <v>443</v>
      </c>
      <c r="D474" s="304" t="s">
        <v>448</v>
      </c>
      <c r="E474" s="304">
        <v>4000</v>
      </c>
      <c r="F474" s="304">
        <v>651</v>
      </c>
      <c r="G474" s="304">
        <v>923</v>
      </c>
      <c r="H474" s="304">
        <v>783</v>
      </c>
      <c r="I474" s="304">
        <f t="shared" si="9"/>
        <v>495962.51192756562</v>
      </c>
      <c r="J474" s="73"/>
      <c r="K474" s="203"/>
      <c r="L474" s="203"/>
      <c r="M474" s="14"/>
      <c r="N474" s="48"/>
    </row>
    <row r="475" spans="1:14" x14ac:dyDescent="0.25">
      <c r="A475" s="303" t="s">
        <v>219</v>
      </c>
      <c r="B475" s="303" t="s">
        <v>220</v>
      </c>
      <c r="C475" s="304" t="s">
        <v>446</v>
      </c>
      <c r="D475" s="304" t="s">
        <v>444</v>
      </c>
      <c r="E475" s="304">
        <v>63000</v>
      </c>
      <c r="F475" s="304">
        <v>56041</v>
      </c>
      <c r="G475" s="304">
        <v>61075</v>
      </c>
      <c r="H475" s="304">
        <v>25113</v>
      </c>
      <c r="I475" s="304">
        <f t="shared" si="9"/>
        <v>6105521.952859058</v>
      </c>
      <c r="J475" s="73"/>
      <c r="K475" s="48"/>
      <c r="L475" s="48"/>
      <c r="M475" s="14"/>
      <c r="N475" s="48"/>
    </row>
    <row r="476" spans="1:14" x14ac:dyDescent="0.25">
      <c r="A476" s="303" t="s">
        <v>219</v>
      </c>
      <c r="B476" s="303" t="s">
        <v>220</v>
      </c>
      <c r="C476" s="304" t="s">
        <v>443</v>
      </c>
      <c r="D476" s="304" t="s">
        <v>448</v>
      </c>
      <c r="E476" s="304">
        <v>900</v>
      </c>
      <c r="F476" s="304">
        <v>170</v>
      </c>
      <c r="G476" s="304">
        <v>310</v>
      </c>
      <c r="H476" s="304">
        <v>307</v>
      </c>
      <c r="I476" s="304">
        <f t="shared" si="9"/>
        <v>176562.19706092254</v>
      </c>
      <c r="J476" s="73"/>
      <c r="K476" s="48"/>
      <c r="L476" s="48"/>
      <c r="M476" s="14"/>
      <c r="N476" s="48"/>
    </row>
    <row r="477" spans="1:14" x14ac:dyDescent="0.25">
      <c r="A477" s="303" t="s">
        <v>219</v>
      </c>
      <c r="B477" s="303" t="s">
        <v>220</v>
      </c>
      <c r="C477" s="304" t="s">
        <v>443</v>
      </c>
      <c r="D477" s="304" t="s">
        <v>448</v>
      </c>
      <c r="E477" s="304">
        <v>2000</v>
      </c>
      <c r="F477" s="304">
        <v>316</v>
      </c>
      <c r="G477" s="304">
        <v>591</v>
      </c>
      <c r="H477" s="304">
        <v>706</v>
      </c>
      <c r="I477" s="304">
        <f t="shared" si="9"/>
        <v>319272.08388918469</v>
      </c>
      <c r="J477" s="73"/>
      <c r="K477" s="48"/>
      <c r="L477" s="48"/>
      <c r="M477" s="14"/>
      <c r="N477" s="48"/>
    </row>
    <row r="478" spans="1:14" x14ac:dyDescent="0.25">
      <c r="A478" s="303" t="s">
        <v>219</v>
      </c>
      <c r="B478" s="303" t="s">
        <v>220</v>
      </c>
      <c r="C478" s="304" t="s">
        <v>446</v>
      </c>
      <c r="D478" s="304" t="s">
        <v>444</v>
      </c>
      <c r="E478" s="304">
        <v>42500</v>
      </c>
      <c r="F478" s="304">
        <v>14863</v>
      </c>
      <c r="G478" s="304">
        <v>24214</v>
      </c>
      <c r="H478" s="304">
        <v>18997</v>
      </c>
      <c r="I478" s="304">
        <f t="shared" si="9"/>
        <v>3867184.2288129125</v>
      </c>
      <c r="J478" s="73"/>
      <c r="K478" s="48"/>
      <c r="L478" s="48"/>
      <c r="M478" s="14"/>
      <c r="N478" s="48"/>
    </row>
    <row r="479" spans="1:14" x14ac:dyDescent="0.25">
      <c r="A479" s="303" t="s">
        <v>219</v>
      </c>
      <c r="B479" s="303" t="s">
        <v>220</v>
      </c>
      <c r="C479" s="304" t="s">
        <v>446</v>
      </c>
      <c r="D479" s="304" t="s">
        <v>444</v>
      </c>
      <c r="E479" s="304">
        <v>26000</v>
      </c>
      <c r="F479" s="304">
        <v>4470</v>
      </c>
      <c r="G479" s="304">
        <v>6970</v>
      </c>
      <c r="H479" s="304">
        <v>6067</v>
      </c>
      <c r="I479" s="304">
        <f t="shared" si="9"/>
        <v>2302007.3677498871</v>
      </c>
      <c r="J479" s="73"/>
      <c r="K479" s="48"/>
      <c r="L479" s="48"/>
      <c r="M479" s="14"/>
      <c r="N479" s="48"/>
    </row>
    <row r="480" spans="1:14" x14ac:dyDescent="0.25">
      <c r="A480" s="303" t="s">
        <v>219</v>
      </c>
      <c r="B480" s="303" t="s">
        <v>220</v>
      </c>
      <c r="C480" s="304" t="s">
        <v>443</v>
      </c>
      <c r="D480" s="304" t="s">
        <v>448</v>
      </c>
      <c r="E480" s="304">
        <v>4000</v>
      </c>
      <c r="F480" s="304">
        <v>1826</v>
      </c>
      <c r="G480" s="304">
        <v>2404</v>
      </c>
      <c r="H480" s="304">
        <v>1297</v>
      </c>
      <c r="I480" s="304">
        <f t="shared" si="9"/>
        <v>601888.25076871226</v>
      </c>
      <c r="J480" s="73"/>
      <c r="K480" s="48"/>
      <c r="L480" s="48"/>
      <c r="M480" s="14"/>
      <c r="N480" s="48"/>
    </row>
    <row r="481" spans="1:14" ht="15.75" thickBot="1" x14ac:dyDescent="0.3">
      <c r="A481" s="303" t="s">
        <v>221</v>
      </c>
      <c r="B481" s="303" t="s">
        <v>222</v>
      </c>
      <c r="C481" s="304" t="s">
        <v>443</v>
      </c>
      <c r="D481" s="304" t="s">
        <v>444</v>
      </c>
      <c r="E481" s="304">
        <v>100000</v>
      </c>
      <c r="F481" s="304">
        <v>66914</v>
      </c>
      <c r="G481" s="304">
        <v>65643</v>
      </c>
      <c r="H481" s="304">
        <v>52833</v>
      </c>
      <c r="I481" s="304">
        <f t="shared" si="9"/>
        <v>6633188.9220075347</v>
      </c>
      <c r="J481" s="73"/>
      <c r="K481" s="48"/>
      <c r="L481" s="48"/>
      <c r="M481" s="14"/>
      <c r="N481" s="48"/>
    </row>
    <row r="482" spans="1:14" x14ac:dyDescent="0.25">
      <c r="A482" s="71"/>
      <c r="B482" s="71"/>
      <c r="C482" s="71"/>
      <c r="D482" s="71"/>
      <c r="E482" s="71"/>
      <c r="F482" s="71"/>
      <c r="G482" s="71"/>
      <c r="H482" s="71"/>
      <c r="I482" s="71"/>
      <c r="J482" s="48"/>
      <c r="K482" s="48"/>
      <c r="L482" s="48"/>
      <c r="M482" s="14"/>
      <c r="N482" s="48"/>
    </row>
  </sheetData>
  <mergeCells count="1">
    <mergeCell ref="K1:M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DC67B-DF04-404A-987A-E42148A542C8}">
  <sheetPr codeName="Ark6"/>
  <dimension ref="A1:AS106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RowHeight="15" x14ac:dyDescent="0.25"/>
  <cols>
    <col min="1" max="1" width="40.28515625" bestFit="1" customWidth="1"/>
    <col min="2" max="2" width="12.85546875" bestFit="1" customWidth="1"/>
    <col min="3" max="3" width="12.85546875" customWidth="1"/>
    <col min="4" max="4" width="15" bestFit="1" customWidth="1"/>
    <col min="5" max="5" width="15.85546875" bestFit="1" customWidth="1"/>
    <col min="6" max="6" width="15" bestFit="1" customWidth="1"/>
    <col min="7" max="7" width="15.85546875" bestFit="1" customWidth="1"/>
    <col min="8" max="8" width="15" bestFit="1" customWidth="1"/>
    <col min="9" max="9" width="15.42578125" bestFit="1" customWidth="1"/>
    <col min="10" max="10" width="15.85546875" bestFit="1" customWidth="1"/>
    <col min="11" max="11" width="15" bestFit="1" customWidth="1"/>
    <col min="12" max="15" width="15" customWidth="1"/>
    <col min="16" max="16" width="18.28515625" customWidth="1"/>
    <col min="17" max="17" width="14.85546875" style="26" bestFit="1" customWidth="1"/>
    <col min="18" max="18" width="15" style="26" bestFit="1" customWidth="1"/>
    <col min="19" max="19" width="15.85546875" style="26" bestFit="1" customWidth="1"/>
    <col min="20" max="20" width="15" style="26" bestFit="1" customWidth="1"/>
    <col min="21" max="21" width="15.85546875" style="26" bestFit="1" customWidth="1"/>
    <col min="22" max="22" width="15" style="26" bestFit="1" customWidth="1"/>
    <col min="23" max="23" width="15.42578125" style="26" bestFit="1" customWidth="1"/>
    <col min="24" max="24" width="15.85546875" style="26" bestFit="1" customWidth="1"/>
    <col min="25" max="26" width="15" style="26" bestFit="1" customWidth="1"/>
    <col min="27" max="30" width="15" style="26" customWidth="1"/>
    <col min="31" max="31" width="18.7109375" style="26" customWidth="1"/>
  </cols>
  <sheetData>
    <row r="1" spans="1:45" ht="21.75" thickBot="1" x14ac:dyDescent="0.4">
      <c r="A1" s="311"/>
      <c r="B1" s="183"/>
      <c r="C1" s="183"/>
      <c r="D1" s="184" t="s">
        <v>328</v>
      </c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6"/>
      <c r="Q1" s="48"/>
      <c r="R1" s="184" t="s">
        <v>329</v>
      </c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6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</row>
    <row r="2" spans="1:45" ht="35.25" customHeight="1" thickBot="1" x14ac:dyDescent="0.3">
      <c r="A2" s="312" t="s">
        <v>0</v>
      </c>
      <c r="B2" s="28"/>
      <c r="C2" s="313"/>
      <c r="D2" s="314">
        <v>2010</v>
      </c>
      <c r="E2" s="315">
        <v>2011</v>
      </c>
      <c r="F2" s="315">
        <v>2012</v>
      </c>
      <c r="G2" s="315">
        <v>2013</v>
      </c>
      <c r="H2" s="315">
        <v>2014</v>
      </c>
      <c r="I2" s="315">
        <v>2015</v>
      </c>
      <c r="J2" s="315">
        <v>2016</v>
      </c>
      <c r="K2" s="315">
        <v>2017</v>
      </c>
      <c r="L2" s="315">
        <v>2018</v>
      </c>
      <c r="M2" s="315">
        <v>2019</v>
      </c>
      <c r="N2" s="315">
        <v>2020</v>
      </c>
      <c r="O2" s="315">
        <v>2021</v>
      </c>
      <c r="P2" s="316" t="s">
        <v>330</v>
      </c>
      <c r="Q2" s="317"/>
      <c r="R2" s="314">
        <v>2010</v>
      </c>
      <c r="S2" s="315">
        <v>2011</v>
      </c>
      <c r="T2" s="315">
        <v>2012</v>
      </c>
      <c r="U2" s="315">
        <v>2013</v>
      </c>
      <c r="V2" s="315">
        <v>2014</v>
      </c>
      <c r="W2" s="315">
        <v>2015</v>
      </c>
      <c r="X2" s="315">
        <v>2016</v>
      </c>
      <c r="Y2" s="315">
        <v>2017</v>
      </c>
      <c r="Z2" s="315">
        <v>2018</v>
      </c>
      <c r="AA2" s="315">
        <v>2019</v>
      </c>
      <c r="AB2" s="315">
        <v>2020</v>
      </c>
      <c r="AC2" s="315">
        <v>2021</v>
      </c>
      <c r="AD2" s="315">
        <v>2022</v>
      </c>
      <c r="AE2" s="318" t="s">
        <v>331</v>
      </c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</row>
    <row r="3" spans="1:45" ht="15.75" customHeight="1" x14ac:dyDescent="0.25">
      <c r="A3" s="187" t="s">
        <v>332</v>
      </c>
      <c r="B3" s="188" t="s">
        <v>20</v>
      </c>
      <c r="C3" s="189"/>
      <c r="D3" s="319">
        <v>165597.08014826928</v>
      </c>
      <c r="E3" s="320">
        <v>300622.70146180259</v>
      </c>
      <c r="F3" s="320">
        <v>716984.52334200777</v>
      </c>
      <c r="G3" s="320">
        <v>617579.60589625838</v>
      </c>
      <c r="H3" s="320">
        <v>435352.83856928418</v>
      </c>
      <c r="I3" s="320">
        <v>257090.5661364187</v>
      </c>
      <c r="J3" s="320">
        <v>509175.26656694931</v>
      </c>
      <c r="K3" s="320">
        <v>225027.54777320969</v>
      </c>
      <c r="L3" s="320">
        <v>585507.30633392849</v>
      </c>
      <c r="M3" s="320">
        <v>3410201.6599369072</v>
      </c>
      <c r="N3" s="320">
        <v>658111.09088414628</v>
      </c>
      <c r="O3" s="320">
        <v>845836.42601066676</v>
      </c>
      <c r="P3" s="92">
        <v>8727086.6130598504</v>
      </c>
      <c r="Q3" s="320"/>
      <c r="R3" s="319">
        <v>165597.08014826928</v>
      </c>
      <c r="S3" s="320">
        <v>300622.70146180259</v>
      </c>
      <c r="T3" s="320">
        <v>640434.63796921982</v>
      </c>
      <c r="U3" s="320">
        <v>617579.60589625838</v>
      </c>
      <c r="V3" s="320">
        <v>435352.83856928418</v>
      </c>
      <c r="W3" s="320">
        <v>257090.5661364187</v>
      </c>
      <c r="X3" s="320">
        <v>509175.26656694931</v>
      </c>
      <c r="Y3" s="320">
        <v>225027.54777320969</v>
      </c>
      <c r="Z3" s="320">
        <v>585507.30633392849</v>
      </c>
      <c r="AA3" s="320">
        <v>3410201.6599369072</v>
      </c>
      <c r="AB3" s="320">
        <v>658111.09088414628</v>
      </c>
      <c r="AC3" s="320">
        <v>845836.42601066676</v>
      </c>
      <c r="AD3" s="320">
        <v>1140858.0987333332</v>
      </c>
      <c r="AE3" s="92">
        <v>9791394.8264203947</v>
      </c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226"/>
      <c r="AQ3" s="226"/>
      <c r="AR3" s="226"/>
      <c r="AS3" s="226"/>
    </row>
    <row r="4" spans="1:45" x14ac:dyDescent="0.25">
      <c r="A4" s="190" t="s">
        <v>333</v>
      </c>
      <c r="B4" s="191" t="s">
        <v>22</v>
      </c>
      <c r="C4" s="192"/>
      <c r="D4" s="319">
        <v>655255.07152712985</v>
      </c>
      <c r="E4" s="320">
        <v>613565.28214937157</v>
      </c>
      <c r="F4" s="320">
        <v>903181.12888270104</v>
      </c>
      <c r="G4" s="320">
        <v>851002.75442704011</v>
      </c>
      <c r="H4" s="320">
        <v>993092.21337581985</v>
      </c>
      <c r="I4" s="320">
        <v>1153780.382914575</v>
      </c>
      <c r="J4" s="320">
        <v>1003099.1263868922</v>
      </c>
      <c r="K4" s="320">
        <v>297464.91433811502</v>
      </c>
      <c r="L4" s="320">
        <v>571112.3083440623</v>
      </c>
      <c r="M4" s="320">
        <v>661662.69329213037</v>
      </c>
      <c r="N4" s="320">
        <v>1137411.2959140295</v>
      </c>
      <c r="O4" s="320">
        <v>707937.84747766645</v>
      </c>
      <c r="P4" s="92">
        <v>9548565.0190295335</v>
      </c>
      <c r="Q4" s="320"/>
      <c r="R4" s="319">
        <v>655255.07152712985</v>
      </c>
      <c r="S4" s="320">
        <v>613565.28214937157</v>
      </c>
      <c r="T4" s="320">
        <v>805883.85295512143</v>
      </c>
      <c r="U4" s="320">
        <v>851002.75442704011</v>
      </c>
      <c r="V4" s="320">
        <v>993092.21337581985</v>
      </c>
      <c r="W4" s="320">
        <v>1153780.382914575</v>
      </c>
      <c r="X4" s="320">
        <v>1003099.1263868922</v>
      </c>
      <c r="Y4" s="320">
        <v>297464.91433811502</v>
      </c>
      <c r="Z4" s="320">
        <v>571112.3083440623</v>
      </c>
      <c r="AA4" s="320">
        <v>661662.69329213037</v>
      </c>
      <c r="AB4" s="320">
        <v>1137411.2959140295</v>
      </c>
      <c r="AC4" s="320">
        <v>707937.84747766645</v>
      </c>
      <c r="AD4" s="320">
        <v>1371427.4526000007</v>
      </c>
      <c r="AE4" s="92">
        <v>10822695.195701955</v>
      </c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226"/>
      <c r="AQ4" s="226"/>
      <c r="AR4" s="226"/>
      <c r="AS4" s="226"/>
    </row>
    <row r="5" spans="1:45" x14ac:dyDescent="0.25">
      <c r="A5" s="190" t="s">
        <v>334</v>
      </c>
      <c r="B5" s="191" t="s">
        <v>24</v>
      </c>
      <c r="C5" s="192"/>
      <c r="D5" s="319">
        <v>569966.37615257211</v>
      </c>
      <c r="E5" s="320">
        <v>788724.05557592015</v>
      </c>
      <c r="F5" s="320">
        <v>1571519.2331605228</v>
      </c>
      <c r="G5" s="320">
        <v>1102384.9134574202</v>
      </c>
      <c r="H5" s="320">
        <v>707246.73940854555</v>
      </c>
      <c r="I5" s="320">
        <v>981274.76029538817</v>
      </c>
      <c r="J5" s="320">
        <v>786832.6094539949</v>
      </c>
      <c r="K5" s="320">
        <v>549844.13002657134</v>
      </c>
      <c r="L5" s="320">
        <v>387660.53037684952</v>
      </c>
      <c r="M5" s="320">
        <v>1600698.8980297302</v>
      </c>
      <c r="N5" s="320">
        <v>166352.86741028761</v>
      </c>
      <c r="O5" s="320">
        <v>1748896.6635371216</v>
      </c>
      <c r="P5" s="92">
        <v>10961401.776884925</v>
      </c>
      <c r="Q5" s="320"/>
      <c r="R5" s="319">
        <v>569966.37615257211</v>
      </c>
      <c r="S5" s="320">
        <v>788724.05557592015</v>
      </c>
      <c r="T5" s="320">
        <v>1261677.3000434835</v>
      </c>
      <c r="U5" s="320">
        <v>1102384.9134574202</v>
      </c>
      <c r="V5" s="320">
        <v>707246.73940854555</v>
      </c>
      <c r="W5" s="320">
        <v>981274.76029538817</v>
      </c>
      <c r="X5" s="320">
        <v>786832.6094539949</v>
      </c>
      <c r="Y5" s="320">
        <v>420779.653941372</v>
      </c>
      <c r="Z5" s="320">
        <v>387660.53037684952</v>
      </c>
      <c r="AA5" s="320">
        <v>1600698.8980297302</v>
      </c>
      <c r="AB5" s="320">
        <v>166352.86741028761</v>
      </c>
      <c r="AC5" s="320">
        <v>1748896.6635371216</v>
      </c>
      <c r="AD5" s="320">
        <v>749818.13526666653</v>
      </c>
      <c r="AE5" s="92">
        <v>11272313.502949353</v>
      </c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226"/>
      <c r="AQ5" s="226"/>
      <c r="AR5" s="226"/>
      <c r="AS5" s="226"/>
    </row>
    <row r="6" spans="1:45" x14ac:dyDescent="0.25">
      <c r="A6" s="190" t="s">
        <v>335</v>
      </c>
      <c r="B6" s="191" t="s">
        <v>26</v>
      </c>
      <c r="C6" s="192"/>
      <c r="D6" s="319">
        <v>154404.42205441365</v>
      </c>
      <c r="E6" s="320">
        <v>584613.5480178094</v>
      </c>
      <c r="F6" s="320">
        <v>977898.7541336345</v>
      </c>
      <c r="G6" s="320">
        <v>2391627.7808579137</v>
      </c>
      <c r="H6" s="320">
        <v>1081172.2039059554</v>
      </c>
      <c r="I6" s="320">
        <v>1779870.0506578214</v>
      </c>
      <c r="J6" s="320">
        <v>1679777.6529996111</v>
      </c>
      <c r="K6" s="320">
        <v>2023371.3359766612</v>
      </c>
      <c r="L6" s="320">
        <v>1124177.3309241442</v>
      </c>
      <c r="M6" s="320">
        <v>1830994.6847763108</v>
      </c>
      <c r="N6" s="320">
        <v>1840051.1211228962</v>
      </c>
      <c r="O6" s="320">
        <v>2102300.5542901214</v>
      </c>
      <c r="P6" s="92">
        <v>17570259.439717293</v>
      </c>
      <c r="Q6" s="320"/>
      <c r="R6" s="319">
        <v>154404.42205441365</v>
      </c>
      <c r="S6" s="320">
        <v>584613.5480178094</v>
      </c>
      <c r="T6" s="320">
        <v>891119.17553940043</v>
      </c>
      <c r="U6" s="320">
        <v>2391627.7808579137</v>
      </c>
      <c r="V6" s="320">
        <v>1081172.2039059554</v>
      </c>
      <c r="W6" s="320">
        <v>1779870.0506578214</v>
      </c>
      <c r="X6" s="320">
        <v>1679777.6529996111</v>
      </c>
      <c r="Y6" s="320">
        <v>1460098.828429006</v>
      </c>
      <c r="Z6" s="320">
        <v>1124177.3309241442</v>
      </c>
      <c r="AA6" s="320">
        <v>1830994.6847763108</v>
      </c>
      <c r="AB6" s="320">
        <v>1840051.1211228962</v>
      </c>
      <c r="AC6" s="320">
        <v>2102300.5542901214</v>
      </c>
      <c r="AD6" s="320">
        <v>1971770.1484999997</v>
      </c>
      <c r="AE6" s="92">
        <v>18891977.502075408</v>
      </c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226"/>
      <c r="AQ6" s="226"/>
      <c r="AR6" s="226"/>
      <c r="AS6" s="226"/>
    </row>
    <row r="7" spans="1:45" x14ac:dyDescent="0.25">
      <c r="A7" s="190" t="s">
        <v>336</v>
      </c>
      <c r="B7" s="193" t="s">
        <v>28</v>
      </c>
      <c r="C7" s="189"/>
      <c r="D7" s="319">
        <v>299205.63570111041</v>
      </c>
      <c r="E7" s="320">
        <v>17882.372518207911</v>
      </c>
      <c r="F7" s="320">
        <v>171628.60132360013</v>
      </c>
      <c r="G7" s="320">
        <v>271987.30287518469</v>
      </c>
      <c r="H7" s="320">
        <v>0</v>
      </c>
      <c r="I7" s="320">
        <v>642542.60712069564</v>
      </c>
      <c r="J7" s="320">
        <v>33323.140192048399</v>
      </c>
      <c r="K7" s="320">
        <v>64276.312914017682</v>
      </c>
      <c r="L7" s="320">
        <v>0</v>
      </c>
      <c r="M7" s="320">
        <v>1670700.3158722769</v>
      </c>
      <c r="N7" s="320">
        <v>152702.27685082483</v>
      </c>
      <c r="O7" s="320">
        <v>95841.998308000009</v>
      </c>
      <c r="P7" s="92">
        <v>3420090.5636759666</v>
      </c>
      <c r="Q7" s="320"/>
      <c r="R7" s="319">
        <v>299205.63570111041</v>
      </c>
      <c r="S7" s="320">
        <v>17882.372518207911</v>
      </c>
      <c r="T7" s="320">
        <v>24348.007999353576</v>
      </c>
      <c r="U7" s="320">
        <v>271987.30287518469</v>
      </c>
      <c r="V7" s="320">
        <v>0</v>
      </c>
      <c r="W7" s="320">
        <v>642542.60712069564</v>
      </c>
      <c r="X7" s="320">
        <v>33323.140192048399</v>
      </c>
      <c r="Y7" s="320">
        <v>0</v>
      </c>
      <c r="Z7" s="320">
        <v>0</v>
      </c>
      <c r="AA7" s="320">
        <v>1670700.3158722769</v>
      </c>
      <c r="AB7" s="320">
        <v>152702.27685082483</v>
      </c>
      <c r="AC7" s="320">
        <v>95841.998308000009</v>
      </c>
      <c r="AD7" s="320">
        <v>11001331.94281666</v>
      </c>
      <c r="AE7" s="92">
        <v>14209865.600254362</v>
      </c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226"/>
      <c r="AQ7" s="226"/>
      <c r="AR7" s="226"/>
      <c r="AS7" s="226"/>
    </row>
    <row r="8" spans="1:45" x14ac:dyDescent="0.25">
      <c r="A8" s="190" t="s">
        <v>29</v>
      </c>
      <c r="B8" s="193" t="s">
        <v>30</v>
      </c>
      <c r="C8" s="189"/>
      <c r="D8" s="319">
        <v>464511.86306815007</v>
      </c>
      <c r="E8" s="320">
        <v>778433.15182557108</v>
      </c>
      <c r="F8" s="320">
        <v>528542.34800495952</v>
      </c>
      <c r="G8" s="320">
        <v>1396446.7372140288</v>
      </c>
      <c r="H8" s="320">
        <v>1096209.7576960281</v>
      </c>
      <c r="I8" s="320">
        <v>1353555.2869635937</v>
      </c>
      <c r="J8" s="320">
        <v>684732.47989959794</v>
      </c>
      <c r="K8" s="320">
        <v>548856.91418034467</v>
      </c>
      <c r="L8" s="320">
        <v>2979079.9131880431</v>
      </c>
      <c r="M8" s="320">
        <v>2385883.3913677516</v>
      </c>
      <c r="N8" s="320">
        <v>1567781.1663588397</v>
      </c>
      <c r="O8" s="320">
        <v>503905.11072133348</v>
      </c>
      <c r="P8" s="92">
        <v>14287938.120488241</v>
      </c>
      <c r="Q8" s="320"/>
      <c r="R8" s="319">
        <v>464511.86306815007</v>
      </c>
      <c r="S8" s="320">
        <v>778433.15182557108</v>
      </c>
      <c r="T8" s="320">
        <v>499795.59795849177</v>
      </c>
      <c r="U8" s="320">
        <v>1396446.7372140288</v>
      </c>
      <c r="V8" s="320">
        <v>1096209.7576960281</v>
      </c>
      <c r="W8" s="320">
        <v>1353555.2869635937</v>
      </c>
      <c r="X8" s="320">
        <v>684732.47989959794</v>
      </c>
      <c r="Y8" s="320">
        <v>548856.91418034467</v>
      </c>
      <c r="Z8" s="320">
        <v>2979079.9131880431</v>
      </c>
      <c r="AA8" s="320">
        <v>2385883.3913677516</v>
      </c>
      <c r="AB8" s="320">
        <v>1567781.1663588397</v>
      </c>
      <c r="AC8" s="320">
        <v>503905.11072133348</v>
      </c>
      <c r="AD8" s="320">
        <v>4458921.6937000006</v>
      </c>
      <c r="AE8" s="92">
        <v>18718113.064141773</v>
      </c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226"/>
      <c r="AQ8" s="226"/>
      <c r="AR8" s="226"/>
      <c r="AS8" s="226"/>
    </row>
    <row r="9" spans="1:45" x14ac:dyDescent="0.25">
      <c r="A9" s="190" t="s">
        <v>31</v>
      </c>
      <c r="B9" s="191" t="s">
        <v>32</v>
      </c>
      <c r="C9" s="192"/>
      <c r="D9" s="319">
        <v>126682.55803147472</v>
      </c>
      <c r="E9" s="320">
        <v>99973.658403045498</v>
      </c>
      <c r="F9" s="320">
        <v>436779.473734789</v>
      </c>
      <c r="G9" s="320">
        <v>201623.65713414169</v>
      </c>
      <c r="H9" s="320">
        <v>648115.62110118195</v>
      </c>
      <c r="I9" s="320">
        <v>1267937.7782440388</v>
      </c>
      <c r="J9" s="320">
        <v>454162.41976258426</v>
      </c>
      <c r="K9" s="320">
        <v>1094376.9180423017</v>
      </c>
      <c r="L9" s="320">
        <v>1000118.1941272437</v>
      </c>
      <c r="M9" s="320">
        <v>576568.30923277477</v>
      </c>
      <c r="N9" s="320">
        <v>886230.13755944651</v>
      </c>
      <c r="O9" s="320">
        <v>757705.39018266683</v>
      </c>
      <c r="P9" s="92">
        <v>7550274.1155556906</v>
      </c>
      <c r="Q9" s="320"/>
      <c r="R9" s="319">
        <v>126682.55803147472</v>
      </c>
      <c r="S9" s="320">
        <v>99973.658403045498</v>
      </c>
      <c r="T9" s="320">
        <v>308598.17196335492</v>
      </c>
      <c r="U9" s="320">
        <v>201623.65713414169</v>
      </c>
      <c r="V9" s="320">
        <v>648115.62110118195</v>
      </c>
      <c r="W9" s="320">
        <v>1267937.7782440388</v>
      </c>
      <c r="X9" s="320">
        <v>454162.41976258426</v>
      </c>
      <c r="Y9" s="320">
        <v>674175.74313110078</v>
      </c>
      <c r="Z9" s="320">
        <v>1000118.1941272437</v>
      </c>
      <c r="AA9" s="320">
        <v>576568.30923277477</v>
      </c>
      <c r="AB9" s="320">
        <v>886230.13755944651</v>
      </c>
      <c r="AC9" s="320">
        <v>757705.39018266683</v>
      </c>
      <c r="AD9" s="320">
        <v>779789.31333333324</v>
      </c>
      <c r="AE9" s="92">
        <v>7781680.9522063881</v>
      </c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226"/>
      <c r="AQ9" s="226"/>
      <c r="AR9" s="226"/>
      <c r="AS9" s="226"/>
    </row>
    <row r="10" spans="1:45" x14ac:dyDescent="0.25">
      <c r="A10" s="190" t="s">
        <v>337</v>
      </c>
      <c r="B10" s="193" t="s">
        <v>34</v>
      </c>
      <c r="C10" s="189"/>
      <c r="D10" s="319">
        <v>305701.63447317464</v>
      </c>
      <c r="E10" s="320">
        <v>13713880.593290806</v>
      </c>
      <c r="F10" s="320">
        <v>1290804.9121313782</v>
      </c>
      <c r="G10" s="320">
        <v>19405620.231370609</v>
      </c>
      <c r="H10" s="320">
        <v>5472380.7946660332</v>
      </c>
      <c r="I10" s="320">
        <v>6840762.4339376809</v>
      </c>
      <c r="J10" s="320">
        <v>9376567.4164353423</v>
      </c>
      <c r="K10" s="320">
        <v>5990631.1711424366</v>
      </c>
      <c r="L10" s="320">
        <v>8423678.7736280989</v>
      </c>
      <c r="M10" s="320">
        <v>5493623.9971874673</v>
      </c>
      <c r="N10" s="320">
        <v>2938746.3069039825</v>
      </c>
      <c r="O10" s="320">
        <v>2192350.9084906671</v>
      </c>
      <c r="P10" s="92">
        <v>81444749.173657686</v>
      </c>
      <c r="Q10" s="320"/>
      <c r="R10" s="319">
        <v>305701.63447317464</v>
      </c>
      <c r="S10" s="320">
        <v>13713880.593290806</v>
      </c>
      <c r="T10" s="320">
        <v>1210731.844381849</v>
      </c>
      <c r="U10" s="320">
        <v>19405620.231370609</v>
      </c>
      <c r="V10" s="320">
        <v>5472380.7946660332</v>
      </c>
      <c r="W10" s="320">
        <v>6840762.4339376809</v>
      </c>
      <c r="X10" s="320">
        <v>9376567.4164353423</v>
      </c>
      <c r="Y10" s="320">
        <v>5516233.8608829891</v>
      </c>
      <c r="Z10" s="320">
        <v>8423678.7736280989</v>
      </c>
      <c r="AA10" s="320">
        <v>5493623.9971874673</v>
      </c>
      <c r="AB10" s="320">
        <v>2938746.3069039825</v>
      </c>
      <c r="AC10" s="320">
        <v>2192350.9084906671</v>
      </c>
      <c r="AD10" s="320">
        <v>1777435.7166666668</v>
      </c>
      <c r="AE10" s="92">
        <v>82667714.512315378</v>
      </c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226"/>
      <c r="AQ10" s="226"/>
      <c r="AR10" s="226"/>
      <c r="AS10" s="226"/>
    </row>
    <row r="11" spans="1:45" x14ac:dyDescent="0.25">
      <c r="A11" s="190" t="s">
        <v>338</v>
      </c>
      <c r="B11" s="191" t="s">
        <v>36</v>
      </c>
      <c r="C11" s="192"/>
      <c r="D11" s="319">
        <v>174172.59728716113</v>
      </c>
      <c r="E11" s="320">
        <v>3205947.4190636827</v>
      </c>
      <c r="F11" s="320">
        <v>2580896.7159683402</v>
      </c>
      <c r="G11" s="320">
        <v>3650239.1035552891</v>
      </c>
      <c r="H11" s="320">
        <v>714491.15655653982</v>
      </c>
      <c r="I11" s="320">
        <v>3463651.7997288471</v>
      </c>
      <c r="J11" s="320">
        <v>2624900.8568051551</v>
      </c>
      <c r="K11" s="320">
        <v>517981.68209963653</v>
      </c>
      <c r="L11" s="320">
        <v>548927.44715913478</v>
      </c>
      <c r="M11" s="320">
        <v>928797.33857141226</v>
      </c>
      <c r="N11" s="320">
        <v>856544.49949334294</v>
      </c>
      <c r="O11" s="320">
        <v>1426248.5126653335</v>
      </c>
      <c r="P11" s="92">
        <v>20692799.12895387</v>
      </c>
      <c r="Q11" s="320"/>
      <c r="R11" s="319">
        <v>174172.59728716113</v>
      </c>
      <c r="S11" s="320">
        <v>3205947.4190636827</v>
      </c>
      <c r="T11" s="320">
        <v>1702125.8676721866</v>
      </c>
      <c r="U11" s="320">
        <v>3650239.1035552891</v>
      </c>
      <c r="V11" s="320">
        <v>714491.15655653982</v>
      </c>
      <c r="W11" s="320">
        <v>3463651.7997288471</v>
      </c>
      <c r="X11" s="320">
        <v>2624900.8568051551</v>
      </c>
      <c r="Y11" s="320">
        <v>506210.87697577156</v>
      </c>
      <c r="Z11" s="320">
        <v>548927.44715913478</v>
      </c>
      <c r="AA11" s="320">
        <v>928797.33857141226</v>
      </c>
      <c r="AB11" s="320">
        <v>856544.49949334294</v>
      </c>
      <c r="AC11" s="320">
        <v>1426248.5126653335</v>
      </c>
      <c r="AD11" s="320">
        <v>2173927.2999999998</v>
      </c>
      <c r="AE11" s="92">
        <v>21976184.775533855</v>
      </c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226"/>
      <c r="AQ11" s="226"/>
      <c r="AR11" s="226"/>
      <c r="AS11" s="226"/>
    </row>
    <row r="12" spans="1:45" x14ac:dyDescent="0.25">
      <c r="A12" s="190" t="s">
        <v>37</v>
      </c>
      <c r="B12" s="193" t="s">
        <v>38</v>
      </c>
      <c r="C12" s="189"/>
      <c r="D12" s="319">
        <v>355420.27477885492</v>
      </c>
      <c r="E12" s="320">
        <v>357042.65185006824</v>
      </c>
      <c r="F12" s="320">
        <v>653351.265779051</v>
      </c>
      <c r="G12" s="320">
        <v>703619.56204998319</v>
      </c>
      <c r="H12" s="320">
        <v>471387.44590004307</v>
      </c>
      <c r="I12" s="320">
        <v>511754.58631783322</v>
      </c>
      <c r="J12" s="320">
        <v>684901.50692670082</v>
      </c>
      <c r="K12" s="320">
        <v>600683.63940790168</v>
      </c>
      <c r="L12" s="320">
        <v>525305.06402590463</v>
      </c>
      <c r="M12" s="320">
        <v>577787.707994072</v>
      </c>
      <c r="N12" s="320">
        <v>797125.20235514489</v>
      </c>
      <c r="O12" s="320">
        <v>682114.82902114838</v>
      </c>
      <c r="P12" s="92">
        <v>6920493.7364067053</v>
      </c>
      <c r="Q12" s="320"/>
      <c r="R12" s="319">
        <v>355420.27477885492</v>
      </c>
      <c r="S12" s="320">
        <v>357042.65185006824</v>
      </c>
      <c r="T12" s="320">
        <v>437991.43632127065</v>
      </c>
      <c r="U12" s="320">
        <v>703619.56204998319</v>
      </c>
      <c r="V12" s="320">
        <v>471387.44590004307</v>
      </c>
      <c r="W12" s="320">
        <v>511754.58631783322</v>
      </c>
      <c r="X12" s="320">
        <v>684901.50692670082</v>
      </c>
      <c r="Y12" s="320">
        <v>600683.63940790168</v>
      </c>
      <c r="Z12" s="320">
        <v>525305.06402590463</v>
      </c>
      <c r="AA12" s="320">
        <v>577787.707994072</v>
      </c>
      <c r="AB12" s="320">
        <v>797125.20235514489</v>
      </c>
      <c r="AC12" s="320">
        <v>682114.82902114838</v>
      </c>
      <c r="AD12" s="320">
        <v>722523.83120000002</v>
      </c>
      <c r="AE12" s="92">
        <v>7427657.7381489249</v>
      </c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226"/>
      <c r="AQ12" s="226"/>
      <c r="AR12" s="226"/>
      <c r="AS12" s="226"/>
    </row>
    <row r="13" spans="1:45" x14ac:dyDescent="0.25">
      <c r="A13" s="190" t="s">
        <v>39</v>
      </c>
      <c r="B13" s="191" t="s">
        <v>40</v>
      </c>
      <c r="C13" s="192"/>
      <c r="D13" s="319">
        <v>341129.14421174949</v>
      </c>
      <c r="E13" s="320">
        <v>205635.18536401508</v>
      </c>
      <c r="F13" s="320">
        <v>1567599.1583248072</v>
      </c>
      <c r="G13" s="320">
        <v>693802.49382916978</v>
      </c>
      <c r="H13" s="320">
        <v>246885.94093002888</v>
      </c>
      <c r="I13" s="320">
        <v>472712.81591216801</v>
      </c>
      <c r="J13" s="320">
        <v>458382.97417297226</v>
      </c>
      <c r="K13" s="320">
        <v>1115284.0916067429</v>
      </c>
      <c r="L13" s="320">
        <v>712726.94444790599</v>
      </c>
      <c r="M13" s="320">
        <v>951580.47959064087</v>
      </c>
      <c r="N13" s="320">
        <v>160935.13615016598</v>
      </c>
      <c r="O13" s="320">
        <v>871174.97820366686</v>
      </c>
      <c r="P13" s="92">
        <v>7797849.3427440338</v>
      </c>
      <c r="Q13" s="320"/>
      <c r="R13" s="319">
        <v>341129.14421174949</v>
      </c>
      <c r="S13" s="320">
        <v>205635.18536401508</v>
      </c>
      <c r="T13" s="320">
        <v>279559.6366189273</v>
      </c>
      <c r="U13" s="320">
        <v>693802.49382916978</v>
      </c>
      <c r="V13" s="320">
        <v>246885.94093002888</v>
      </c>
      <c r="W13" s="320">
        <v>472712.81591216801</v>
      </c>
      <c r="X13" s="320">
        <v>458382.97417297226</v>
      </c>
      <c r="Y13" s="320">
        <v>1104525.9786583069</v>
      </c>
      <c r="Z13" s="320">
        <v>712726.94444790599</v>
      </c>
      <c r="AA13" s="320">
        <v>951580.47959064087</v>
      </c>
      <c r="AB13" s="320">
        <v>160935.13615016598</v>
      </c>
      <c r="AC13" s="320">
        <v>871174.97820366686</v>
      </c>
      <c r="AD13" s="320">
        <v>149321.49833333332</v>
      </c>
      <c r="AE13" s="92">
        <v>6648373.2064230517</v>
      </c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226"/>
      <c r="AQ13" s="226"/>
      <c r="AR13" s="226"/>
      <c r="AS13" s="226"/>
    </row>
    <row r="14" spans="1:45" x14ac:dyDescent="0.25">
      <c r="A14" s="190" t="s">
        <v>41</v>
      </c>
      <c r="B14" s="193" t="s">
        <v>42</v>
      </c>
      <c r="C14" s="189"/>
      <c r="D14" s="319">
        <v>628572.94146932964</v>
      </c>
      <c r="E14" s="320">
        <v>948621.61678640218</v>
      </c>
      <c r="F14" s="320">
        <v>903363.51639234868</v>
      </c>
      <c r="G14" s="320">
        <v>482748.16932063224</v>
      </c>
      <c r="H14" s="320">
        <v>420269.6534153751</v>
      </c>
      <c r="I14" s="320">
        <v>663705.57127759117</v>
      </c>
      <c r="J14" s="320">
        <v>503067.66960651608</v>
      </c>
      <c r="K14" s="320">
        <v>927003.1682916194</v>
      </c>
      <c r="L14" s="320">
        <v>297180.05353027326</v>
      </c>
      <c r="M14" s="320">
        <v>889933.58067930816</v>
      </c>
      <c r="N14" s="320">
        <v>336446.24717915966</v>
      </c>
      <c r="O14" s="320">
        <v>445714.17223933345</v>
      </c>
      <c r="P14" s="92">
        <v>7446626.3601878881</v>
      </c>
      <c r="Q14" s="320"/>
      <c r="R14" s="319">
        <v>628572.94146932964</v>
      </c>
      <c r="S14" s="320">
        <v>948621.61678640218</v>
      </c>
      <c r="T14" s="320">
        <v>829537.44349295064</v>
      </c>
      <c r="U14" s="320">
        <v>482748.16932063224</v>
      </c>
      <c r="V14" s="320">
        <v>420269.6534153751</v>
      </c>
      <c r="W14" s="320">
        <v>663705.57127759117</v>
      </c>
      <c r="X14" s="320">
        <v>503067.66960651608</v>
      </c>
      <c r="Y14" s="320">
        <v>705937.20810302021</v>
      </c>
      <c r="Z14" s="320">
        <v>297180.05353027326</v>
      </c>
      <c r="AA14" s="320">
        <v>889933.58067930816</v>
      </c>
      <c r="AB14" s="320">
        <v>336446.24717915966</v>
      </c>
      <c r="AC14" s="320">
        <v>445714.17223933345</v>
      </c>
      <c r="AD14" s="320">
        <v>1081206.1600000001</v>
      </c>
      <c r="AE14" s="92">
        <v>8232940.4870998915</v>
      </c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226"/>
      <c r="AQ14" s="226"/>
      <c r="AR14" s="226"/>
      <c r="AS14" s="226"/>
    </row>
    <row r="15" spans="1:45" x14ac:dyDescent="0.25">
      <c r="A15" s="190" t="s">
        <v>339</v>
      </c>
      <c r="B15" s="191" t="s">
        <v>44</v>
      </c>
      <c r="C15" s="192"/>
      <c r="D15" s="319">
        <v>197889.20561825659</v>
      </c>
      <c r="E15" s="320">
        <v>660671.20377990522</v>
      </c>
      <c r="F15" s="320">
        <v>641212.28680773638</v>
      </c>
      <c r="G15" s="320">
        <v>390305.83052280842</v>
      </c>
      <c r="H15" s="320">
        <v>490295.99367637374</v>
      </c>
      <c r="I15" s="320">
        <v>880746.26021691062</v>
      </c>
      <c r="J15" s="320">
        <v>1916493.3212668779</v>
      </c>
      <c r="K15" s="320">
        <v>547979.18112539605</v>
      </c>
      <c r="L15" s="320">
        <v>782883.060765167</v>
      </c>
      <c r="M15" s="320">
        <v>1044894.2080147341</v>
      </c>
      <c r="N15" s="320">
        <v>319028.07300440164</v>
      </c>
      <c r="O15" s="320">
        <v>1215733.6869521576</v>
      </c>
      <c r="P15" s="92">
        <v>9088132.3117507249</v>
      </c>
      <c r="Q15" s="320"/>
      <c r="R15" s="319">
        <v>197889.20561825659</v>
      </c>
      <c r="S15" s="320">
        <v>660671.20377990522</v>
      </c>
      <c r="T15" s="320">
        <v>510435.77817262878</v>
      </c>
      <c r="U15" s="320">
        <v>390305.83052280842</v>
      </c>
      <c r="V15" s="320">
        <v>490295.99367637374</v>
      </c>
      <c r="W15" s="320">
        <v>880746.26021691062</v>
      </c>
      <c r="X15" s="320">
        <v>1916493.3212668779</v>
      </c>
      <c r="Y15" s="320">
        <v>547979.18112539605</v>
      </c>
      <c r="Z15" s="320">
        <v>782883.060765167</v>
      </c>
      <c r="AA15" s="320">
        <v>1044894.2080147341</v>
      </c>
      <c r="AB15" s="320">
        <v>319028.07300440164</v>
      </c>
      <c r="AC15" s="320">
        <v>1215733.6869521576</v>
      </c>
      <c r="AD15" s="320">
        <v>1165861.5866666662</v>
      </c>
      <c r="AE15" s="92">
        <v>10123217.389782283</v>
      </c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226"/>
      <c r="AQ15" s="226"/>
      <c r="AR15" s="226"/>
      <c r="AS15" s="226"/>
    </row>
    <row r="16" spans="1:45" x14ac:dyDescent="0.25">
      <c r="A16" s="190" t="s">
        <v>45</v>
      </c>
      <c r="B16" s="193" t="s">
        <v>46</v>
      </c>
      <c r="C16" s="189"/>
      <c r="D16" s="319">
        <v>2024053.3771235952</v>
      </c>
      <c r="E16" s="320">
        <v>1061500.8997648249</v>
      </c>
      <c r="F16" s="320">
        <v>2283988.1297677597</v>
      </c>
      <c r="G16" s="320">
        <v>634379.78719429311</v>
      </c>
      <c r="H16" s="320">
        <v>2496686.1030081324</v>
      </c>
      <c r="I16" s="320">
        <v>2146150.1099510244</v>
      </c>
      <c r="J16" s="320">
        <v>2098901.1350476891</v>
      </c>
      <c r="K16" s="320">
        <v>2730971.632932602</v>
      </c>
      <c r="L16" s="320">
        <v>2342772.1402626643</v>
      </c>
      <c r="M16" s="320">
        <v>2551272.3423640747</v>
      </c>
      <c r="N16" s="320">
        <v>5476871.6635342073</v>
      </c>
      <c r="O16" s="320">
        <v>2311960.9098933334</v>
      </c>
      <c r="P16" s="92">
        <v>28159508.2308442</v>
      </c>
      <c r="Q16" s="320"/>
      <c r="R16" s="319">
        <v>2024053.3771235952</v>
      </c>
      <c r="S16" s="320">
        <v>1061500.8997648249</v>
      </c>
      <c r="T16" s="320">
        <v>2025668.1397882788</v>
      </c>
      <c r="U16" s="320">
        <v>634379.78719429311</v>
      </c>
      <c r="V16" s="320">
        <v>2496686.1030081324</v>
      </c>
      <c r="W16" s="320">
        <v>2146150.1099510244</v>
      </c>
      <c r="X16" s="320">
        <v>2098901.1350476891</v>
      </c>
      <c r="Y16" s="320">
        <v>2337673.0639272761</v>
      </c>
      <c r="Z16" s="320">
        <v>2342772.1402626643</v>
      </c>
      <c r="AA16" s="320">
        <v>2551272.3423640747</v>
      </c>
      <c r="AB16" s="320">
        <v>5476871.6635342073</v>
      </c>
      <c r="AC16" s="320">
        <v>2311960.9098933334</v>
      </c>
      <c r="AD16" s="320">
        <v>3039858.1399999997</v>
      </c>
      <c r="AE16" s="92">
        <v>30547747.811859399</v>
      </c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226"/>
      <c r="AQ16" s="226"/>
      <c r="AR16" s="226"/>
      <c r="AS16" s="226"/>
    </row>
    <row r="17" spans="1:45" x14ac:dyDescent="0.25">
      <c r="A17" s="190" t="s">
        <v>340</v>
      </c>
      <c r="B17" s="191" t="s">
        <v>48</v>
      </c>
      <c r="C17" s="192"/>
      <c r="D17" s="319">
        <v>861758.32687276299</v>
      </c>
      <c r="E17" s="320">
        <v>1852261.2581927448</v>
      </c>
      <c r="F17" s="320">
        <v>2536662.0957414578</v>
      </c>
      <c r="G17" s="320">
        <v>1282484.9098904119</v>
      </c>
      <c r="H17" s="320">
        <v>1377943.2936904728</v>
      </c>
      <c r="I17" s="320">
        <v>1627788.8854829876</v>
      </c>
      <c r="J17" s="320">
        <v>1343143.7186856405</v>
      </c>
      <c r="K17" s="320">
        <v>1536734.088919959</v>
      </c>
      <c r="L17" s="320">
        <v>1693848.0096638331</v>
      </c>
      <c r="M17" s="320">
        <v>8613213.5272629559</v>
      </c>
      <c r="N17" s="320">
        <v>2297291.8504665205</v>
      </c>
      <c r="O17" s="320">
        <v>4253751.090948334</v>
      </c>
      <c r="P17" s="92">
        <v>29276881.055818081</v>
      </c>
      <c r="Q17" s="320"/>
      <c r="R17" s="319">
        <v>861758.32687276299</v>
      </c>
      <c r="S17" s="320">
        <v>1852261.2581927448</v>
      </c>
      <c r="T17" s="320">
        <v>2490267.3956180234</v>
      </c>
      <c r="U17" s="320">
        <v>1282484.9098904119</v>
      </c>
      <c r="V17" s="320">
        <v>1377943.2936904728</v>
      </c>
      <c r="W17" s="320">
        <v>1627788.8854829876</v>
      </c>
      <c r="X17" s="320">
        <v>1343143.7186856405</v>
      </c>
      <c r="Y17" s="320">
        <v>1406385.6702172128</v>
      </c>
      <c r="Z17" s="320">
        <v>1693848.0096638331</v>
      </c>
      <c r="AA17" s="320">
        <v>8613213.5272629559</v>
      </c>
      <c r="AB17" s="320">
        <v>2297291.8504665205</v>
      </c>
      <c r="AC17" s="320">
        <v>4253751.090948334</v>
      </c>
      <c r="AD17" s="320">
        <v>5477347.4577333359</v>
      </c>
      <c r="AE17" s="92">
        <v>34577485.394725233</v>
      </c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226"/>
      <c r="AQ17" s="226"/>
      <c r="AR17" s="226"/>
      <c r="AS17" s="226"/>
    </row>
    <row r="18" spans="1:45" x14ac:dyDescent="0.25">
      <c r="A18" s="190" t="s">
        <v>49</v>
      </c>
      <c r="B18" s="191" t="s">
        <v>50</v>
      </c>
      <c r="C18" s="192"/>
      <c r="D18" s="319">
        <v>603034.63477724767</v>
      </c>
      <c r="E18" s="320">
        <v>1013917.2534759727</v>
      </c>
      <c r="F18" s="320">
        <v>1489086.2637936196</v>
      </c>
      <c r="G18" s="320">
        <v>1119357.8476199247</v>
      </c>
      <c r="H18" s="320">
        <v>892819.10700796323</v>
      </c>
      <c r="I18" s="320">
        <v>885747.81303111243</v>
      </c>
      <c r="J18" s="320">
        <v>1187491.5518438611</v>
      </c>
      <c r="K18" s="320">
        <v>718607.19829206355</v>
      </c>
      <c r="L18" s="320">
        <v>1137065.1508110033</v>
      </c>
      <c r="M18" s="320">
        <v>965588.77253067249</v>
      </c>
      <c r="N18" s="320">
        <v>937784.19795965392</v>
      </c>
      <c r="O18" s="320">
        <v>1096338.0624206669</v>
      </c>
      <c r="P18" s="92">
        <v>12046837.853563761</v>
      </c>
      <c r="Q18" s="320"/>
      <c r="R18" s="319">
        <v>603034.63477724767</v>
      </c>
      <c r="S18" s="320">
        <v>1013917.2534759727</v>
      </c>
      <c r="T18" s="320">
        <v>1079143.7694428461</v>
      </c>
      <c r="U18" s="320">
        <v>1119357.8476199247</v>
      </c>
      <c r="V18" s="320">
        <v>892819.10700796323</v>
      </c>
      <c r="W18" s="320">
        <v>885747.81303111243</v>
      </c>
      <c r="X18" s="320">
        <v>1187491.5518438611</v>
      </c>
      <c r="Y18" s="320">
        <v>718607.19829206355</v>
      </c>
      <c r="Z18" s="320">
        <v>1137065.1508110033</v>
      </c>
      <c r="AA18" s="320">
        <v>965588.77253067249</v>
      </c>
      <c r="AB18" s="320">
        <v>937784.19795965392</v>
      </c>
      <c r="AC18" s="320">
        <v>1096338.0624206669</v>
      </c>
      <c r="AD18" s="320">
        <v>605884.96666666667</v>
      </c>
      <c r="AE18" s="92">
        <v>12242780.325879656</v>
      </c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226"/>
      <c r="AQ18" s="226"/>
      <c r="AR18" s="226"/>
      <c r="AS18" s="226"/>
    </row>
    <row r="19" spans="1:45" x14ac:dyDescent="0.25">
      <c r="A19" s="190" t="s">
        <v>51</v>
      </c>
      <c r="B19" s="193" t="s">
        <v>52</v>
      </c>
      <c r="C19" s="189"/>
      <c r="D19" s="319">
        <v>15664.456613412945</v>
      </c>
      <c r="E19" s="320">
        <v>237059.67705252406</v>
      </c>
      <c r="F19" s="320">
        <v>269687.84284691507</v>
      </c>
      <c r="G19" s="320">
        <v>616590.18050049618</v>
      </c>
      <c r="H19" s="320">
        <v>538683.76739304606</v>
      </c>
      <c r="I19" s="320">
        <v>954040.82686632243</v>
      </c>
      <c r="J19" s="320">
        <v>626328.15321455128</v>
      </c>
      <c r="K19" s="320">
        <v>1023972.0475680552</v>
      </c>
      <c r="L19" s="320">
        <v>1073056.9918926086</v>
      </c>
      <c r="M19" s="320">
        <v>780448.74926859769</v>
      </c>
      <c r="N19" s="320">
        <v>681804.61248589528</v>
      </c>
      <c r="O19" s="320">
        <v>432838.9960407067</v>
      </c>
      <c r="P19" s="92">
        <v>7250176.3017431311</v>
      </c>
      <c r="Q19" s="320"/>
      <c r="R19" s="319">
        <v>15664.456613412945</v>
      </c>
      <c r="S19" s="320">
        <v>237059.67705252406</v>
      </c>
      <c r="T19" s="320">
        <v>269687.84284691507</v>
      </c>
      <c r="U19" s="320">
        <v>616590.18050049618</v>
      </c>
      <c r="V19" s="320">
        <v>538683.76739304606</v>
      </c>
      <c r="W19" s="320">
        <v>954040.82686632243</v>
      </c>
      <c r="X19" s="320">
        <v>626328.15321455128</v>
      </c>
      <c r="Y19" s="320">
        <v>998270.72637666878</v>
      </c>
      <c r="Z19" s="320">
        <v>1073056.9918926086</v>
      </c>
      <c r="AA19" s="320">
        <v>780448.74926859769</v>
      </c>
      <c r="AB19" s="320">
        <v>681804.61248589528</v>
      </c>
      <c r="AC19" s="320">
        <v>432838.9960407067</v>
      </c>
      <c r="AD19" s="320">
        <v>1138376.2150333335</v>
      </c>
      <c r="AE19" s="92">
        <v>8362851.1955850786</v>
      </c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226"/>
      <c r="AQ19" s="226"/>
      <c r="AR19" s="226"/>
      <c r="AS19" s="226"/>
    </row>
    <row r="20" spans="1:45" x14ac:dyDescent="0.25">
      <c r="A20" s="190" t="s">
        <v>53</v>
      </c>
      <c r="B20" s="193" t="s">
        <v>54</v>
      </c>
      <c r="C20" s="189"/>
      <c r="D20" s="319">
        <v>34441.563556580739</v>
      </c>
      <c r="E20" s="320">
        <v>313279.52695483045</v>
      </c>
      <c r="F20" s="320">
        <v>1313462.0544804279</v>
      </c>
      <c r="G20" s="320">
        <v>864783.3512269666</v>
      </c>
      <c r="H20" s="320">
        <v>468363.60355646844</v>
      </c>
      <c r="I20" s="320">
        <v>791177.92303867207</v>
      </c>
      <c r="J20" s="320">
        <v>318308.92906721262</v>
      </c>
      <c r="K20" s="320">
        <v>309298.56328363251</v>
      </c>
      <c r="L20" s="320">
        <v>247045.90953528564</v>
      </c>
      <c r="M20" s="320">
        <v>59294.886528670882</v>
      </c>
      <c r="N20" s="320">
        <v>1181519.9586789154</v>
      </c>
      <c r="O20" s="320">
        <v>551746.32498452673</v>
      </c>
      <c r="P20" s="92">
        <v>6452722.5948921908</v>
      </c>
      <c r="Q20" s="320"/>
      <c r="R20" s="319">
        <v>34441.563556580739</v>
      </c>
      <c r="S20" s="320">
        <v>313279.52695483045</v>
      </c>
      <c r="T20" s="320">
        <v>943779.45568396954</v>
      </c>
      <c r="U20" s="320">
        <v>864783.3512269666</v>
      </c>
      <c r="V20" s="320">
        <v>468363.60355646844</v>
      </c>
      <c r="W20" s="320">
        <v>791177.92303867207</v>
      </c>
      <c r="X20" s="320">
        <v>318308.92906721262</v>
      </c>
      <c r="Y20" s="320">
        <v>214552.27191681371</v>
      </c>
      <c r="Z20" s="320">
        <v>247045.90953528564</v>
      </c>
      <c r="AA20" s="320">
        <v>59294.886528670882</v>
      </c>
      <c r="AB20" s="320">
        <v>1181519.9586789154</v>
      </c>
      <c r="AC20" s="320">
        <v>551746.32498452673</v>
      </c>
      <c r="AD20" s="320">
        <v>152639.20076666668</v>
      </c>
      <c r="AE20" s="92">
        <v>6140932.9054955794</v>
      </c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226"/>
      <c r="AQ20" s="226"/>
      <c r="AR20" s="226"/>
      <c r="AS20" s="226"/>
    </row>
    <row r="21" spans="1:45" x14ac:dyDescent="0.25">
      <c r="A21" s="190" t="s">
        <v>55</v>
      </c>
      <c r="B21" s="193" t="s">
        <v>56</v>
      </c>
      <c r="C21" s="189"/>
      <c r="D21" s="319">
        <v>412422.7754490957</v>
      </c>
      <c r="E21" s="320">
        <v>340707.10443887237</v>
      </c>
      <c r="F21" s="320">
        <v>1318725.0390552068</v>
      </c>
      <c r="G21" s="320">
        <v>3832904.7128971508</v>
      </c>
      <c r="H21" s="320">
        <v>406576.38936264568</v>
      </c>
      <c r="I21" s="320">
        <v>1398789.6189184787</v>
      </c>
      <c r="J21" s="320">
        <v>1876573.9132780582</v>
      </c>
      <c r="K21" s="320">
        <v>872315.10695100995</v>
      </c>
      <c r="L21" s="320">
        <v>1158184.6178458093</v>
      </c>
      <c r="M21" s="320">
        <v>1390442.1163978525</v>
      </c>
      <c r="N21" s="320">
        <v>1429640.7908945137</v>
      </c>
      <c r="O21" s="320">
        <v>1491904.0653853768</v>
      </c>
      <c r="P21" s="92">
        <v>15929186.250874069</v>
      </c>
      <c r="Q21" s="320"/>
      <c r="R21" s="319">
        <v>412422.7754490957</v>
      </c>
      <c r="S21" s="320">
        <v>340707.10443887237</v>
      </c>
      <c r="T21" s="320">
        <v>698618.22338635684</v>
      </c>
      <c r="U21" s="320">
        <v>3832904.7128971508</v>
      </c>
      <c r="V21" s="320">
        <v>406576.38936264568</v>
      </c>
      <c r="W21" s="320">
        <v>1398789.6189184787</v>
      </c>
      <c r="X21" s="320">
        <v>1876573.9132780582</v>
      </c>
      <c r="Y21" s="320">
        <v>856242.97501743818</v>
      </c>
      <c r="Z21" s="320">
        <v>1158184.6178458093</v>
      </c>
      <c r="AA21" s="320">
        <v>1390442.1163978525</v>
      </c>
      <c r="AB21" s="320">
        <v>1429640.7908945137</v>
      </c>
      <c r="AC21" s="320">
        <v>1491904.0653853768</v>
      </c>
      <c r="AD21" s="320">
        <v>1160553.5356499997</v>
      </c>
      <c r="AE21" s="92">
        <v>16453560.838921648</v>
      </c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226"/>
      <c r="AQ21" s="226"/>
      <c r="AR21" s="226"/>
      <c r="AS21" s="226"/>
    </row>
    <row r="22" spans="1:45" x14ac:dyDescent="0.25">
      <c r="A22" s="190" t="s">
        <v>57</v>
      </c>
      <c r="B22" s="193" t="s">
        <v>58</v>
      </c>
      <c r="C22" s="189"/>
      <c r="D22" s="319">
        <v>1302380.9544677581</v>
      </c>
      <c r="E22" s="320">
        <v>1037132.7015055125</v>
      </c>
      <c r="F22" s="320">
        <v>1357427.7350185418</v>
      </c>
      <c r="G22" s="320">
        <v>1120996.3279057997</v>
      </c>
      <c r="H22" s="320">
        <v>1150833.4211346202</v>
      </c>
      <c r="I22" s="320">
        <v>3140230.3370990232</v>
      </c>
      <c r="J22" s="320">
        <v>3096995.4279480879</v>
      </c>
      <c r="K22" s="320">
        <v>0</v>
      </c>
      <c r="L22" s="320">
        <v>0</v>
      </c>
      <c r="M22" s="320">
        <v>2086361.6790714327</v>
      </c>
      <c r="N22" s="320">
        <v>2123212.9017040581</v>
      </c>
      <c r="O22" s="320">
        <v>788776.57450533344</v>
      </c>
      <c r="P22" s="92">
        <v>17204348.060360167</v>
      </c>
      <c r="Q22" s="320"/>
      <c r="R22" s="319">
        <v>1302380.9544677581</v>
      </c>
      <c r="S22" s="320">
        <v>1037132.7015055125</v>
      </c>
      <c r="T22" s="320">
        <v>1314974.2987125891</v>
      </c>
      <c r="U22" s="320">
        <v>1120996.3279057997</v>
      </c>
      <c r="V22" s="320">
        <v>1150833.4211346202</v>
      </c>
      <c r="W22" s="320">
        <v>3140230.3370990232</v>
      </c>
      <c r="X22" s="320">
        <v>3096995.4279480879</v>
      </c>
      <c r="Y22" s="320">
        <v>0</v>
      </c>
      <c r="Z22" s="320">
        <v>0</v>
      </c>
      <c r="AA22" s="320">
        <v>2086361.6790714327</v>
      </c>
      <c r="AB22" s="320">
        <v>2123212.9017040581</v>
      </c>
      <c r="AC22" s="320">
        <v>788776.57450533344</v>
      </c>
      <c r="AD22" s="320">
        <v>2394115.8376666666</v>
      </c>
      <c r="AE22" s="92">
        <v>19556010.461720884</v>
      </c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226"/>
      <c r="AQ22" s="226"/>
      <c r="AR22" s="226"/>
      <c r="AS22" s="226"/>
    </row>
    <row r="23" spans="1:45" x14ac:dyDescent="0.25">
      <c r="A23" s="190" t="s">
        <v>59</v>
      </c>
      <c r="B23" s="193" t="s">
        <v>60</v>
      </c>
      <c r="C23" s="189"/>
      <c r="D23" s="319">
        <v>593610.62355295045</v>
      </c>
      <c r="E23" s="320">
        <v>607949.44926142634</v>
      </c>
      <c r="F23" s="320">
        <v>1826657.6645086282</v>
      </c>
      <c r="G23" s="320">
        <v>1186656.9655935937</v>
      </c>
      <c r="H23" s="320">
        <v>1122465.6979029286</v>
      </c>
      <c r="I23" s="320">
        <v>864780.086371682</v>
      </c>
      <c r="J23" s="320">
        <v>529342.18911360169</v>
      </c>
      <c r="K23" s="320">
        <v>778565.75578455441</v>
      </c>
      <c r="L23" s="320">
        <v>594398.66968181729</v>
      </c>
      <c r="M23" s="320">
        <v>205443.86312157905</v>
      </c>
      <c r="N23" s="320">
        <v>355836.27895108867</v>
      </c>
      <c r="O23" s="320">
        <v>302992.045018</v>
      </c>
      <c r="P23" s="92">
        <v>8968699.2888618503</v>
      </c>
      <c r="Q23" s="320"/>
      <c r="R23" s="319">
        <v>593610.62355295045</v>
      </c>
      <c r="S23" s="320">
        <v>607949.44926142634</v>
      </c>
      <c r="T23" s="320">
        <v>1362153.9006082802</v>
      </c>
      <c r="U23" s="320">
        <v>1186656.9655935937</v>
      </c>
      <c r="V23" s="320">
        <v>1120732.7500379393</v>
      </c>
      <c r="W23" s="320">
        <v>864780.086371682</v>
      </c>
      <c r="X23" s="320">
        <v>529342.18911360169</v>
      </c>
      <c r="Y23" s="320">
        <v>778565.75578455441</v>
      </c>
      <c r="Z23" s="320">
        <v>594398.66968181729</v>
      </c>
      <c r="AA23" s="320">
        <v>205443.86312157905</v>
      </c>
      <c r="AB23" s="320">
        <v>355836.27895108867</v>
      </c>
      <c r="AC23" s="320">
        <v>302992.045018</v>
      </c>
      <c r="AD23" s="320">
        <v>284355.745</v>
      </c>
      <c r="AE23" s="92">
        <v>8786818.3220965117</v>
      </c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226"/>
      <c r="AQ23" s="226"/>
      <c r="AR23" s="226"/>
      <c r="AS23" s="226"/>
    </row>
    <row r="24" spans="1:45" x14ac:dyDescent="0.25">
      <c r="A24" s="190" t="s">
        <v>61</v>
      </c>
      <c r="B24" s="191" t="s">
        <v>62</v>
      </c>
      <c r="C24" s="192"/>
      <c r="D24" s="319">
        <v>1392685.1030795053</v>
      </c>
      <c r="E24" s="320">
        <v>838084.02775219223</v>
      </c>
      <c r="F24" s="320">
        <v>1437599.7815397028</v>
      </c>
      <c r="G24" s="320">
        <v>1739144.4355958272</v>
      </c>
      <c r="H24" s="320">
        <v>1665252.5647613951</v>
      </c>
      <c r="I24" s="320">
        <v>1581166.4538097372</v>
      </c>
      <c r="J24" s="320">
        <v>1743837.4323315686</v>
      </c>
      <c r="K24" s="320">
        <v>2047669.4939759269</v>
      </c>
      <c r="L24" s="320">
        <v>915389.28783445002</v>
      </c>
      <c r="M24" s="320">
        <v>1907627.9818931436</v>
      </c>
      <c r="N24" s="320">
        <v>2208520.3654015907</v>
      </c>
      <c r="O24" s="320">
        <v>1350088.6417443336</v>
      </c>
      <c r="P24" s="92">
        <v>18827065.569719378</v>
      </c>
      <c r="Q24" s="320"/>
      <c r="R24" s="319">
        <v>1392685.1030795053</v>
      </c>
      <c r="S24" s="320">
        <v>838084.02775219223</v>
      </c>
      <c r="T24" s="320">
        <v>1133655.1401667958</v>
      </c>
      <c r="U24" s="320">
        <v>1739144.4355958272</v>
      </c>
      <c r="V24" s="320">
        <v>1665252.5647613951</v>
      </c>
      <c r="W24" s="320">
        <v>1581166.4538097372</v>
      </c>
      <c r="X24" s="320">
        <v>1743837.4323315686</v>
      </c>
      <c r="Y24" s="320">
        <v>1880110.6611254825</v>
      </c>
      <c r="Z24" s="320">
        <v>915389.28783445002</v>
      </c>
      <c r="AA24" s="320">
        <v>1907627.9818931436</v>
      </c>
      <c r="AB24" s="320">
        <v>2208520.3654015907</v>
      </c>
      <c r="AC24" s="320">
        <v>1350088.6417443336</v>
      </c>
      <c r="AD24" s="320">
        <v>2546980.59</v>
      </c>
      <c r="AE24" s="92">
        <v>20902542.685496025</v>
      </c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226"/>
      <c r="AQ24" s="226"/>
      <c r="AR24" s="226"/>
      <c r="AS24" s="226"/>
    </row>
    <row r="25" spans="1:45" x14ac:dyDescent="0.25">
      <c r="A25" s="190" t="s">
        <v>63</v>
      </c>
      <c r="B25" s="193" t="s">
        <v>64</v>
      </c>
      <c r="C25" s="189"/>
      <c r="D25" s="319">
        <v>152175.96843433595</v>
      </c>
      <c r="E25" s="320">
        <v>1272899.8748820289</v>
      </c>
      <c r="F25" s="320">
        <v>319403.56774385861</v>
      </c>
      <c r="G25" s="320">
        <v>460809.24364557612</v>
      </c>
      <c r="H25" s="320">
        <v>252950.35062630376</v>
      </c>
      <c r="I25" s="320">
        <v>376887.43400011456</v>
      </c>
      <c r="J25" s="320">
        <v>991501.0506411161</v>
      </c>
      <c r="K25" s="320">
        <v>799149.13682177174</v>
      </c>
      <c r="L25" s="320">
        <v>183407.88348747333</v>
      </c>
      <c r="M25" s="320">
        <v>3460015.8755499641</v>
      </c>
      <c r="N25" s="320">
        <v>1262329.0220033089</v>
      </c>
      <c r="O25" s="320">
        <v>285862.98477445339</v>
      </c>
      <c r="P25" s="92">
        <v>9817392.3926103059</v>
      </c>
      <c r="Q25" s="320"/>
      <c r="R25" s="319">
        <v>152175.96843433595</v>
      </c>
      <c r="S25" s="320">
        <v>1272899.8748820289</v>
      </c>
      <c r="T25" s="320">
        <v>319403.56774385861</v>
      </c>
      <c r="U25" s="320">
        <v>460809.24364557612</v>
      </c>
      <c r="V25" s="320">
        <v>252950.35062630376</v>
      </c>
      <c r="W25" s="320">
        <v>376887.43400011456</v>
      </c>
      <c r="X25" s="320">
        <v>991501.0506411161</v>
      </c>
      <c r="Y25" s="320">
        <v>748031.85621295474</v>
      </c>
      <c r="Z25" s="320">
        <v>183407.88348747333</v>
      </c>
      <c r="AA25" s="320">
        <v>3460015.8755499641</v>
      </c>
      <c r="AB25" s="320">
        <v>1262329.0220033089</v>
      </c>
      <c r="AC25" s="320">
        <v>285862.98477445339</v>
      </c>
      <c r="AD25" s="320">
        <v>864238.12</v>
      </c>
      <c r="AE25" s="92">
        <v>10630513.232001487</v>
      </c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226"/>
      <c r="AQ25" s="226"/>
      <c r="AR25" s="226"/>
      <c r="AS25" s="226"/>
    </row>
    <row r="26" spans="1:45" x14ac:dyDescent="0.25">
      <c r="A26" s="190" t="s">
        <v>65</v>
      </c>
      <c r="B26" s="193" t="s">
        <v>66</v>
      </c>
      <c r="C26" s="189"/>
      <c r="D26" s="319">
        <v>629293.3655143634</v>
      </c>
      <c r="E26" s="320">
        <v>1192599.906874127</v>
      </c>
      <c r="F26" s="320">
        <v>1766354.4110926641</v>
      </c>
      <c r="G26" s="320">
        <v>1053880.6871046841</v>
      </c>
      <c r="H26" s="320">
        <v>1616189.2853074649</v>
      </c>
      <c r="I26" s="320">
        <v>2130502.8673023591</v>
      </c>
      <c r="J26" s="320">
        <v>1564000.3276456043</v>
      </c>
      <c r="K26" s="320">
        <v>1793888.6781994691</v>
      </c>
      <c r="L26" s="320">
        <v>1250289.9879504519</v>
      </c>
      <c r="M26" s="320">
        <v>2074733.9866019869</v>
      </c>
      <c r="N26" s="320">
        <v>1510163.8130871155</v>
      </c>
      <c r="O26" s="320">
        <v>1714857.1953739997</v>
      </c>
      <c r="P26" s="92">
        <v>18296754.512054287</v>
      </c>
      <c r="Q26" s="320"/>
      <c r="R26" s="319">
        <v>629293.3655143634</v>
      </c>
      <c r="S26" s="320">
        <v>1192599.906874127</v>
      </c>
      <c r="T26" s="320">
        <v>1594623.5818944392</v>
      </c>
      <c r="U26" s="320">
        <v>1053880.6871046841</v>
      </c>
      <c r="V26" s="320">
        <v>1616189.2853074649</v>
      </c>
      <c r="W26" s="320">
        <v>2130502.8673023591</v>
      </c>
      <c r="X26" s="320">
        <v>1564000.3276456043</v>
      </c>
      <c r="Y26" s="320">
        <v>1793888.6781994691</v>
      </c>
      <c r="Z26" s="320">
        <v>1250289.9879504519</v>
      </c>
      <c r="AA26" s="320">
        <v>2074733.9866019869</v>
      </c>
      <c r="AB26" s="320">
        <v>1510163.8130871155</v>
      </c>
      <c r="AC26" s="320">
        <v>1714857.1953739997</v>
      </c>
      <c r="AD26" s="320">
        <v>652111.50123333326</v>
      </c>
      <c r="AE26" s="92">
        <v>18777135.184089396</v>
      </c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226"/>
      <c r="AQ26" s="226"/>
      <c r="AR26" s="226"/>
      <c r="AS26" s="226"/>
    </row>
    <row r="27" spans="1:45" x14ac:dyDescent="0.25">
      <c r="A27" s="190" t="s">
        <v>341</v>
      </c>
      <c r="B27" s="193" t="s">
        <v>68</v>
      </c>
      <c r="C27" s="189"/>
      <c r="D27" s="319">
        <v>1729539.6681803714</v>
      </c>
      <c r="E27" s="320">
        <v>952260.62643570232</v>
      </c>
      <c r="F27" s="320">
        <v>1077257.7161001435</v>
      </c>
      <c r="G27" s="320">
        <v>1183500.615055955</v>
      </c>
      <c r="H27" s="320">
        <v>1871808.0664243044</v>
      </c>
      <c r="I27" s="320">
        <v>1265360.3230827667</v>
      </c>
      <c r="J27" s="320">
        <v>1477553.8483635902</v>
      </c>
      <c r="K27" s="320">
        <v>1041632.3383611125</v>
      </c>
      <c r="L27" s="320">
        <v>923548.51643934008</v>
      </c>
      <c r="M27" s="320">
        <v>2893805.117733812</v>
      </c>
      <c r="N27" s="320">
        <v>1473751.8307175606</v>
      </c>
      <c r="O27" s="320">
        <v>896214.75768966659</v>
      </c>
      <c r="P27" s="92">
        <v>16786233.424584325</v>
      </c>
      <c r="Q27" s="320"/>
      <c r="R27" s="319">
        <v>1729539.6681803714</v>
      </c>
      <c r="S27" s="320">
        <v>952260.62643570232</v>
      </c>
      <c r="T27" s="320">
        <v>800936.78987195704</v>
      </c>
      <c r="U27" s="320">
        <v>1183500.615055955</v>
      </c>
      <c r="V27" s="320">
        <v>1871808.0664243044</v>
      </c>
      <c r="W27" s="320">
        <v>1265360.3230827667</v>
      </c>
      <c r="X27" s="320">
        <v>1477553.8483635902</v>
      </c>
      <c r="Y27" s="320">
        <v>787606.72147860657</v>
      </c>
      <c r="Z27" s="320">
        <v>923548.51643934008</v>
      </c>
      <c r="AA27" s="320">
        <v>2893805.117733812</v>
      </c>
      <c r="AB27" s="320">
        <v>1473751.8307175606</v>
      </c>
      <c r="AC27" s="320">
        <v>896214.75768966659</v>
      </c>
      <c r="AD27" s="320">
        <v>1241615.9449999998</v>
      </c>
      <c r="AE27" s="92">
        <v>17497502.826473631</v>
      </c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226"/>
      <c r="AQ27" s="226"/>
      <c r="AR27" s="226"/>
      <c r="AS27" s="226"/>
    </row>
    <row r="28" spans="1:45" x14ac:dyDescent="0.25">
      <c r="A28" s="190" t="s">
        <v>342</v>
      </c>
      <c r="B28" s="191" t="s">
        <v>70</v>
      </c>
      <c r="C28" s="192"/>
      <c r="D28" s="319">
        <v>907557.1247805676</v>
      </c>
      <c r="E28" s="320">
        <v>122336.59168745519</v>
      </c>
      <c r="F28" s="320">
        <v>207654.22887714737</v>
      </c>
      <c r="G28" s="320">
        <v>366541.04930464574</v>
      </c>
      <c r="H28" s="320">
        <v>626146.65448978043</v>
      </c>
      <c r="I28" s="320">
        <v>450625.89733052254</v>
      </c>
      <c r="J28" s="320">
        <v>1374284.6606579949</v>
      </c>
      <c r="K28" s="320">
        <v>979952.04977077839</v>
      </c>
      <c r="L28" s="320">
        <v>703690.69722351001</v>
      </c>
      <c r="M28" s="320">
        <v>1056774.0382564608</v>
      </c>
      <c r="N28" s="320">
        <v>691856.12118743348</v>
      </c>
      <c r="O28" s="320">
        <v>608476.00631199998</v>
      </c>
      <c r="P28" s="92">
        <v>8095895.1198782958</v>
      </c>
      <c r="Q28" s="320"/>
      <c r="R28" s="319">
        <v>907557.1247805676</v>
      </c>
      <c r="S28" s="320">
        <v>122336.59168745519</v>
      </c>
      <c r="T28" s="320">
        <v>131872.80730607879</v>
      </c>
      <c r="U28" s="320">
        <v>366541.04930464574</v>
      </c>
      <c r="V28" s="320">
        <v>626146.65448978043</v>
      </c>
      <c r="W28" s="320">
        <v>450625.89733052254</v>
      </c>
      <c r="X28" s="320">
        <v>1374284.6606579949</v>
      </c>
      <c r="Y28" s="320">
        <v>979952.04977077839</v>
      </c>
      <c r="Z28" s="320">
        <v>703690.69722351001</v>
      </c>
      <c r="AA28" s="320">
        <v>1056774.0382564608</v>
      </c>
      <c r="AB28" s="320">
        <v>691856.12118743348</v>
      </c>
      <c r="AC28" s="320">
        <v>608476.00631199998</v>
      </c>
      <c r="AD28" s="320">
        <v>2716017.06</v>
      </c>
      <c r="AE28" s="92">
        <v>10736130.758307228</v>
      </c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226"/>
      <c r="AQ28" s="226"/>
      <c r="AR28" s="226"/>
      <c r="AS28" s="226"/>
    </row>
    <row r="29" spans="1:45" x14ac:dyDescent="0.25">
      <c r="A29" s="190" t="s">
        <v>343</v>
      </c>
      <c r="B29" s="191" t="s">
        <v>72</v>
      </c>
      <c r="C29" s="192"/>
      <c r="D29" s="319">
        <v>270049.48033964081</v>
      </c>
      <c r="E29" s="320">
        <v>963468.65478354972</v>
      </c>
      <c r="F29" s="320">
        <v>1510257.9736140601</v>
      </c>
      <c r="G29" s="320">
        <v>1170040.0272170138</v>
      </c>
      <c r="H29" s="320">
        <v>2467257.4505672478</v>
      </c>
      <c r="I29" s="320">
        <v>3265642.6687293421</v>
      </c>
      <c r="J29" s="320">
        <v>532187.25535051106</v>
      </c>
      <c r="K29" s="320">
        <v>3422582.7497994648</v>
      </c>
      <c r="L29" s="320">
        <v>306235.30063845718</v>
      </c>
      <c r="M29" s="320">
        <v>9160661.0475550517</v>
      </c>
      <c r="N29" s="320">
        <v>2552200.7919580024</v>
      </c>
      <c r="O29" s="320">
        <v>4556830.0551896673</v>
      </c>
      <c r="P29" s="92">
        <v>30177413.455742016</v>
      </c>
      <c r="Q29" s="320"/>
      <c r="R29" s="319">
        <v>270049.48033964081</v>
      </c>
      <c r="S29" s="320">
        <v>963468.65478354972</v>
      </c>
      <c r="T29" s="320">
        <v>1453002.6656010919</v>
      </c>
      <c r="U29" s="320">
        <v>1170040.0272170138</v>
      </c>
      <c r="V29" s="320">
        <v>2467257.4505672478</v>
      </c>
      <c r="W29" s="320">
        <v>3265642.6687293421</v>
      </c>
      <c r="X29" s="320">
        <v>532187.25535051106</v>
      </c>
      <c r="Y29" s="320">
        <v>3400697.220597974</v>
      </c>
      <c r="Z29" s="320">
        <v>306235.30063845718</v>
      </c>
      <c r="AA29" s="320">
        <v>9160661.0475550517</v>
      </c>
      <c r="AB29" s="320">
        <v>2552200.7919580024</v>
      </c>
      <c r="AC29" s="320">
        <v>4556830.0551896673</v>
      </c>
      <c r="AD29" s="320">
        <v>2073758.5538666663</v>
      </c>
      <c r="AE29" s="92">
        <v>32172031.17239422</v>
      </c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226"/>
      <c r="AQ29" s="226"/>
      <c r="AR29" s="226"/>
      <c r="AS29" s="226"/>
    </row>
    <row r="30" spans="1:45" x14ac:dyDescent="0.25">
      <c r="A30" s="190" t="s">
        <v>344</v>
      </c>
      <c r="B30" s="191" t="s">
        <v>74</v>
      </c>
      <c r="C30" s="192"/>
      <c r="D30" s="319">
        <v>1067168.2360721696</v>
      </c>
      <c r="E30" s="320">
        <v>927069.39748428576</v>
      </c>
      <c r="F30" s="320">
        <v>1395871.8687997607</v>
      </c>
      <c r="G30" s="320">
        <v>1527761.2847685665</v>
      </c>
      <c r="H30" s="320">
        <v>1136133.77527471</v>
      </c>
      <c r="I30" s="320">
        <v>3494066.4453670178</v>
      </c>
      <c r="J30" s="320">
        <v>711446.20108648366</v>
      </c>
      <c r="K30" s="320">
        <v>386536.82666370441</v>
      </c>
      <c r="L30" s="320">
        <v>848981.55889879086</v>
      </c>
      <c r="M30" s="320">
        <v>3094841.8300882909</v>
      </c>
      <c r="N30" s="320">
        <v>1522054.2689971353</v>
      </c>
      <c r="O30" s="320">
        <v>4261351.7004613345</v>
      </c>
      <c r="P30" s="92">
        <v>20373283.393962253</v>
      </c>
      <c r="Q30" s="320"/>
      <c r="R30" s="319">
        <v>1067168.2360721696</v>
      </c>
      <c r="S30" s="320">
        <v>927069.39748428576</v>
      </c>
      <c r="T30" s="320">
        <v>1270535.7397249697</v>
      </c>
      <c r="U30" s="320">
        <v>1527761.2847685665</v>
      </c>
      <c r="V30" s="320">
        <v>1136133.77527471</v>
      </c>
      <c r="W30" s="320">
        <v>3494066.4453670178</v>
      </c>
      <c r="X30" s="320">
        <v>711446.20108648366</v>
      </c>
      <c r="Y30" s="320">
        <v>364651.29746221349</v>
      </c>
      <c r="Z30" s="320">
        <v>848981.55889879086</v>
      </c>
      <c r="AA30" s="320">
        <v>3094841.8300882909</v>
      </c>
      <c r="AB30" s="320">
        <v>1522054.2689971353</v>
      </c>
      <c r="AC30" s="320">
        <v>4261351.7004613345</v>
      </c>
      <c r="AD30" s="320">
        <v>2315568.77</v>
      </c>
      <c r="AE30" s="92">
        <v>22541630.505685966</v>
      </c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226"/>
      <c r="AQ30" s="226"/>
      <c r="AR30" s="226"/>
      <c r="AS30" s="226"/>
    </row>
    <row r="31" spans="1:45" x14ac:dyDescent="0.25">
      <c r="A31" s="190" t="s">
        <v>345</v>
      </c>
      <c r="B31" s="191" t="s">
        <v>76</v>
      </c>
      <c r="C31" s="192"/>
      <c r="D31" s="319">
        <v>69304.716313499535</v>
      </c>
      <c r="E31" s="320">
        <v>123847.99346607886</v>
      </c>
      <c r="F31" s="320">
        <v>209989.96411175793</v>
      </c>
      <c r="G31" s="320">
        <v>188944.98847999232</v>
      </c>
      <c r="H31" s="320">
        <v>126343.62543542564</v>
      </c>
      <c r="I31" s="320">
        <v>155869.601462461</v>
      </c>
      <c r="J31" s="320">
        <v>461487.43688778888</v>
      </c>
      <c r="K31" s="320">
        <v>162608.49478101853</v>
      </c>
      <c r="L31" s="320">
        <v>91464.452024657017</v>
      </c>
      <c r="M31" s="320">
        <v>1366341.8431975655</v>
      </c>
      <c r="N31" s="320">
        <v>105187.1009693448</v>
      </c>
      <c r="O31" s="320">
        <v>1224323.4215963336</v>
      </c>
      <c r="P31" s="92">
        <v>4285713.6387259234</v>
      </c>
      <c r="Q31" s="320"/>
      <c r="R31" s="319">
        <v>69304.716313499535</v>
      </c>
      <c r="S31" s="320">
        <v>123847.99346607886</v>
      </c>
      <c r="T31" s="320">
        <v>209989.96411175793</v>
      </c>
      <c r="U31" s="320">
        <v>188944.98847999232</v>
      </c>
      <c r="V31" s="320">
        <v>126343.62543542564</v>
      </c>
      <c r="W31" s="320">
        <v>155869.601462461</v>
      </c>
      <c r="X31" s="320">
        <v>461487.43688778888</v>
      </c>
      <c r="Y31" s="320">
        <v>103973.07158549964</v>
      </c>
      <c r="Z31" s="320">
        <v>91464.452024657017</v>
      </c>
      <c r="AA31" s="320">
        <v>1366341.8431975655</v>
      </c>
      <c r="AB31" s="320">
        <v>105187.1009693448</v>
      </c>
      <c r="AC31" s="320">
        <v>1224323.4215963336</v>
      </c>
      <c r="AD31" s="320">
        <v>179776.72853333331</v>
      </c>
      <c r="AE31" s="92">
        <v>4406854.944063738</v>
      </c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226"/>
      <c r="AQ31" s="226"/>
      <c r="AR31" s="226"/>
      <c r="AS31" s="226"/>
    </row>
    <row r="32" spans="1:45" x14ac:dyDescent="0.25">
      <c r="A32" s="192" t="s">
        <v>346</v>
      </c>
      <c r="B32" s="191" t="s">
        <v>78</v>
      </c>
      <c r="C32" s="192"/>
      <c r="D32" s="319">
        <v>544321.89276267565</v>
      </c>
      <c r="E32" s="320">
        <v>1050359.0218576486</v>
      </c>
      <c r="F32" s="320">
        <v>976619.41511350567</v>
      </c>
      <c r="G32" s="320">
        <v>729432.90206220909</v>
      </c>
      <c r="H32" s="320">
        <v>1052262.5063568868</v>
      </c>
      <c r="I32" s="320">
        <v>230131.38741551794</v>
      </c>
      <c r="J32" s="320">
        <v>667957.15872318193</v>
      </c>
      <c r="K32" s="320">
        <v>662743.37853264052</v>
      </c>
      <c r="L32" s="320">
        <v>1552316.5426687798</v>
      </c>
      <c r="M32" s="320">
        <v>734613.53244646545</v>
      </c>
      <c r="N32" s="320">
        <v>693099.25407354813</v>
      </c>
      <c r="O32" s="320">
        <v>1182840.565099</v>
      </c>
      <c r="P32" s="92">
        <v>10076697.55711206</v>
      </c>
      <c r="Q32" s="320"/>
      <c r="R32" s="319">
        <v>544321.89276267565</v>
      </c>
      <c r="S32" s="320">
        <v>1050359.0218576486</v>
      </c>
      <c r="T32" s="320">
        <v>544228.56252661569</v>
      </c>
      <c r="U32" s="320">
        <v>729432.90206220909</v>
      </c>
      <c r="V32" s="320">
        <v>1052262.5063568868</v>
      </c>
      <c r="W32" s="320">
        <v>230131.38741551794</v>
      </c>
      <c r="X32" s="320">
        <v>667957.15872318193</v>
      </c>
      <c r="Y32" s="320">
        <v>613617.94294976222</v>
      </c>
      <c r="Z32" s="320">
        <v>1552316.5426687798</v>
      </c>
      <c r="AA32" s="320">
        <v>734613.53244646545</v>
      </c>
      <c r="AB32" s="320">
        <v>693099.25407354813</v>
      </c>
      <c r="AC32" s="320">
        <v>1182840.565099</v>
      </c>
      <c r="AD32" s="320">
        <v>974512.0033333333</v>
      </c>
      <c r="AE32" s="92">
        <v>10569693.272275627</v>
      </c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226"/>
      <c r="AQ32" s="226"/>
      <c r="AR32" s="226"/>
      <c r="AS32" s="226"/>
    </row>
    <row r="33" spans="1:45" x14ac:dyDescent="0.25">
      <c r="A33" s="190" t="s">
        <v>79</v>
      </c>
      <c r="B33" s="193" t="s">
        <v>80</v>
      </c>
      <c r="C33" s="189"/>
      <c r="D33" s="319">
        <v>836718.40406862856</v>
      </c>
      <c r="E33" s="320">
        <v>1682038.642191771</v>
      </c>
      <c r="F33" s="320">
        <v>1639364.4433113062</v>
      </c>
      <c r="G33" s="320">
        <v>1491803.6350718895</v>
      </c>
      <c r="H33" s="320">
        <v>4362953.480065573</v>
      </c>
      <c r="I33" s="320">
        <v>1803862.5843396944</v>
      </c>
      <c r="J33" s="320">
        <v>1592671.2002357515</v>
      </c>
      <c r="K33" s="320">
        <v>1141169.9194083768</v>
      </c>
      <c r="L33" s="320">
        <v>1864337.9558706083</v>
      </c>
      <c r="M33" s="320">
        <v>1136521.5007958447</v>
      </c>
      <c r="N33" s="320">
        <v>3080654.2456050939</v>
      </c>
      <c r="O33" s="320">
        <v>2451350.8537443336</v>
      </c>
      <c r="P33" s="92">
        <v>23083446.864708871</v>
      </c>
      <c r="Q33" s="320"/>
      <c r="R33" s="319">
        <v>836718.40406862856</v>
      </c>
      <c r="S33" s="320">
        <v>1682038.642191771</v>
      </c>
      <c r="T33" s="320">
        <v>1506037.8982687541</v>
      </c>
      <c r="U33" s="320">
        <v>1491803.6350718895</v>
      </c>
      <c r="V33" s="320">
        <v>4362953.480065573</v>
      </c>
      <c r="W33" s="320">
        <v>1803862.5843396944</v>
      </c>
      <c r="X33" s="320">
        <v>1592671.2002357515</v>
      </c>
      <c r="Y33" s="320">
        <v>1006777.7523111434</v>
      </c>
      <c r="Z33" s="320">
        <v>1864337.9558706083</v>
      </c>
      <c r="AA33" s="320">
        <v>1136521.5007958447</v>
      </c>
      <c r="AB33" s="320">
        <v>3080654.2456050939</v>
      </c>
      <c r="AC33" s="320">
        <v>2451350.8537443336</v>
      </c>
      <c r="AD33" s="320">
        <v>1764123.6966666665</v>
      </c>
      <c r="AE33" s="92">
        <v>24579851.849235751</v>
      </c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226"/>
      <c r="AQ33" s="226"/>
      <c r="AR33" s="226"/>
      <c r="AS33" s="226"/>
    </row>
    <row r="34" spans="1:45" x14ac:dyDescent="0.25">
      <c r="A34" s="190" t="s">
        <v>81</v>
      </c>
      <c r="B34" s="193" t="s">
        <v>82</v>
      </c>
      <c r="C34" s="189"/>
      <c r="D34" s="319">
        <v>1488820.7605525469</v>
      </c>
      <c r="E34" s="320">
        <v>3593314.7485527978</v>
      </c>
      <c r="F34" s="320">
        <v>3647096.0477703456</v>
      </c>
      <c r="G34" s="320">
        <v>3221382.1379248877</v>
      </c>
      <c r="H34" s="320">
        <v>966902.47723156156</v>
      </c>
      <c r="I34" s="320">
        <v>1076165.6550176735</v>
      </c>
      <c r="J34" s="320">
        <v>950594.22836928593</v>
      </c>
      <c r="K34" s="320">
        <v>1904331.2057638816</v>
      </c>
      <c r="L34" s="320">
        <v>2660221.9332937622</v>
      </c>
      <c r="M34" s="320">
        <v>1243157.3484713691</v>
      </c>
      <c r="N34" s="320">
        <v>1943875.5481341493</v>
      </c>
      <c r="O34" s="320">
        <v>1362939.7751627504</v>
      </c>
      <c r="P34" s="92">
        <v>24058801.866245013</v>
      </c>
      <c r="Q34" s="320"/>
      <c r="R34" s="319">
        <v>1488820.7605525469</v>
      </c>
      <c r="S34" s="320">
        <v>3593314.7485527978</v>
      </c>
      <c r="T34" s="320">
        <v>3515862.5137422588</v>
      </c>
      <c r="U34" s="320">
        <v>3221382.1379248877</v>
      </c>
      <c r="V34" s="320">
        <v>966902.47723156156</v>
      </c>
      <c r="W34" s="320">
        <v>1076165.6550176735</v>
      </c>
      <c r="X34" s="320">
        <v>950594.22836928593</v>
      </c>
      <c r="Y34" s="320">
        <v>1891269.7055841065</v>
      </c>
      <c r="Z34" s="320">
        <v>2660221.9332937622</v>
      </c>
      <c r="AA34" s="320">
        <v>1243157.3484713691</v>
      </c>
      <c r="AB34" s="320">
        <v>1943875.5481341493</v>
      </c>
      <c r="AC34" s="320">
        <v>1362939.7751627504</v>
      </c>
      <c r="AD34" s="320">
        <v>7981928.9926666664</v>
      </c>
      <c r="AE34" s="92">
        <v>31896435.824703816</v>
      </c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226"/>
      <c r="AQ34" s="226"/>
      <c r="AR34" s="226"/>
      <c r="AS34" s="226"/>
    </row>
    <row r="35" spans="1:45" x14ac:dyDescent="0.25">
      <c r="A35" s="190" t="s">
        <v>83</v>
      </c>
      <c r="B35" s="193" t="s">
        <v>84</v>
      </c>
      <c r="C35" s="189"/>
      <c r="D35" s="319">
        <v>1491709.5488875988</v>
      </c>
      <c r="E35" s="320">
        <v>1486150.5431098575</v>
      </c>
      <c r="F35" s="320">
        <v>1571837.0395847091</v>
      </c>
      <c r="G35" s="320">
        <v>1331061.0037479976</v>
      </c>
      <c r="H35" s="320">
        <v>2023218.2488012579</v>
      </c>
      <c r="I35" s="320">
        <v>2767913.1171394428</v>
      </c>
      <c r="J35" s="320">
        <v>1940512.343352064</v>
      </c>
      <c r="K35" s="320">
        <v>2585517.4353009234</v>
      </c>
      <c r="L35" s="320">
        <v>1217717.9555910944</v>
      </c>
      <c r="M35" s="320">
        <v>3674494.3017196059</v>
      </c>
      <c r="N35" s="320">
        <v>1346082.5860195633</v>
      </c>
      <c r="O35" s="320">
        <v>979572.51989134331</v>
      </c>
      <c r="P35" s="92">
        <v>22415786.643145461</v>
      </c>
      <c r="Q35" s="320"/>
      <c r="R35" s="319">
        <v>1491709.5488875988</v>
      </c>
      <c r="S35" s="320">
        <v>1486150.5431098575</v>
      </c>
      <c r="T35" s="320">
        <v>1455638.9277679021</v>
      </c>
      <c r="U35" s="320">
        <v>1331061.0037479976</v>
      </c>
      <c r="V35" s="320">
        <v>2016305.1188165541</v>
      </c>
      <c r="W35" s="320">
        <v>2767913.1171394428</v>
      </c>
      <c r="X35" s="320">
        <v>1940512.343352064</v>
      </c>
      <c r="Y35" s="320">
        <v>2353437.5645408859</v>
      </c>
      <c r="Z35" s="320">
        <v>1217717.9555910944</v>
      </c>
      <c r="AA35" s="320">
        <v>3674494.3017196059</v>
      </c>
      <c r="AB35" s="320">
        <v>1346082.5860195633</v>
      </c>
      <c r="AC35" s="320">
        <v>979572.51989134331</v>
      </c>
      <c r="AD35" s="320">
        <v>1496209.555933333</v>
      </c>
      <c r="AE35" s="92">
        <v>23556805.086517245</v>
      </c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226"/>
      <c r="AQ35" s="226"/>
      <c r="AR35" s="226"/>
      <c r="AS35" s="226"/>
    </row>
    <row r="36" spans="1:45" x14ac:dyDescent="0.25">
      <c r="A36" s="190" t="s">
        <v>85</v>
      </c>
      <c r="B36" s="193" t="s">
        <v>86</v>
      </c>
      <c r="C36" s="189"/>
      <c r="D36" s="319">
        <v>674993.04690546182</v>
      </c>
      <c r="E36" s="320">
        <v>342363.33806265146</v>
      </c>
      <c r="F36" s="320">
        <v>1636354.9248720354</v>
      </c>
      <c r="G36" s="320">
        <v>748200.93899085326</v>
      </c>
      <c r="H36" s="320">
        <v>1284982.8838335434</v>
      </c>
      <c r="I36" s="320">
        <v>1500620.7579187616</v>
      </c>
      <c r="J36" s="320">
        <v>282658.48365455953</v>
      </c>
      <c r="K36" s="320">
        <v>948189.65047225612</v>
      </c>
      <c r="L36" s="320">
        <v>3239502.5420331946</v>
      </c>
      <c r="M36" s="320">
        <v>1210401.6269348206</v>
      </c>
      <c r="N36" s="320">
        <v>538794.79354437662</v>
      </c>
      <c r="O36" s="320">
        <v>1652413.0574990003</v>
      </c>
      <c r="P36" s="92">
        <v>14059476.044721516</v>
      </c>
      <c r="Q36" s="320"/>
      <c r="R36" s="319">
        <v>674993.04690546182</v>
      </c>
      <c r="S36" s="320">
        <v>342363.33806265146</v>
      </c>
      <c r="T36" s="320">
        <v>1320011.9555420107</v>
      </c>
      <c r="U36" s="320">
        <v>748200.93899085326</v>
      </c>
      <c r="V36" s="320">
        <v>1284982.8838335434</v>
      </c>
      <c r="W36" s="320">
        <v>1500620.7579187616</v>
      </c>
      <c r="X36" s="320">
        <v>282658.48365455953</v>
      </c>
      <c r="Y36" s="320">
        <v>858419.0789999296</v>
      </c>
      <c r="Z36" s="320">
        <v>3239502.5420331946</v>
      </c>
      <c r="AA36" s="320">
        <v>1210401.6269348206</v>
      </c>
      <c r="AB36" s="320">
        <v>538794.79354437662</v>
      </c>
      <c r="AC36" s="320">
        <v>1652413.0574990003</v>
      </c>
      <c r="AD36" s="320">
        <v>789392.84000000008</v>
      </c>
      <c r="AE36" s="92">
        <v>14442755.343919164</v>
      </c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226"/>
      <c r="AQ36" s="226"/>
      <c r="AR36" s="226"/>
      <c r="AS36" s="226"/>
    </row>
    <row r="37" spans="1:45" x14ac:dyDescent="0.25">
      <c r="A37" s="190" t="s">
        <v>87</v>
      </c>
      <c r="B37" s="193" t="s">
        <v>88</v>
      </c>
      <c r="C37" s="189"/>
      <c r="D37" s="319">
        <v>937256.11321379116</v>
      </c>
      <c r="E37" s="320">
        <v>1259914.2216112339</v>
      </c>
      <c r="F37" s="320">
        <v>4339863.893289919</v>
      </c>
      <c r="G37" s="320">
        <v>2426569.7360942862</v>
      </c>
      <c r="H37" s="320">
        <v>929658.8605331952</v>
      </c>
      <c r="I37" s="320">
        <v>927034.34579127829</v>
      </c>
      <c r="J37" s="320">
        <v>1057283.1034167511</v>
      </c>
      <c r="K37" s="320">
        <v>1413435.5487756371</v>
      </c>
      <c r="L37" s="320">
        <v>572852.36371460708</v>
      </c>
      <c r="M37" s="320">
        <v>1426364.7733518891</v>
      </c>
      <c r="N37" s="320">
        <v>780001.67963797634</v>
      </c>
      <c r="O37" s="320">
        <v>2881414.1617996506</v>
      </c>
      <c r="P37" s="92">
        <v>18951648.801230215</v>
      </c>
      <c r="Q37" s="320"/>
      <c r="R37" s="319">
        <v>937256.11321379116</v>
      </c>
      <c r="S37" s="320">
        <v>1259914.2216112339</v>
      </c>
      <c r="T37" s="320">
        <v>3573718.2756110621</v>
      </c>
      <c r="U37" s="320">
        <v>2426569.7360942862</v>
      </c>
      <c r="V37" s="320">
        <v>929658.8605331952</v>
      </c>
      <c r="W37" s="320">
        <v>927034.34579127829</v>
      </c>
      <c r="X37" s="320">
        <v>1057283.1034167511</v>
      </c>
      <c r="Y37" s="320">
        <v>736796.99643643748</v>
      </c>
      <c r="Z37" s="320">
        <v>572852.36371460708</v>
      </c>
      <c r="AA37" s="320">
        <v>1426364.7733518891</v>
      </c>
      <c r="AB37" s="320">
        <v>780001.67963797634</v>
      </c>
      <c r="AC37" s="320">
        <v>2881414.1617996506</v>
      </c>
      <c r="AD37" s="320">
        <v>1501171.7207190485</v>
      </c>
      <c r="AE37" s="92">
        <v>19010036.351931207</v>
      </c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226"/>
      <c r="AQ37" s="226"/>
      <c r="AR37" s="226"/>
      <c r="AS37" s="226"/>
    </row>
    <row r="38" spans="1:45" x14ac:dyDescent="0.25">
      <c r="A38" s="190" t="s">
        <v>89</v>
      </c>
      <c r="B38" s="193" t="s">
        <v>90</v>
      </c>
      <c r="C38" s="189"/>
      <c r="D38" s="319">
        <v>204287.57474791203</v>
      </c>
      <c r="E38" s="320">
        <v>57269.600692499429</v>
      </c>
      <c r="F38" s="320">
        <v>358666.70567101421</v>
      </c>
      <c r="G38" s="320">
        <v>403364.68870910321</v>
      </c>
      <c r="H38" s="320">
        <v>106192.12423997848</v>
      </c>
      <c r="I38" s="320">
        <v>241783.68424560843</v>
      </c>
      <c r="J38" s="320">
        <v>398794.76775125699</v>
      </c>
      <c r="K38" s="320">
        <v>723447.90477798553</v>
      </c>
      <c r="L38" s="320">
        <v>260452.97057313117</v>
      </c>
      <c r="M38" s="320">
        <v>167867.84045731483</v>
      </c>
      <c r="N38" s="320">
        <v>316922.03968922881</v>
      </c>
      <c r="O38" s="320">
        <v>0</v>
      </c>
      <c r="P38" s="92">
        <v>3239049.9015550325</v>
      </c>
      <c r="Q38" s="320"/>
      <c r="R38" s="319">
        <v>204287.57474791203</v>
      </c>
      <c r="S38" s="320">
        <v>57269.600692499429</v>
      </c>
      <c r="T38" s="320">
        <v>123225.83479470058</v>
      </c>
      <c r="U38" s="320">
        <v>403364.68870910321</v>
      </c>
      <c r="V38" s="320">
        <v>106192.12423997848</v>
      </c>
      <c r="W38" s="320">
        <v>241783.68424560843</v>
      </c>
      <c r="X38" s="320">
        <v>398794.76775125699</v>
      </c>
      <c r="Y38" s="320">
        <v>697253.07270344684</v>
      </c>
      <c r="Z38" s="320">
        <v>260452.97057313117</v>
      </c>
      <c r="AA38" s="320">
        <v>167867.84045731483</v>
      </c>
      <c r="AB38" s="320">
        <v>316922.03968922881</v>
      </c>
      <c r="AC38" s="320">
        <v>0</v>
      </c>
      <c r="AD38" s="320">
        <v>309899.72399999999</v>
      </c>
      <c r="AE38" s="92">
        <v>3287313.9226041804</v>
      </c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226"/>
      <c r="AQ38" s="226"/>
      <c r="AR38" s="226"/>
      <c r="AS38" s="226"/>
    </row>
    <row r="39" spans="1:45" x14ac:dyDescent="0.25">
      <c r="A39" s="190" t="s">
        <v>91</v>
      </c>
      <c r="B39" s="191" t="s">
        <v>92</v>
      </c>
      <c r="C39" s="192"/>
      <c r="D39" s="319">
        <v>664374.13948868343</v>
      </c>
      <c r="E39" s="320">
        <v>449217.12098912429</v>
      </c>
      <c r="F39" s="320">
        <v>1104743.7406732908</v>
      </c>
      <c r="G39" s="320">
        <v>560818.25892796065</v>
      </c>
      <c r="H39" s="320">
        <v>1295914.6209752776</v>
      </c>
      <c r="I39" s="320">
        <v>1774110.5479056363</v>
      </c>
      <c r="J39" s="320">
        <v>1016032.6877771453</v>
      </c>
      <c r="K39" s="320">
        <v>1434128.6598292363</v>
      </c>
      <c r="L39" s="320">
        <v>842043.46586834395</v>
      </c>
      <c r="M39" s="320">
        <v>2631139.7304623383</v>
      </c>
      <c r="N39" s="320">
        <v>1442580.0078575867</v>
      </c>
      <c r="O39" s="320">
        <v>1785268.9800010005</v>
      </c>
      <c r="P39" s="92">
        <v>15000371.960755626</v>
      </c>
      <c r="Q39" s="320"/>
      <c r="R39" s="319">
        <v>664374.13948868343</v>
      </c>
      <c r="S39" s="320">
        <v>449217.12098912429</v>
      </c>
      <c r="T39" s="320">
        <v>1046274.8304277899</v>
      </c>
      <c r="U39" s="320">
        <v>560818.25892796065</v>
      </c>
      <c r="V39" s="320">
        <v>1295914.6209752776</v>
      </c>
      <c r="W39" s="320">
        <v>1774110.5479056363</v>
      </c>
      <c r="X39" s="320">
        <v>1016032.6877771453</v>
      </c>
      <c r="Y39" s="320">
        <v>1306889.3564759227</v>
      </c>
      <c r="Z39" s="320">
        <v>842043.46586834395</v>
      </c>
      <c r="AA39" s="320">
        <v>2631139.7304623383</v>
      </c>
      <c r="AB39" s="320">
        <v>1442580.0078575867</v>
      </c>
      <c r="AC39" s="320">
        <v>1785268.9800010005</v>
      </c>
      <c r="AD39" s="320">
        <v>1290874.6886333334</v>
      </c>
      <c r="AE39" s="92">
        <v>16105538.435790146</v>
      </c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226"/>
      <c r="AQ39" s="226"/>
      <c r="AR39" s="226"/>
      <c r="AS39" s="226"/>
    </row>
    <row r="40" spans="1:45" x14ac:dyDescent="0.25">
      <c r="A40" s="190" t="s">
        <v>93</v>
      </c>
      <c r="B40" s="193" t="s">
        <v>94</v>
      </c>
      <c r="C40" s="189"/>
      <c r="D40" s="319">
        <v>814321.96856144734</v>
      </c>
      <c r="E40" s="320">
        <v>912511.83787669032</v>
      </c>
      <c r="F40" s="320">
        <v>1348022.966782283</v>
      </c>
      <c r="G40" s="320">
        <v>1139573.7338529672</v>
      </c>
      <c r="H40" s="320">
        <v>794626.83085855318</v>
      </c>
      <c r="I40" s="320">
        <v>2105112.0588627597</v>
      </c>
      <c r="J40" s="320">
        <v>520825.07940525532</v>
      </c>
      <c r="K40" s="320">
        <v>475320.33693942957</v>
      </c>
      <c r="L40" s="320">
        <v>6132481.0611530039</v>
      </c>
      <c r="M40" s="320">
        <v>11751708.808242777</v>
      </c>
      <c r="N40" s="320">
        <v>2172577.4223352699</v>
      </c>
      <c r="O40" s="320">
        <v>797996.51245903689</v>
      </c>
      <c r="P40" s="92">
        <v>28965078.617329471</v>
      </c>
      <c r="Q40" s="320"/>
      <c r="R40" s="319">
        <v>814321.96856144734</v>
      </c>
      <c r="S40" s="320">
        <v>912511.83787669032</v>
      </c>
      <c r="T40" s="320">
        <v>1348022.966782283</v>
      </c>
      <c r="U40" s="320">
        <v>1139573.7338529672</v>
      </c>
      <c r="V40" s="320">
        <v>794626.83085855318</v>
      </c>
      <c r="W40" s="320">
        <v>2105112.0588627597</v>
      </c>
      <c r="X40" s="320">
        <v>520825.07940525532</v>
      </c>
      <c r="Y40" s="320">
        <v>274457.82019661379</v>
      </c>
      <c r="Z40" s="320">
        <v>6132481.0611530039</v>
      </c>
      <c r="AA40" s="320">
        <v>11751708.808242777</v>
      </c>
      <c r="AB40" s="320">
        <v>2172577.4223352699</v>
      </c>
      <c r="AC40" s="320">
        <v>797996.51245903689</v>
      </c>
      <c r="AD40" s="320">
        <v>1261673.1597666668</v>
      </c>
      <c r="AE40" s="92">
        <v>30025889.260353327</v>
      </c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226"/>
      <c r="AQ40" s="226"/>
      <c r="AR40" s="226"/>
      <c r="AS40" s="226"/>
    </row>
    <row r="41" spans="1:45" x14ac:dyDescent="0.25">
      <c r="A41" s="190" t="s">
        <v>95</v>
      </c>
      <c r="B41" s="193" t="s">
        <v>96</v>
      </c>
      <c r="C41" s="189"/>
      <c r="D41" s="319">
        <v>799394.68954509567</v>
      </c>
      <c r="E41" s="320">
        <v>1572228.4705883465</v>
      </c>
      <c r="F41" s="320">
        <v>849579.26925725339</v>
      </c>
      <c r="G41" s="320">
        <v>2420968.5214869264</v>
      </c>
      <c r="H41" s="320">
        <v>607119.58380757936</v>
      </c>
      <c r="I41" s="320">
        <v>1689633.2691459188</v>
      </c>
      <c r="J41" s="320">
        <v>1689235.7490875388</v>
      </c>
      <c r="K41" s="320">
        <v>1856445.6055468635</v>
      </c>
      <c r="L41" s="320">
        <v>2449556.5712624234</v>
      </c>
      <c r="M41" s="320">
        <v>2082068.4624678711</v>
      </c>
      <c r="N41" s="320">
        <v>2265570.5432294547</v>
      </c>
      <c r="O41" s="320">
        <v>1355610.4939213335</v>
      </c>
      <c r="P41" s="92">
        <v>19637411.229346603</v>
      </c>
      <c r="Q41" s="320"/>
      <c r="R41" s="319">
        <v>799394.68954509567</v>
      </c>
      <c r="S41" s="320">
        <v>1572228.4705883465</v>
      </c>
      <c r="T41" s="320">
        <v>685085.33583465021</v>
      </c>
      <c r="U41" s="320">
        <v>2420968.5214869264</v>
      </c>
      <c r="V41" s="320">
        <v>607119.58380757936</v>
      </c>
      <c r="W41" s="320">
        <v>1689633.2691459188</v>
      </c>
      <c r="X41" s="320">
        <v>1689235.7490875388</v>
      </c>
      <c r="Y41" s="320">
        <v>1391306.106864118</v>
      </c>
      <c r="Z41" s="320">
        <v>2449556.5712624234</v>
      </c>
      <c r="AA41" s="320">
        <v>2082068.4624678711</v>
      </c>
      <c r="AB41" s="320">
        <v>2265570.5432294547</v>
      </c>
      <c r="AC41" s="320">
        <v>1355610.4939213335</v>
      </c>
      <c r="AD41" s="320">
        <v>1373983.2583333331</v>
      </c>
      <c r="AE41" s="92">
        <v>20381761.055574588</v>
      </c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226"/>
      <c r="AQ41" s="226"/>
      <c r="AR41" s="226"/>
      <c r="AS41" s="226"/>
    </row>
    <row r="42" spans="1:45" x14ac:dyDescent="0.25">
      <c r="A42" s="190" t="s">
        <v>97</v>
      </c>
      <c r="B42" s="191" t="s">
        <v>98</v>
      </c>
      <c r="C42" s="192"/>
      <c r="D42" s="319">
        <v>201538.10768367979</v>
      </c>
      <c r="E42" s="320">
        <v>159504.36072119841</v>
      </c>
      <c r="F42" s="320">
        <v>31598.790765695532</v>
      </c>
      <c r="G42" s="320">
        <v>413350.30425514141</v>
      </c>
      <c r="H42" s="320">
        <v>156241.57341050202</v>
      </c>
      <c r="I42" s="320">
        <v>543012.82050844829</v>
      </c>
      <c r="J42" s="320">
        <v>866699.63922247489</v>
      </c>
      <c r="K42" s="320">
        <v>680266.43142692011</v>
      </c>
      <c r="L42" s="320">
        <v>416540.48164463235</v>
      </c>
      <c r="M42" s="320">
        <v>314384.72200672963</v>
      </c>
      <c r="N42" s="320">
        <v>479055.74776673812</v>
      </c>
      <c r="O42" s="320">
        <v>277414.58368466666</v>
      </c>
      <c r="P42" s="92">
        <v>4539607.5630968278</v>
      </c>
      <c r="Q42" s="320"/>
      <c r="R42" s="319">
        <v>201538.10768367979</v>
      </c>
      <c r="S42" s="320">
        <v>159504.36072119841</v>
      </c>
      <c r="T42" s="320">
        <v>31598.790765695532</v>
      </c>
      <c r="U42" s="320">
        <v>413350.30425514141</v>
      </c>
      <c r="V42" s="320">
        <v>156241.57341050202</v>
      </c>
      <c r="W42" s="320">
        <v>543012.82050844829</v>
      </c>
      <c r="X42" s="320">
        <v>866699.63922247489</v>
      </c>
      <c r="Y42" s="320">
        <v>670001.52720555593</v>
      </c>
      <c r="Z42" s="320">
        <v>416540.48164463235</v>
      </c>
      <c r="AA42" s="320">
        <v>314384.72200672963</v>
      </c>
      <c r="AB42" s="320">
        <v>479055.74776673812</v>
      </c>
      <c r="AC42" s="320">
        <v>277414.58368466666</v>
      </c>
      <c r="AD42" s="320">
        <v>134540.47666666668</v>
      </c>
      <c r="AE42" s="92">
        <v>4663883.1355421301</v>
      </c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226"/>
      <c r="AQ42" s="226"/>
      <c r="AR42" s="226"/>
      <c r="AS42" s="226"/>
    </row>
    <row r="43" spans="1:45" x14ac:dyDescent="0.25">
      <c r="A43" s="190" t="s">
        <v>99</v>
      </c>
      <c r="B43" s="193" t="s">
        <v>100</v>
      </c>
      <c r="C43" s="189"/>
      <c r="D43" s="319">
        <v>648817.09418656409</v>
      </c>
      <c r="E43" s="320">
        <v>349463.91258254956</v>
      </c>
      <c r="F43" s="320">
        <v>737340.825294271</v>
      </c>
      <c r="G43" s="320">
        <v>229650.0185121336</v>
      </c>
      <c r="H43" s="320">
        <v>244054.79139049028</v>
      </c>
      <c r="I43" s="320">
        <v>995867.21237777045</v>
      </c>
      <c r="J43" s="320">
        <v>295441.09326132678</v>
      </c>
      <c r="K43" s="320">
        <v>292988.75609157362</v>
      </c>
      <c r="L43" s="320">
        <v>134583.58614468478</v>
      </c>
      <c r="M43" s="320">
        <v>2081043.1023895345</v>
      </c>
      <c r="N43" s="320">
        <v>216851.56821690043</v>
      </c>
      <c r="O43" s="320">
        <v>251302.53066800002</v>
      </c>
      <c r="P43" s="92">
        <v>6477404.4911157982</v>
      </c>
      <c r="Q43" s="320"/>
      <c r="R43" s="319">
        <v>648817.09418656409</v>
      </c>
      <c r="S43" s="320">
        <v>349463.91258254956</v>
      </c>
      <c r="T43" s="320">
        <v>703570.19219993858</v>
      </c>
      <c r="U43" s="320">
        <v>229650.0185121336</v>
      </c>
      <c r="V43" s="320">
        <v>244054.79139049028</v>
      </c>
      <c r="W43" s="320">
        <v>995867.21237777045</v>
      </c>
      <c r="X43" s="320">
        <v>295441.09326132678</v>
      </c>
      <c r="Y43" s="320">
        <v>269684.65552365623</v>
      </c>
      <c r="Z43" s="320">
        <v>134583.58614468478</v>
      </c>
      <c r="AA43" s="320">
        <v>2081043.1023895345</v>
      </c>
      <c r="AB43" s="320">
        <v>216851.56821690043</v>
      </c>
      <c r="AC43" s="320">
        <v>251302.53066800002</v>
      </c>
      <c r="AD43" s="320">
        <v>2052820.6833333336</v>
      </c>
      <c r="AE43" s="92">
        <v>8473150.4407868832</v>
      </c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226"/>
      <c r="AQ43" s="226"/>
      <c r="AR43" s="226"/>
      <c r="AS43" s="226"/>
    </row>
    <row r="44" spans="1:45" x14ac:dyDescent="0.25">
      <c r="A44" s="190" t="s">
        <v>101</v>
      </c>
      <c r="B44" s="191" t="s">
        <v>102</v>
      </c>
      <c r="C44" s="192"/>
      <c r="D44" s="319">
        <v>1048581.1257779221</v>
      </c>
      <c r="E44" s="320">
        <v>2018719.8289969936</v>
      </c>
      <c r="F44" s="320">
        <v>793825.16758300667</v>
      </c>
      <c r="G44" s="320">
        <v>230630.82785969551</v>
      </c>
      <c r="H44" s="320">
        <v>909113.95019683731</v>
      </c>
      <c r="I44" s="320">
        <v>2883348.634031476</v>
      </c>
      <c r="J44" s="320">
        <v>2286366.4424516317</v>
      </c>
      <c r="K44" s="320">
        <v>4444046.7807524474</v>
      </c>
      <c r="L44" s="320">
        <v>2498385.7948299227</v>
      </c>
      <c r="M44" s="320">
        <v>2170818.4535654103</v>
      </c>
      <c r="N44" s="320">
        <v>2244716.1633350216</v>
      </c>
      <c r="O44" s="320">
        <v>778794.93008800002</v>
      </c>
      <c r="P44" s="92">
        <v>22307348.099468365</v>
      </c>
      <c r="Q44" s="320"/>
      <c r="R44" s="319">
        <v>1048581.1257779221</v>
      </c>
      <c r="S44" s="320">
        <v>2018719.8289969936</v>
      </c>
      <c r="T44" s="320">
        <v>762590.19333235628</v>
      </c>
      <c r="U44" s="320">
        <v>230630.82785969551</v>
      </c>
      <c r="V44" s="320">
        <v>909113.95019683731</v>
      </c>
      <c r="W44" s="320">
        <v>2883348.634031476</v>
      </c>
      <c r="X44" s="320">
        <v>2286366.4424516317</v>
      </c>
      <c r="Y44" s="320">
        <v>4420773.5001047263</v>
      </c>
      <c r="Z44" s="320">
        <v>2498385.7948299227</v>
      </c>
      <c r="AA44" s="320">
        <v>2170818.4535654103</v>
      </c>
      <c r="AB44" s="320">
        <v>2244716.1633350216</v>
      </c>
      <c r="AC44" s="320">
        <v>778794.93008800002</v>
      </c>
      <c r="AD44" s="320">
        <v>350500.67</v>
      </c>
      <c r="AE44" s="92">
        <v>22603340.514569994</v>
      </c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226"/>
      <c r="AQ44" s="226"/>
      <c r="AR44" s="226"/>
      <c r="AS44" s="226"/>
    </row>
    <row r="45" spans="1:45" x14ac:dyDescent="0.25">
      <c r="A45" s="190" t="s">
        <v>103</v>
      </c>
      <c r="B45" s="193" t="s">
        <v>104</v>
      </c>
      <c r="C45" s="189"/>
      <c r="D45" s="319">
        <v>1262634.8073517601</v>
      </c>
      <c r="E45" s="320">
        <v>2241918.4225064227</v>
      </c>
      <c r="F45" s="320">
        <v>2154025.7006799774</v>
      </c>
      <c r="G45" s="320">
        <v>1775698.283618445</v>
      </c>
      <c r="H45" s="320">
        <v>1831929.6748003364</v>
      </c>
      <c r="I45" s="320">
        <v>3797182.6295145331</v>
      </c>
      <c r="J45" s="320">
        <v>2583066.7972827409</v>
      </c>
      <c r="K45" s="320">
        <v>11844048.813073963</v>
      </c>
      <c r="L45" s="320">
        <v>1853795.5999827767</v>
      </c>
      <c r="M45" s="320">
        <v>12359205.336060341</v>
      </c>
      <c r="N45" s="320">
        <v>6284660.2984622531</v>
      </c>
      <c r="O45" s="320">
        <v>3158884.341223001</v>
      </c>
      <c r="P45" s="92">
        <v>51147050.704556555</v>
      </c>
      <c r="Q45" s="320"/>
      <c r="R45" s="319">
        <v>1262634.8073517601</v>
      </c>
      <c r="S45" s="320">
        <v>2241918.4225064227</v>
      </c>
      <c r="T45" s="320">
        <v>1717341.8434046661</v>
      </c>
      <c r="U45" s="320">
        <v>1775698.283618445</v>
      </c>
      <c r="V45" s="320">
        <v>1831929.6748003364</v>
      </c>
      <c r="W45" s="320">
        <v>3797182.6295145331</v>
      </c>
      <c r="X45" s="320">
        <v>2583066.7972827409</v>
      </c>
      <c r="Y45" s="320">
        <v>11552264.199464798</v>
      </c>
      <c r="Z45" s="320">
        <v>1853795.5999827767</v>
      </c>
      <c r="AA45" s="320">
        <v>12359205.336060341</v>
      </c>
      <c r="AB45" s="320">
        <v>6284660.2984622531</v>
      </c>
      <c r="AC45" s="320">
        <v>3158884.341223001</v>
      </c>
      <c r="AD45" s="320">
        <v>4439542.9666666668</v>
      </c>
      <c r="AE45" s="92">
        <v>54858125.200338751</v>
      </c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226"/>
      <c r="AQ45" s="226"/>
      <c r="AR45" s="226"/>
      <c r="AS45" s="226"/>
    </row>
    <row r="46" spans="1:45" x14ac:dyDescent="0.25">
      <c r="A46" s="190" t="s">
        <v>105</v>
      </c>
      <c r="B46" s="193" t="s">
        <v>106</v>
      </c>
      <c r="C46" s="189"/>
      <c r="D46" s="319">
        <v>259373.98699317974</v>
      </c>
      <c r="E46" s="320">
        <v>244634.41691199891</v>
      </c>
      <c r="F46" s="320">
        <v>257103.15751215027</v>
      </c>
      <c r="G46" s="320">
        <v>309241.01997532672</v>
      </c>
      <c r="H46" s="320">
        <v>477409.16499249492</v>
      </c>
      <c r="I46" s="320">
        <v>188925.89160556928</v>
      </c>
      <c r="J46" s="320">
        <v>241891.6635192988</v>
      </c>
      <c r="K46" s="320">
        <v>1436384.1088912364</v>
      </c>
      <c r="L46" s="320">
        <v>800373.38421175687</v>
      </c>
      <c r="M46" s="320">
        <v>1793244.2876613629</v>
      </c>
      <c r="N46" s="320">
        <v>617864.10485707608</v>
      </c>
      <c r="O46" s="320">
        <v>217675.81416066666</v>
      </c>
      <c r="P46" s="92">
        <v>6844121.0012921179</v>
      </c>
      <c r="Q46" s="320"/>
      <c r="R46" s="319">
        <v>259373.98699317974</v>
      </c>
      <c r="S46" s="320">
        <v>244634.41691199891</v>
      </c>
      <c r="T46" s="320">
        <v>257103.15751215027</v>
      </c>
      <c r="U46" s="320">
        <v>309241.01997532672</v>
      </c>
      <c r="V46" s="320">
        <v>477409.16499249492</v>
      </c>
      <c r="W46" s="320">
        <v>188925.89160556928</v>
      </c>
      <c r="X46" s="320">
        <v>241891.6635192988</v>
      </c>
      <c r="Y46" s="320">
        <v>1424516.277378364</v>
      </c>
      <c r="Z46" s="320">
        <v>800373.38421175687</v>
      </c>
      <c r="AA46" s="320">
        <v>1793244.2876613629</v>
      </c>
      <c r="AB46" s="320">
        <v>617864.10485707608</v>
      </c>
      <c r="AC46" s="320">
        <v>217675.81416066666</v>
      </c>
      <c r="AD46" s="320">
        <v>178362.93000000002</v>
      </c>
      <c r="AE46" s="92">
        <v>7010616.0997792454</v>
      </c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226"/>
      <c r="AQ46" s="226"/>
      <c r="AR46" s="226"/>
      <c r="AS46" s="226"/>
    </row>
    <row r="47" spans="1:45" x14ac:dyDescent="0.25">
      <c r="A47" s="190" t="s">
        <v>347</v>
      </c>
      <c r="B47" s="191" t="s">
        <v>108</v>
      </c>
      <c r="C47" s="192"/>
      <c r="D47" s="319">
        <v>243632.17320870169</v>
      </c>
      <c r="E47" s="320">
        <v>1265358.4312526488</v>
      </c>
      <c r="F47" s="320">
        <v>2611253.5871160789</v>
      </c>
      <c r="G47" s="320">
        <v>3444469.5240808092</v>
      </c>
      <c r="H47" s="320">
        <v>2920801.1003472582</v>
      </c>
      <c r="I47" s="320">
        <v>2878891.8508407031</v>
      </c>
      <c r="J47" s="320">
        <v>1281302.6478199444</v>
      </c>
      <c r="K47" s="320">
        <v>1217183.4316898617</v>
      </c>
      <c r="L47" s="320">
        <v>1216746.512586589</v>
      </c>
      <c r="M47" s="320">
        <v>523331.18276401504</v>
      </c>
      <c r="N47" s="320">
        <v>849590.35165299091</v>
      </c>
      <c r="O47" s="320">
        <v>445652.92411866674</v>
      </c>
      <c r="P47" s="92">
        <v>18898213.717478268</v>
      </c>
      <c r="Q47" s="320"/>
      <c r="R47" s="319">
        <v>243632.17320870169</v>
      </c>
      <c r="S47" s="320">
        <v>1265358.4312526488</v>
      </c>
      <c r="T47" s="320">
        <v>1770759.3230391878</v>
      </c>
      <c r="U47" s="320">
        <v>3444469.5240808092</v>
      </c>
      <c r="V47" s="320">
        <v>2920801.1003472582</v>
      </c>
      <c r="W47" s="320">
        <v>2878891.8508407031</v>
      </c>
      <c r="X47" s="320">
        <v>1281302.6478199444</v>
      </c>
      <c r="Y47" s="320">
        <v>1217183.4316898617</v>
      </c>
      <c r="Z47" s="320">
        <v>1216746.512586589</v>
      </c>
      <c r="AA47" s="320">
        <v>523331.18276401504</v>
      </c>
      <c r="AB47" s="320">
        <v>849590.35165299091</v>
      </c>
      <c r="AC47" s="320">
        <v>445652.92411866674</v>
      </c>
      <c r="AD47" s="320">
        <v>593628.54333333345</v>
      </c>
      <c r="AE47" s="92">
        <v>18651347.996734709</v>
      </c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226"/>
      <c r="AQ47" s="226"/>
      <c r="AR47" s="226"/>
      <c r="AS47" s="226"/>
    </row>
    <row r="48" spans="1:45" x14ac:dyDescent="0.25">
      <c r="A48" s="190" t="s">
        <v>348</v>
      </c>
      <c r="B48" s="191" t="s">
        <v>110</v>
      </c>
      <c r="C48" s="192"/>
      <c r="D48" s="319">
        <v>621783.84814410377</v>
      </c>
      <c r="E48" s="320">
        <v>805912.63696041377</v>
      </c>
      <c r="F48" s="320">
        <v>1379384.8202029066</v>
      </c>
      <c r="G48" s="320">
        <v>1126336.8210410224</v>
      </c>
      <c r="H48" s="320">
        <v>4309936.4794942178</v>
      </c>
      <c r="I48" s="320">
        <v>1106083.5865093258</v>
      </c>
      <c r="J48" s="320">
        <v>926351.56346586323</v>
      </c>
      <c r="K48" s="320">
        <v>2743664.9846440125</v>
      </c>
      <c r="L48" s="320">
        <v>3395437.7711157273</v>
      </c>
      <c r="M48" s="320">
        <v>2889984.7348971451</v>
      </c>
      <c r="N48" s="320">
        <v>3246802.5527408104</v>
      </c>
      <c r="O48" s="320">
        <v>2645881.8177846679</v>
      </c>
      <c r="P48" s="92">
        <v>25197561.617000215</v>
      </c>
      <c r="Q48" s="320"/>
      <c r="R48" s="319">
        <v>621783.84814410377</v>
      </c>
      <c r="S48" s="320">
        <v>805912.63696041377</v>
      </c>
      <c r="T48" s="320">
        <v>947929.1885155458</v>
      </c>
      <c r="U48" s="320">
        <v>1126336.8210410224</v>
      </c>
      <c r="V48" s="320">
        <v>4309936.4794942178</v>
      </c>
      <c r="W48" s="320">
        <v>1106083.5865093258</v>
      </c>
      <c r="X48" s="320">
        <v>926351.56346586323</v>
      </c>
      <c r="Y48" s="320">
        <v>1639223.4282874078</v>
      </c>
      <c r="Z48" s="320">
        <v>3395437.7711157273</v>
      </c>
      <c r="AA48" s="320">
        <v>2889984.7348971451</v>
      </c>
      <c r="AB48" s="320">
        <v>3246802.5527408104</v>
      </c>
      <c r="AC48" s="320">
        <v>2645881.8177846679</v>
      </c>
      <c r="AD48" s="320">
        <v>3375883.7927000001</v>
      </c>
      <c r="AE48" s="92">
        <v>27037548.221656248</v>
      </c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226"/>
      <c r="AQ48" s="226"/>
      <c r="AR48" s="226"/>
      <c r="AS48" s="226"/>
    </row>
    <row r="49" spans="1:45" x14ac:dyDescent="0.25">
      <c r="A49" s="190" t="s">
        <v>111</v>
      </c>
      <c r="B49" s="191" t="s">
        <v>112</v>
      </c>
      <c r="C49" s="192"/>
      <c r="D49" s="319">
        <v>887819.28519294783</v>
      </c>
      <c r="E49" s="320">
        <v>1233757.5486835034</v>
      </c>
      <c r="F49" s="320">
        <v>568208.28979624435</v>
      </c>
      <c r="G49" s="320">
        <v>479788.42865773081</v>
      </c>
      <c r="H49" s="320">
        <v>345976.16760171426</v>
      </c>
      <c r="I49" s="320">
        <v>319003.8406699379</v>
      </c>
      <c r="J49" s="320">
        <v>809364.44910213444</v>
      </c>
      <c r="K49" s="320">
        <v>361439.46761770255</v>
      </c>
      <c r="L49" s="320">
        <v>1170485.7727465036</v>
      </c>
      <c r="M49" s="320">
        <v>728918.15494668437</v>
      </c>
      <c r="N49" s="320">
        <v>334986.04246091598</v>
      </c>
      <c r="O49" s="320">
        <v>316857.93528633338</v>
      </c>
      <c r="P49" s="92">
        <v>7556605.3827623529</v>
      </c>
      <c r="Q49" s="320"/>
      <c r="R49" s="319">
        <v>887819.28519294783</v>
      </c>
      <c r="S49" s="320">
        <v>1233757.5486835034</v>
      </c>
      <c r="T49" s="320">
        <v>568208.28979624435</v>
      </c>
      <c r="U49" s="320">
        <v>479788.42865773081</v>
      </c>
      <c r="V49" s="320">
        <v>345976.16760171426</v>
      </c>
      <c r="W49" s="320">
        <v>319003.8406699379</v>
      </c>
      <c r="X49" s="320">
        <v>809364.44910213444</v>
      </c>
      <c r="Y49" s="320">
        <v>328423.87990466692</v>
      </c>
      <c r="Z49" s="320">
        <v>1170485.7727465036</v>
      </c>
      <c r="AA49" s="320">
        <v>728918.15494668437</v>
      </c>
      <c r="AB49" s="320">
        <v>334986.04246091598</v>
      </c>
      <c r="AC49" s="320">
        <v>316857.93528633338</v>
      </c>
      <c r="AD49" s="320">
        <v>445832.21986666671</v>
      </c>
      <c r="AE49" s="92">
        <v>7969422.0149159851</v>
      </c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226"/>
      <c r="AQ49" s="226"/>
      <c r="AR49" s="226"/>
      <c r="AS49" s="226"/>
    </row>
    <row r="50" spans="1:45" x14ac:dyDescent="0.25">
      <c r="A50" s="190" t="s">
        <v>349</v>
      </c>
      <c r="B50" s="191" t="s">
        <v>114</v>
      </c>
      <c r="C50" s="192"/>
      <c r="D50" s="319">
        <v>98803.340162204782</v>
      </c>
      <c r="E50" s="320">
        <v>658900.71100595465</v>
      </c>
      <c r="F50" s="320">
        <v>758001.67293688445</v>
      </c>
      <c r="G50" s="320">
        <v>1304284.306390756</v>
      </c>
      <c r="H50" s="320">
        <v>472234.10496112966</v>
      </c>
      <c r="I50" s="320">
        <v>1389777.2167714976</v>
      </c>
      <c r="J50" s="320">
        <v>1044688.6925572779</v>
      </c>
      <c r="K50" s="320">
        <v>725463.70906673535</v>
      </c>
      <c r="L50" s="320">
        <v>739804.29239902319</v>
      </c>
      <c r="M50" s="320">
        <v>917574.20425792946</v>
      </c>
      <c r="N50" s="320">
        <v>581347.90363310173</v>
      </c>
      <c r="O50" s="320">
        <v>805835.85831066652</v>
      </c>
      <c r="P50" s="92">
        <v>9496716.0124531612</v>
      </c>
      <c r="Q50" s="320"/>
      <c r="R50" s="319">
        <v>98803.340162204782</v>
      </c>
      <c r="S50" s="320">
        <v>658900.71100595465</v>
      </c>
      <c r="T50" s="320">
        <v>756985.7339037921</v>
      </c>
      <c r="U50" s="320">
        <v>1304284.306390756</v>
      </c>
      <c r="V50" s="320">
        <v>472234.10496112966</v>
      </c>
      <c r="W50" s="320">
        <v>1389777.2167714976</v>
      </c>
      <c r="X50" s="320">
        <v>1044688.6925572779</v>
      </c>
      <c r="Y50" s="320">
        <v>725463.70906673535</v>
      </c>
      <c r="Z50" s="320">
        <v>739804.29239902319</v>
      </c>
      <c r="AA50" s="320">
        <v>917574.20425792946</v>
      </c>
      <c r="AB50" s="320">
        <v>581347.90363310173</v>
      </c>
      <c r="AC50" s="320">
        <v>805835.85831066652</v>
      </c>
      <c r="AD50" s="320">
        <v>677345.86463333329</v>
      </c>
      <c r="AE50" s="92">
        <v>10173045.938053401</v>
      </c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226"/>
      <c r="AQ50" s="226"/>
      <c r="AR50" s="226"/>
      <c r="AS50" s="226"/>
    </row>
    <row r="51" spans="1:45" x14ac:dyDescent="0.25">
      <c r="A51" s="192" t="s">
        <v>350</v>
      </c>
      <c r="B51" s="191" t="s">
        <v>116</v>
      </c>
      <c r="C51" s="192"/>
      <c r="D51" s="319">
        <v>526445.64684731606</v>
      </c>
      <c r="E51" s="320">
        <v>609595.36780963279</v>
      </c>
      <c r="F51" s="320">
        <v>899350.39494516642</v>
      </c>
      <c r="G51" s="320">
        <v>1621281.1566564091</v>
      </c>
      <c r="H51" s="320">
        <v>1213603.1701142038</v>
      </c>
      <c r="I51" s="320">
        <v>631249.27512474405</v>
      </c>
      <c r="J51" s="320">
        <v>686745.91301318898</v>
      </c>
      <c r="K51" s="320">
        <v>832509.84228099731</v>
      </c>
      <c r="L51" s="320">
        <v>738653.33644901623</v>
      </c>
      <c r="M51" s="320">
        <v>1103616.3752496943</v>
      </c>
      <c r="N51" s="320">
        <v>1293343.7184939529</v>
      </c>
      <c r="O51" s="320">
        <v>1105577.8534406668</v>
      </c>
      <c r="P51" s="92">
        <v>11261972.050424987</v>
      </c>
      <c r="Q51" s="320"/>
      <c r="R51" s="319">
        <v>526445.64684731606</v>
      </c>
      <c r="S51" s="320">
        <v>609595.36780963279</v>
      </c>
      <c r="T51" s="320">
        <v>816922.01054938394</v>
      </c>
      <c r="U51" s="320">
        <v>1621281.1566564091</v>
      </c>
      <c r="V51" s="320">
        <v>1213603.1701142038</v>
      </c>
      <c r="W51" s="320">
        <v>631249.27512474405</v>
      </c>
      <c r="X51" s="320">
        <v>686745.91301318898</v>
      </c>
      <c r="Y51" s="320">
        <v>699263.29674798925</v>
      </c>
      <c r="Z51" s="320">
        <v>738653.33644901623</v>
      </c>
      <c r="AA51" s="320">
        <v>1103616.3752496943</v>
      </c>
      <c r="AB51" s="320">
        <v>1293343.7184939529</v>
      </c>
      <c r="AC51" s="320">
        <v>1105577.8534406668</v>
      </c>
      <c r="AD51" s="320">
        <v>947714.8433333335</v>
      </c>
      <c r="AE51" s="92">
        <v>11994011.963829532</v>
      </c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226"/>
      <c r="AQ51" s="226"/>
      <c r="AR51" s="226"/>
      <c r="AS51" s="226"/>
    </row>
    <row r="52" spans="1:45" x14ac:dyDescent="0.25">
      <c r="A52" s="190" t="s">
        <v>117</v>
      </c>
      <c r="B52" s="191" t="s">
        <v>118</v>
      </c>
      <c r="C52" s="192"/>
      <c r="D52" s="319">
        <v>129220.09071141927</v>
      </c>
      <c r="E52" s="320">
        <v>358343.42457243684</v>
      </c>
      <c r="F52" s="320">
        <v>420118.19812215469</v>
      </c>
      <c r="G52" s="320">
        <v>557191.67493218731</v>
      </c>
      <c r="H52" s="320">
        <v>380734.22725181887</v>
      </c>
      <c r="I52" s="320">
        <v>335651.54170631152</v>
      </c>
      <c r="J52" s="320">
        <v>306130.35305125307</v>
      </c>
      <c r="K52" s="320">
        <v>382674.06118954427</v>
      </c>
      <c r="L52" s="320">
        <v>28099.734462696706</v>
      </c>
      <c r="M52" s="320">
        <v>778033.45381680434</v>
      </c>
      <c r="N52" s="320">
        <v>211584.94257719841</v>
      </c>
      <c r="O52" s="320">
        <v>0</v>
      </c>
      <c r="P52" s="92">
        <v>3887781.7023938256</v>
      </c>
      <c r="Q52" s="320"/>
      <c r="R52" s="319">
        <v>129220.09071141927</v>
      </c>
      <c r="S52" s="320">
        <v>358343.42457243684</v>
      </c>
      <c r="T52" s="320">
        <v>322471.5587160681</v>
      </c>
      <c r="U52" s="320">
        <v>557191.67493218731</v>
      </c>
      <c r="V52" s="320">
        <v>380734.22725181887</v>
      </c>
      <c r="W52" s="320">
        <v>335651.54170631152</v>
      </c>
      <c r="X52" s="320">
        <v>306130.35305125307</v>
      </c>
      <c r="Y52" s="320">
        <v>382674.06118954427</v>
      </c>
      <c r="Z52" s="320">
        <v>28099.734462696706</v>
      </c>
      <c r="AA52" s="320">
        <v>778033.45381680434</v>
      </c>
      <c r="AB52" s="320">
        <v>211584.94257719841</v>
      </c>
      <c r="AC52" s="320">
        <v>0</v>
      </c>
      <c r="AD52" s="320">
        <v>749001.84666666668</v>
      </c>
      <c r="AE52" s="92">
        <v>4539136.909654405</v>
      </c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226"/>
      <c r="AQ52" s="226"/>
      <c r="AR52" s="226"/>
      <c r="AS52" s="226"/>
    </row>
    <row r="53" spans="1:45" x14ac:dyDescent="0.25">
      <c r="A53" s="190" t="s">
        <v>119</v>
      </c>
      <c r="B53" s="191" t="s">
        <v>120</v>
      </c>
      <c r="C53" s="192"/>
      <c r="D53" s="319">
        <v>408504.35985763522</v>
      </c>
      <c r="E53" s="320">
        <v>497249.2240674874</v>
      </c>
      <c r="F53" s="320">
        <v>747877.83233726781</v>
      </c>
      <c r="G53" s="320">
        <v>764365.34450789576</v>
      </c>
      <c r="H53" s="320">
        <v>1043055.7205929193</v>
      </c>
      <c r="I53" s="320">
        <v>657384.8195604427</v>
      </c>
      <c r="J53" s="320">
        <v>730081.55723675957</v>
      </c>
      <c r="K53" s="320">
        <v>823445.1103682965</v>
      </c>
      <c r="L53" s="320">
        <v>674076.19910295587</v>
      </c>
      <c r="M53" s="320">
        <v>645424.64647629159</v>
      </c>
      <c r="N53" s="320">
        <v>416364.46308356739</v>
      </c>
      <c r="O53" s="320">
        <v>643420.6630502668</v>
      </c>
      <c r="P53" s="92">
        <v>8051249.9402417867</v>
      </c>
      <c r="Q53" s="320"/>
      <c r="R53" s="319">
        <v>408504.35985763522</v>
      </c>
      <c r="S53" s="320">
        <v>497249.2240674874</v>
      </c>
      <c r="T53" s="320">
        <v>525123.85957578872</v>
      </c>
      <c r="U53" s="320">
        <v>764365.34450789576</v>
      </c>
      <c r="V53" s="320">
        <v>1043055.7205929193</v>
      </c>
      <c r="W53" s="320">
        <v>657384.8195604427</v>
      </c>
      <c r="X53" s="320">
        <v>730081.55723675957</v>
      </c>
      <c r="Y53" s="320">
        <v>697793.18291163223</v>
      </c>
      <c r="Z53" s="320">
        <v>674076.19910295587</v>
      </c>
      <c r="AA53" s="320">
        <v>645424.64647629159</v>
      </c>
      <c r="AB53" s="320">
        <v>416364.46308356739</v>
      </c>
      <c r="AC53" s="320">
        <v>643420.6630502668</v>
      </c>
      <c r="AD53" s="320">
        <v>762810.76873333321</v>
      </c>
      <c r="AE53" s="92">
        <v>8465654.8087569755</v>
      </c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226"/>
      <c r="AQ53" s="226"/>
      <c r="AR53" s="226"/>
      <c r="AS53" s="226"/>
    </row>
    <row r="54" spans="1:45" x14ac:dyDescent="0.25">
      <c r="A54" s="192" t="s">
        <v>351</v>
      </c>
      <c r="B54" s="191" t="s">
        <v>122</v>
      </c>
      <c r="C54" s="192"/>
      <c r="D54" s="319">
        <v>114912.12985545793</v>
      </c>
      <c r="E54" s="320">
        <v>126983.42900120962</v>
      </c>
      <c r="F54" s="320">
        <v>647103.68790172914</v>
      </c>
      <c r="G54" s="320">
        <v>583548.37134687521</v>
      </c>
      <c r="H54" s="320">
        <v>1106031.2758943667</v>
      </c>
      <c r="I54" s="320">
        <v>238946.45630000989</v>
      </c>
      <c r="J54" s="320">
        <v>64544.600817558123</v>
      </c>
      <c r="K54" s="320">
        <v>260315.39214093616</v>
      </c>
      <c r="L54" s="320">
        <v>249833.9064143227</v>
      </c>
      <c r="M54" s="320">
        <v>207931.98427164563</v>
      </c>
      <c r="N54" s="320">
        <v>567464.96761755366</v>
      </c>
      <c r="O54" s="320">
        <v>772930.58543840365</v>
      </c>
      <c r="P54" s="92">
        <v>4940546.7870000675</v>
      </c>
      <c r="Q54" s="320"/>
      <c r="R54" s="319">
        <v>114912.12985545793</v>
      </c>
      <c r="S54" s="320">
        <v>126983.42900120962</v>
      </c>
      <c r="T54" s="320">
        <v>478168.10615905159</v>
      </c>
      <c r="U54" s="320">
        <v>583548.37134687521</v>
      </c>
      <c r="V54" s="320">
        <v>1106031.2758943667</v>
      </c>
      <c r="W54" s="320">
        <v>238946.45630000989</v>
      </c>
      <c r="X54" s="320">
        <v>64544.600817558123</v>
      </c>
      <c r="Y54" s="320">
        <v>164176.39911125106</v>
      </c>
      <c r="Z54" s="320">
        <v>249833.9064143227</v>
      </c>
      <c r="AA54" s="320">
        <v>207931.98427164563</v>
      </c>
      <c r="AB54" s="320">
        <v>567464.96761755366</v>
      </c>
      <c r="AC54" s="320">
        <v>772930.58543840365</v>
      </c>
      <c r="AD54" s="320">
        <v>587410.22736666678</v>
      </c>
      <c r="AE54" s="92">
        <v>5262882.4395943731</v>
      </c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226"/>
      <c r="AQ54" s="226"/>
      <c r="AR54" s="226"/>
      <c r="AS54" s="226"/>
    </row>
    <row r="55" spans="1:45" x14ac:dyDescent="0.25">
      <c r="A55" s="192" t="s">
        <v>352</v>
      </c>
      <c r="B55" s="191" t="s">
        <v>124</v>
      </c>
      <c r="C55" s="192"/>
      <c r="D55" s="319">
        <v>424260.26483831543</v>
      </c>
      <c r="E55" s="320">
        <v>2068316.1136867753</v>
      </c>
      <c r="F55" s="320">
        <v>620486.00976193452</v>
      </c>
      <c r="G55" s="320">
        <v>899369.9310768065</v>
      </c>
      <c r="H55" s="320">
        <v>1163211.0241363896</v>
      </c>
      <c r="I55" s="320">
        <v>631106.2569256326</v>
      </c>
      <c r="J55" s="320">
        <v>768167.96386990161</v>
      </c>
      <c r="K55" s="320">
        <v>1647143.9206249353</v>
      </c>
      <c r="L55" s="320">
        <v>429923.386132163</v>
      </c>
      <c r="M55" s="320">
        <v>1619274.3521233886</v>
      </c>
      <c r="N55" s="320">
        <v>789971.29043376062</v>
      </c>
      <c r="O55" s="320">
        <v>806154.01811800012</v>
      </c>
      <c r="P55" s="92">
        <v>11867384.531728003</v>
      </c>
      <c r="Q55" s="320"/>
      <c r="R55" s="319">
        <v>424260.26483831543</v>
      </c>
      <c r="S55" s="320">
        <v>2068316.1136867753</v>
      </c>
      <c r="T55" s="320">
        <v>612844.39122686291</v>
      </c>
      <c r="U55" s="320">
        <v>899369.9310768065</v>
      </c>
      <c r="V55" s="320">
        <v>1163211.0241363896</v>
      </c>
      <c r="W55" s="320">
        <v>631106.2569256326</v>
      </c>
      <c r="X55" s="320">
        <v>768167.96386990161</v>
      </c>
      <c r="Y55" s="320">
        <v>826348.25598962337</v>
      </c>
      <c r="Z55" s="320">
        <v>429923.386132163</v>
      </c>
      <c r="AA55" s="320">
        <v>1619274.3521233886</v>
      </c>
      <c r="AB55" s="320">
        <v>789971.29043376062</v>
      </c>
      <c r="AC55" s="320">
        <v>806154.01811800012</v>
      </c>
      <c r="AD55" s="320">
        <v>826481.48780000012</v>
      </c>
      <c r="AE55" s="92">
        <v>11865428.736357618</v>
      </c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226"/>
      <c r="AQ55" s="226"/>
      <c r="AR55" s="226"/>
      <c r="AS55" s="226"/>
    </row>
    <row r="56" spans="1:45" x14ac:dyDescent="0.25">
      <c r="A56" s="192" t="s">
        <v>353</v>
      </c>
      <c r="B56" s="191" t="s">
        <v>126</v>
      </c>
      <c r="C56" s="192"/>
      <c r="D56" s="319">
        <v>187154.27861688941</v>
      </c>
      <c r="E56" s="320">
        <v>266291.42765364249</v>
      </c>
      <c r="F56" s="320">
        <v>443169.65553489182</v>
      </c>
      <c r="G56" s="320">
        <v>907642.20664036018</v>
      </c>
      <c r="H56" s="320">
        <v>431500.59440729284</v>
      </c>
      <c r="I56" s="320">
        <v>505362.51528165268</v>
      </c>
      <c r="J56" s="320">
        <v>188229.84577839571</v>
      </c>
      <c r="K56" s="320">
        <v>299295.18372161605</v>
      </c>
      <c r="L56" s="320">
        <v>238715.42404995873</v>
      </c>
      <c r="M56" s="320">
        <v>155665.46854288949</v>
      </c>
      <c r="N56" s="320">
        <v>218317.59198083385</v>
      </c>
      <c r="O56" s="320">
        <v>1043124.8698040001</v>
      </c>
      <c r="P56" s="92">
        <v>4884469.0620124238</v>
      </c>
      <c r="Q56" s="320"/>
      <c r="R56" s="319">
        <v>187154.27861688941</v>
      </c>
      <c r="S56" s="320">
        <v>266291.42765364249</v>
      </c>
      <c r="T56" s="320">
        <v>373805.38218666759</v>
      </c>
      <c r="U56" s="320">
        <v>907642.20664036018</v>
      </c>
      <c r="V56" s="320">
        <v>431500.59440729284</v>
      </c>
      <c r="W56" s="320">
        <v>505362.51528165268</v>
      </c>
      <c r="X56" s="320">
        <v>188229.84577839571</v>
      </c>
      <c r="Y56" s="320">
        <v>223147.3512761849</v>
      </c>
      <c r="Z56" s="320">
        <v>238715.42404995873</v>
      </c>
      <c r="AA56" s="320">
        <v>155665.46854288949</v>
      </c>
      <c r="AB56" s="320">
        <v>218317.59198083385</v>
      </c>
      <c r="AC56" s="320">
        <v>1043124.8698040001</v>
      </c>
      <c r="AD56" s="320">
        <v>230258.60313333332</v>
      </c>
      <c r="AE56" s="92">
        <v>4969215.5593521018</v>
      </c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226"/>
      <c r="AQ56" s="226"/>
      <c r="AR56" s="226"/>
      <c r="AS56" s="226"/>
    </row>
    <row r="57" spans="1:45" x14ac:dyDescent="0.25">
      <c r="A57" s="192" t="s">
        <v>354</v>
      </c>
      <c r="B57" s="191" t="s">
        <v>128</v>
      </c>
      <c r="C57" s="192"/>
      <c r="D57" s="319">
        <v>2273460.9589430904</v>
      </c>
      <c r="E57" s="320">
        <v>1480245.0581128988</v>
      </c>
      <c r="F57" s="320">
        <v>2414361.8326519188</v>
      </c>
      <c r="G57" s="320">
        <v>2183021.4901292673</v>
      </c>
      <c r="H57" s="320">
        <v>1889759.2606866995</v>
      </c>
      <c r="I57" s="320">
        <v>1600017.0726129247</v>
      </c>
      <c r="J57" s="320">
        <v>2527170.1097197924</v>
      </c>
      <c r="K57" s="320">
        <v>3529797.0285508251</v>
      </c>
      <c r="L57" s="320">
        <v>1608749.2508216053</v>
      </c>
      <c r="M57" s="320">
        <v>1411743.0170961802</v>
      </c>
      <c r="N57" s="320">
        <v>4808451.9176790845</v>
      </c>
      <c r="O57" s="320">
        <v>3284141.7310430007</v>
      </c>
      <c r="P57" s="92">
        <v>29010918.728047285</v>
      </c>
      <c r="Q57" s="320"/>
      <c r="R57" s="319">
        <v>2273460.9589430904</v>
      </c>
      <c r="S57" s="320">
        <v>1480245.0581128988</v>
      </c>
      <c r="T57" s="320">
        <v>1988096.5014827421</v>
      </c>
      <c r="U57" s="320">
        <v>2183021.4901292673</v>
      </c>
      <c r="V57" s="320">
        <v>1889759.2606866995</v>
      </c>
      <c r="W57" s="320">
        <v>1600017.0726129247</v>
      </c>
      <c r="X57" s="320">
        <v>2527170.1097197924</v>
      </c>
      <c r="Y57" s="320">
        <v>2061776.5595197543</v>
      </c>
      <c r="Z57" s="320">
        <v>1608749.2508216053</v>
      </c>
      <c r="AA57" s="320">
        <v>1411743.0170961802</v>
      </c>
      <c r="AB57" s="320">
        <v>4808451.9176790845</v>
      </c>
      <c r="AC57" s="320">
        <v>3284141.7310430007</v>
      </c>
      <c r="AD57" s="320">
        <v>2689738.2024666672</v>
      </c>
      <c r="AE57" s="92">
        <v>29806371.130313706</v>
      </c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226"/>
      <c r="AQ57" s="226"/>
      <c r="AR57" s="226"/>
      <c r="AS57" s="226"/>
    </row>
    <row r="58" spans="1:45" x14ac:dyDescent="0.25">
      <c r="A58" s="192" t="s">
        <v>129</v>
      </c>
      <c r="B58" s="191" t="s">
        <v>130</v>
      </c>
      <c r="C58" s="192"/>
      <c r="D58" s="319">
        <v>1602607.3017950815</v>
      </c>
      <c r="E58" s="320">
        <v>2062486.6907908667</v>
      </c>
      <c r="F58" s="320">
        <v>1727718.6292922245</v>
      </c>
      <c r="G58" s="320">
        <v>957890.11764321325</v>
      </c>
      <c r="H58" s="320">
        <v>3350371.6925291363</v>
      </c>
      <c r="I58" s="320">
        <v>2921881.6002227324</v>
      </c>
      <c r="J58" s="320">
        <v>2105360.3206667826</v>
      </c>
      <c r="K58" s="320">
        <v>2214992.6200826038</v>
      </c>
      <c r="L58" s="320">
        <v>2274360.552174849</v>
      </c>
      <c r="M58" s="320">
        <v>1225149.4645895234</v>
      </c>
      <c r="N58" s="320">
        <v>2093418.5042522559</v>
      </c>
      <c r="O58" s="320">
        <v>1869281.3489330004</v>
      </c>
      <c r="P58" s="92">
        <v>24405518.842972267</v>
      </c>
      <c r="Q58" s="320"/>
      <c r="R58" s="319">
        <v>1602607.3017950815</v>
      </c>
      <c r="S58" s="320">
        <v>2062486.6907908667</v>
      </c>
      <c r="T58" s="320">
        <v>1727718.6292922245</v>
      </c>
      <c r="U58" s="320">
        <v>957890.11764321325</v>
      </c>
      <c r="V58" s="320">
        <v>3350371.6925291363</v>
      </c>
      <c r="W58" s="320">
        <v>2921881.6002227324</v>
      </c>
      <c r="X58" s="320">
        <v>2105360.3206667826</v>
      </c>
      <c r="Y58" s="320">
        <v>1938310.0116657957</v>
      </c>
      <c r="Z58" s="320">
        <v>2274360.552174849</v>
      </c>
      <c r="AA58" s="320">
        <v>1225149.4645895234</v>
      </c>
      <c r="AB58" s="320">
        <v>2093418.5042522559</v>
      </c>
      <c r="AC58" s="320">
        <v>1869281.3489330004</v>
      </c>
      <c r="AD58" s="320">
        <v>1336040.5533333332</v>
      </c>
      <c r="AE58" s="92">
        <v>25464876.787888795</v>
      </c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226"/>
      <c r="AQ58" s="226"/>
      <c r="AR58" s="226"/>
      <c r="AS58" s="226"/>
    </row>
    <row r="59" spans="1:45" x14ac:dyDescent="0.25">
      <c r="A59" s="192" t="s">
        <v>355</v>
      </c>
      <c r="B59" s="191" t="s">
        <v>132</v>
      </c>
      <c r="C59" s="192"/>
      <c r="D59" s="319">
        <v>285419.54959039309</v>
      </c>
      <c r="E59" s="320">
        <v>434862.22636558831</v>
      </c>
      <c r="F59" s="320">
        <v>729506.39079877548</v>
      </c>
      <c r="G59" s="320">
        <v>496702.08082164655</v>
      </c>
      <c r="H59" s="320">
        <v>660683.4539528623</v>
      </c>
      <c r="I59" s="320">
        <v>629840.00610419386</v>
      </c>
      <c r="J59" s="320">
        <v>297936.20258409751</v>
      </c>
      <c r="K59" s="320">
        <v>362225.16271623748</v>
      </c>
      <c r="L59" s="320">
        <v>731848.20606434951</v>
      </c>
      <c r="M59" s="320">
        <v>297858.05035531509</v>
      </c>
      <c r="N59" s="320">
        <v>732144.14005100634</v>
      </c>
      <c r="O59" s="320">
        <v>101082.12050066669</v>
      </c>
      <c r="P59" s="92">
        <v>5760107.5899051325</v>
      </c>
      <c r="Q59" s="320"/>
      <c r="R59" s="319">
        <v>285419.54959039309</v>
      </c>
      <c r="S59" s="320">
        <v>434862.22636558831</v>
      </c>
      <c r="T59" s="320">
        <v>649857.29136648937</v>
      </c>
      <c r="U59" s="320">
        <v>496702.08082164655</v>
      </c>
      <c r="V59" s="320">
        <v>660683.4539528623</v>
      </c>
      <c r="W59" s="320">
        <v>629840.00610419386</v>
      </c>
      <c r="X59" s="320">
        <v>297936.20258409751</v>
      </c>
      <c r="Y59" s="320">
        <v>362225.16271623748</v>
      </c>
      <c r="Z59" s="320">
        <v>731848.20606434951</v>
      </c>
      <c r="AA59" s="320">
        <v>297858.05035531509</v>
      </c>
      <c r="AB59" s="320">
        <v>732144.14005100634</v>
      </c>
      <c r="AC59" s="320">
        <v>101082.12050066669</v>
      </c>
      <c r="AD59" s="320">
        <v>458430.84333333338</v>
      </c>
      <c r="AE59" s="92">
        <v>6138889.3338061804</v>
      </c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226"/>
      <c r="AQ59" s="226"/>
      <c r="AR59" s="226"/>
      <c r="AS59" s="226"/>
    </row>
    <row r="60" spans="1:45" x14ac:dyDescent="0.25">
      <c r="A60" s="192" t="s">
        <v>133</v>
      </c>
      <c r="B60" s="191" t="s">
        <v>134</v>
      </c>
      <c r="C60" s="192"/>
      <c r="D60" s="319">
        <v>503500.17069296143</v>
      </c>
      <c r="E60" s="320">
        <v>426520.58071154362</v>
      </c>
      <c r="F60" s="320">
        <v>515277.57560194802</v>
      </c>
      <c r="G60" s="320">
        <v>1589862.9748049774</v>
      </c>
      <c r="H60" s="320">
        <v>937182.58677601605</v>
      </c>
      <c r="I60" s="320">
        <v>1305357.4746599023</v>
      </c>
      <c r="J60" s="320">
        <v>865368.59153211885</v>
      </c>
      <c r="K60" s="320">
        <v>0</v>
      </c>
      <c r="L60" s="320">
        <v>191802.4899958364</v>
      </c>
      <c r="M60" s="320">
        <v>160000.68000491944</v>
      </c>
      <c r="N60" s="320">
        <v>724018.41991058143</v>
      </c>
      <c r="O60" s="320">
        <v>653619.128624</v>
      </c>
      <c r="P60" s="92">
        <v>7872510.6733148051</v>
      </c>
      <c r="Q60" s="320"/>
      <c r="R60" s="319">
        <v>503500.17069296143</v>
      </c>
      <c r="S60" s="320">
        <v>426520.58071154362</v>
      </c>
      <c r="T60" s="320">
        <v>447801.85751893953</v>
      </c>
      <c r="U60" s="320">
        <v>1589862.9748049774</v>
      </c>
      <c r="V60" s="320">
        <v>937182.58677601605</v>
      </c>
      <c r="W60" s="320">
        <v>1305357.4746599023</v>
      </c>
      <c r="X60" s="320">
        <v>865368.59153211885</v>
      </c>
      <c r="Y60" s="320">
        <v>0</v>
      </c>
      <c r="Z60" s="320">
        <v>191802.4899958364</v>
      </c>
      <c r="AA60" s="320">
        <v>160000.68000491944</v>
      </c>
      <c r="AB60" s="320">
        <v>724018.41991058143</v>
      </c>
      <c r="AC60" s="320">
        <v>653619.128624</v>
      </c>
      <c r="AD60" s="320">
        <v>221900.42910000001</v>
      </c>
      <c r="AE60" s="92">
        <v>8026935.3843317963</v>
      </c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226"/>
      <c r="AQ60" s="226"/>
      <c r="AR60" s="226"/>
      <c r="AS60" s="226"/>
    </row>
    <row r="61" spans="1:45" x14ac:dyDescent="0.25">
      <c r="A61" s="192" t="s">
        <v>135</v>
      </c>
      <c r="B61" s="191" t="s">
        <v>136</v>
      </c>
      <c r="C61" s="192"/>
      <c r="D61" s="319">
        <v>769804.4035169353</v>
      </c>
      <c r="E61" s="320">
        <v>1251309.7384121455</v>
      </c>
      <c r="F61" s="320">
        <v>1318649.9285488743</v>
      </c>
      <c r="G61" s="320">
        <v>2641812.3787317346</v>
      </c>
      <c r="H61" s="320">
        <v>3532827.2583956425</v>
      </c>
      <c r="I61" s="320">
        <v>1661312.1562054241</v>
      </c>
      <c r="J61" s="320">
        <v>761760.58677798102</v>
      </c>
      <c r="K61" s="320">
        <v>2886815.9352647746</v>
      </c>
      <c r="L61" s="320">
        <v>907165.12307783659</v>
      </c>
      <c r="M61" s="320">
        <v>5561552.86986994</v>
      </c>
      <c r="N61" s="320">
        <v>1286455.6203427198</v>
      </c>
      <c r="O61" s="320">
        <v>1482732.9713495045</v>
      </c>
      <c r="P61" s="92">
        <v>24062198.97049351</v>
      </c>
      <c r="Q61" s="320"/>
      <c r="R61" s="319">
        <v>769804.4035169353</v>
      </c>
      <c r="S61" s="320">
        <v>1251309.7384121455</v>
      </c>
      <c r="T61" s="320">
        <v>1055724.0237531066</v>
      </c>
      <c r="U61" s="320">
        <v>2641812.3787317346</v>
      </c>
      <c r="V61" s="320">
        <v>3532827.2583956425</v>
      </c>
      <c r="W61" s="320">
        <v>1661312.1562054241</v>
      </c>
      <c r="X61" s="320">
        <v>761760.58677798102</v>
      </c>
      <c r="Y61" s="320">
        <v>2886815.9352647746</v>
      </c>
      <c r="Z61" s="320">
        <v>907165.12307783659</v>
      </c>
      <c r="AA61" s="320">
        <v>5561552.86986994</v>
      </c>
      <c r="AB61" s="320">
        <v>1286455.6203427198</v>
      </c>
      <c r="AC61" s="320">
        <v>1482732.9713495045</v>
      </c>
      <c r="AD61" s="320">
        <v>1227163.2233333329</v>
      </c>
      <c r="AE61" s="92">
        <v>25026436.289031077</v>
      </c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226"/>
      <c r="AQ61" s="226"/>
      <c r="AR61" s="226"/>
      <c r="AS61" s="226"/>
    </row>
    <row r="62" spans="1:45" x14ac:dyDescent="0.25">
      <c r="A62" s="192" t="s">
        <v>137</v>
      </c>
      <c r="B62" s="191" t="s">
        <v>138</v>
      </c>
      <c r="C62" s="192"/>
      <c r="D62" s="319">
        <v>70399.080822063625</v>
      </c>
      <c r="E62" s="320">
        <v>442759.46289357176</v>
      </c>
      <c r="F62" s="320">
        <v>1172249.7364735603</v>
      </c>
      <c r="G62" s="320">
        <v>2116949.3940479108</v>
      </c>
      <c r="H62" s="320">
        <v>410647.30274161737</v>
      </c>
      <c r="I62" s="320">
        <v>424167.76145999652</v>
      </c>
      <c r="J62" s="320">
        <v>2886267.5525308261</v>
      </c>
      <c r="K62" s="320">
        <v>1163270.230937924</v>
      </c>
      <c r="L62" s="320">
        <v>425391.78191948566</v>
      </c>
      <c r="M62" s="320">
        <v>1470593.5591202339</v>
      </c>
      <c r="N62" s="320">
        <v>4550364.5857752878</v>
      </c>
      <c r="O62" s="320">
        <v>3507304.5962480009</v>
      </c>
      <c r="P62" s="92">
        <v>18640365.044970479</v>
      </c>
      <c r="Q62" s="320"/>
      <c r="R62" s="319">
        <v>70399.080822063625</v>
      </c>
      <c r="S62" s="320">
        <v>442759.46289357176</v>
      </c>
      <c r="T62" s="320">
        <v>1049459.7946946556</v>
      </c>
      <c r="U62" s="320">
        <v>2116949.3940479108</v>
      </c>
      <c r="V62" s="320">
        <v>410647.30274161737</v>
      </c>
      <c r="W62" s="320">
        <v>424167.76145999652</v>
      </c>
      <c r="X62" s="320">
        <v>2886267.5525308261</v>
      </c>
      <c r="Y62" s="320">
        <v>1153835.8894929173</v>
      </c>
      <c r="Z62" s="320">
        <v>425391.78191948566</v>
      </c>
      <c r="AA62" s="320">
        <v>1470593.5591202339</v>
      </c>
      <c r="AB62" s="320">
        <v>4550364.5857752878</v>
      </c>
      <c r="AC62" s="320">
        <v>3507304.5962480009</v>
      </c>
      <c r="AD62" s="320">
        <v>1338120.1233333331</v>
      </c>
      <c r="AE62" s="92">
        <v>19846260.885079898</v>
      </c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226"/>
      <c r="AQ62" s="226"/>
      <c r="AR62" s="226"/>
      <c r="AS62" s="226"/>
    </row>
    <row r="63" spans="1:45" x14ac:dyDescent="0.25">
      <c r="A63" s="192" t="s">
        <v>356</v>
      </c>
      <c r="B63" s="191" t="s">
        <v>140</v>
      </c>
      <c r="C63" s="192"/>
      <c r="D63" s="319">
        <v>99379.018636314897</v>
      </c>
      <c r="E63" s="320">
        <v>80177.426299855812</v>
      </c>
      <c r="F63" s="320">
        <v>708226.9605724623</v>
      </c>
      <c r="G63" s="320">
        <v>6689794.3898743941</v>
      </c>
      <c r="H63" s="320">
        <v>6716994.7352900384</v>
      </c>
      <c r="I63" s="320">
        <v>2072469.6610530065</v>
      </c>
      <c r="J63" s="320">
        <v>755289.64970782411</v>
      </c>
      <c r="K63" s="320">
        <v>2461255.3186663259</v>
      </c>
      <c r="L63" s="320">
        <v>1476097.8379672002</v>
      </c>
      <c r="M63" s="320">
        <v>911942.16229496442</v>
      </c>
      <c r="N63" s="320">
        <v>2090675.3844492254</v>
      </c>
      <c r="O63" s="320">
        <v>2884307.9427433345</v>
      </c>
      <c r="P63" s="92">
        <v>26946610.487554949</v>
      </c>
      <c r="Q63" s="320"/>
      <c r="R63" s="319">
        <v>99379.018636314897</v>
      </c>
      <c r="S63" s="320">
        <v>80177.426299855812</v>
      </c>
      <c r="T63" s="320">
        <v>578949.56768019032</v>
      </c>
      <c r="U63" s="320">
        <v>6689794.3898743941</v>
      </c>
      <c r="V63" s="320">
        <v>6716994.7352900384</v>
      </c>
      <c r="W63" s="320">
        <v>2072469.6610530065</v>
      </c>
      <c r="X63" s="320">
        <v>755289.64970782411</v>
      </c>
      <c r="Y63" s="320">
        <v>2461255.3186663259</v>
      </c>
      <c r="Z63" s="320">
        <v>1476097.8379672002</v>
      </c>
      <c r="AA63" s="320">
        <v>911942.16229496442</v>
      </c>
      <c r="AB63" s="320">
        <v>2090675.3844492254</v>
      </c>
      <c r="AC63" s="320">
        <v>2884307.9427433345</v>
      </c>
      <c r="AD63" s="320">
        <v>3041752.8633333328</v>
      </c>
      <c r="AE63" s="92">
        <v>29859085.957996011</v>
      </c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226"/>
      <c r="AQ63" s="226"/>
      <c r="AR63" s="226"/>
      <c r="AS63" s="226"/>
    </row>
    <row r="64" spans="1:45" x14ac:dyDescent="0.25">
      <c r="A64" s="192" t="s">
        <v>141</v>
      </c>
      <c r="B64" s="191" t="s">
        <v>142</v>
      </c>
      <c r="C64" s="192"/>
      <c r="D64" s="319">
        <v>834011.98653992976</v>
      </c>
      <c r="E64" s="320">
        <v>749469.73437086947</v>
      </c>
      <c r="F64" s="320">
        <v>899069.36829137628</v>
      </c>
      <c r="G64" s="320">
        <v>579096.67445993272</v>
      </c>
      <c r="H64" s="320">
        <v>478615.07853855583</v>
      </c>
      <c r="I64" s="320">
        <v>2091591.045101746</v>
      </c>
      <c r="J64" s="320">
        <v>1469703.6148360199</v>
      </c>
      <c r="K64" s="320">
        <v>470181.23003751476</v>
      </c>
      <c r="L64" s="320">
        <v>1472976.1745028137</v>
      </c>
      <c r="M64" s="320">
        <v>1950113.3149716211</v>
      </c>
      <c r="N64" s="320">
        <v>653299.67784855771</v>
      </c>
      <c r="O64" s="320">
        <v>1101575.6161653334</v>
      </c>
      <c r="P64" s="92">
        <v>12749703.515664272</v>
      </c>
      <c r="Q64" s="320"/>
      <c r="R64" s="319">
        <v>834011.98653992976</v>
      </c>
      <c r="S64" s="320">
        <v>749469.73437086947</v>
      </c>
      <c r="T64" s="320">
        <v>737680.98864142597</v>
      </c>
      <c r="U64" s="320">
        <v>579096.67445993272</v>
      </c>
      <c r="V64" s="320">
        <v>478615.07853855583</v>
      </c>
      <c r="W64" s="320">
        <v>2091591.045101746</v>
      </c>
      <c r="X64" s="320">
        <v>1469703.6148360199</v>
      </c>
      <c r="Y64" s="320">
        <v>389141.89781187417</v>
      </c>
      <c r="Z64" s="320">
        <v>1472976.1745028137</v>
      </c>
      <c r="AA64" s="320">
        <v>1950113.3149716211</v>
      </c>
      <c r="AB64" s="320">
        <v>653299.67784855771</v>
      </c>
      <c r="AC64" s="320">
        <v>1101575.6161653334</v>
      </c>
      <c r="AD64" s="320">
        <v>1855546.6606333333</v>
      </c>
      <c r="AE64" s="92">
        <v>14362822.464422014</v>
      </c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226"/>
      <c r="AQ64" s="226"/>
      <c r="AR64" s="226"/>
      <c r="AS64" s="226"/>
    </row>
    <row r="65" spans="1:45" x14ac:dyDescent="0.25">
      <c r="A65" s="192" t="s">
        <v>357</v>
      </c>
      <c r="B65" s="191" t="s">
        <v>144</v>
      </c>
      <c r="C65" s="192"/>
      <c r="D65" s="319">
        <v>685266.72001529031</v>
      </c>
      <c r="E65" s="320">
        <v>681448.02626622375</v>
      </c>
      <c r="F65" s="320">
        <v>1044708.2777995744</v>
      </c>
      <c r="G65" s="320">
        <v>783405.13467132591</v>
      </c>
      <c r="H65" s="320">
        <v>971230.23741949513</v>
      </c>
      <c r="I65" s="320">
        <v>570122.10344479105</v>
      </c>
      <c r="J65" s="320">
        <v>1635587.4995163314</v>
      </c>
      <c r="K65" s="320">
        <v>488599.5467896554</v>
      </c>
      <c r="L65" s="320">
        <v>442313.10556155315</v>
      </c>
      <c r="M65" s="320">
        <v>845291.60671838699</v>
      </c>
      <c r="N65" s="320">
        <v>536508.64316240675</v>
      </c>
      <c r="O65" s="320">
        <v>502168.05618455564</v>
      </c>
      <c r="P65" s="92">
        <v>9186648.9575495925</v>
      </c>
      <c r="Q65" s="320"/>
      <c r="R65" s="319">
        <v>685266.72001529031</v>
      </c>
      <c r="S65" s="320">
        <v>681448.02626622375</v>
      </c>
      <c r="T65" s="320">
        <v>1044708.2777995744</v>
      </c>
      <c r="U65" s="320">
        <v>783405.13467132591</v>
      </c>
      <c r="V65" s="320">
        <v>971230.23741949513</v>
      </c>
      <c r="W65" s="320">
        <v>570122.10344479105</v>
      </c>
      <c r="X65" s="320">
        <v>1635587.4995163314</v>
      </c>
      <c r="Y65" s="320">
        <v>488599.5467896554</v>
      </c>
      <c r="Z65" s="320">
        <v>442313.10556155315</v>
      </c>
      <c r="AA65" s="320">
        <v>845291.60671838699</v>
      </c>
      <c r="AB65" s="320">
        <v>536508.64316240675</v>
      </c>
      <c r="AC65" s="320">
        <v>502168.05618455564</v>
      </c>
      <c r="AD65" s="320">
        <v>957653.82333333325</v>
      </c>
      <c r="AE65" s="92">
        <v>10144302.780882925</v>
      </c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226"/>
      <c r="AQ65" s="226"/>
      <c r="AR65" s="226"/>
      <c r="AS65" s="226"/>
    </row>
    <row r="66" spans="1:45" x14ac:dyDescent="0.25">
      <c r="A66" s="192" t="s">
        <v>145</v>
      </c>
      <c r="B66" s="191" t="s">
        <v>146</v>
      </c>
      <c r="C66" s="192"/>
      <c r="D66" s="319">
        <v>0</v>
      </c>
      <c r="E66" s="320">
        <v>162916.36922011804</v>
      </c>
      <c r="F66" s="320">
        <v>5220572.6484992877</v>
      </c>
      <c r="G66" s="320">
        <v>896028.85707756993</v>
      </c>
      <c r="H66" s="320">
        <v>575968.42851872277</v>
      </c>
      <c r="I66" s="320">
        <v>347639.31670655572</v>
      </c>
      <c r="J66" s="320">
        <v>1448749.2696512972</v>
      </c>
      <c r="K66" s="320">
        <v>520024.66632785776</v>
      </c>
      <c r="L66" s="320">
        <v>1759199.9080830661</v>
      </c>
      <c r="M66" s="320">
        <v>894191.78338788811</v>
      </c>
      <c r="N66" s="320">
        <v>343712.93433864671</v>
      </c>
      <c r="O66" s="320">
        <v>1703813.7084016665</v>
      </c>
      <c r="P66" s="92">
        <v>13872817.890212677</v>
      </c>
      <c r="Q66" s="320"/>
      <c r="R66" s="319">
        <v>0</v>
      </c>
      <c r="S66" s="320">
        <v>162916.36922011804</v>
      </c>
      <c r="T66" s="320">
        <v>4826875.2162716044</v>
      </c>
      <c r="U66" s="320">
        <v>896028.85707756993</v>
      </c>
      <c r="V66" s="320">
        <v>575968.42851872277</v>
      </c>
      <c r="W66" s="320">
        <v>347639.31670655572</v>
      </c>
      <c r="X66" s="320">
        <v>1448749.2696512972</v>
      </c>
      <c r="Y66" s="320">
        <v>348049.43663191487</v>
      </c>
      <c r="Z66" s="320">
        <v>1759199.9080830661</v>
      </c>
      <c r="AA66" s="320">
        <v>894191.78338788811</v>
      </c>
      <c r="AB66" s="320">
        <v>343712.93433864671</v>
      </c>
      <c r="AC66" s="320">
        <v>1703813.7084016665</v>
      </c>
      <c r="AD66" s="320">
        <v>295767.86666666664</v>
      </c>
      <c r="AE66" s="92">
        <v>13602913.094955718</v>
      </c>
      <c r="AF66" s="48"/>
      <c r="AG66" s="48"/>
      <c r="AH66" s="48"/>
      <c r="AI66" s="48"/>
      <c r="AJ66" s="48"/>
      <c r="AK66" s="48"/>
      <c r="AL66" s="48"/>
      <c r="AM66" s="48"/>
      <c r="AN66" s="48"/>
      <c r="AO66" s="48"/>
      <c r="AP66" s="226"/>
      <c r="AQ66" s="226"/>
      <c r="AR66" s="226"/>
      <c r="AS66" s="226"/>
    </row>
    <row r="67" spans="1:45" x14ac:dyDescent="0.25">
      <c r="A67" s="192" t="s">
        <v>358</v>
      </c>
      <c r="B67" s="191" t="s">
        <v>148</v>
      </c>
      <c r="C67" s="192"/>
      <c r="D67" s="319">
        <v>18544.16163181447</v>
      </c>
      <c r="E67" s="320">
        <v>113795.39641835801</v>
      </c>
      <c r="F67" s="320">
        <v>514530.93097967037</v>
      </c>
      <c r="G67" s="320">
        <v>114356.40823527216</v>
      </c>
      <c r="H67" s="320">
        <v>378310.46402769932</v>
      </c>
      <c r="I67" s="320">
        <v>140397.28575963949</v>
      </c>
      <c r="J67" s="320">
        <v>478709.42171290354</v>
      </c>
      <c r="K67" s="320">
        <v>76274.795680274357</v>
      </c>
      <c r="L67" s="320">
        <v>569405.3154242856</v>
      </c>
      <c r="M67" s="320">
        <v>1614877.1725290497</v>
      </c>
      <c r="N67" s="320">
        <v>281476.15984424303</v>
      </c>
      <c r="O67" s="320">
        <v>197430.52779500006</v>
      </c>
      <c r="P67" s="92">
        <v>4498108.0400382103</v>
      </c>
      <c r="Q67" s="320"/>
      <c r="R67" s="319">
        <v>18544.16163181447</v>
      </c>
      <c r="S67" s="320">
        <v>113795.39641835801</v>
      </c>
      <c r="T67" s="320">
        <v>334022.08966333629</v>
      </c>
      <c r="U67" s="320">
        <v>114356.40823527216</v>
      </c>
      <c r="V67" s="320">
        <v>378310.46402769932</v>
      </c>
      <c r="W67" s="320">
        <v>140397.28575963949</v>
      </c>
      <c r="X67" s="320">
        <v>478709.42171290354</v>
      </c>
      <c r="Y67" s="320">
        <v>76274.795680274357</v>
      </c>
      <c r="Z67" s="320">
        <v>569405.3154242856</v>
      </c>
      <c r="AA67" s="320">
        <v>1614877.1725290497</v>
      </c>
      <c r="AB67" s="320">
        <v>281476.15984424303</v>
      </c>
      <c r="AC67" s="320">
        <v>197430.52779500006</v>
      </c>
      <c r="AD67" s="320">
        <v>1452135.09</v>
      </c>
      <c r="AE67" s="92">
        <v>5769734.2887218762</v>
      </c>
      <c r="AF67" s="48"/>
      <c r="AG67" s="48"/>
      <c r="AH67" s="48"/>
      <c r="AI67" s="48"/>
      <c r="AJ67" s="48"/>
      <c r="AK67" s="48"/>
      <c r="AL67" s="48"/>
      <c r="AM67" s="48"/>
      <c r="AN67" s="48"/>
      <c r="AO67" s="48"/>
      <c r="AP67" s="226"/>
      <c r="AQ67" s="226"/>
      <c r="AR67" s="226"/>
      <c r="AS67" s="226"/>
    </row>
    <row r="68" spans="1:45" x14ac:dyDescent="0.25">
      <c r="A68" s="192" t="s">
        <v>149</v>
      </c>
      <c r="B68" s="191" t="s">
        <v>150</v>
      </c>
      <c r="C68" s="192"/>
      <c r="D68" s="319">
        <v>601754.79955435568</v>
      </c>
      <c r="E68" s="320">
        <v>191168.31117568395</v>
      </c>
      <c r="F68" s="320">
        <v>641043.42024584697</v>
      </c>
      <c r="G68" s="320">
        <v>1202918.0234797115</v>
      </c>
      <c r="H68" s="320">
        <v>577609.82336642465</v>
      </c>
      <c r="I68" s="320">
        <v>755143.6332737495</v>
      </c>
      <c r="J68" s="320">
        <v>727532.54741874267</v>
      </c>
      <c r="K68" s="320">
        <v>307191.07198239892</v>
      </c>
      <c r="L68" s="320">
        <v>943679.33648754237</v>
      </c>
      <c r="M68" s="320">
        <v>889726.01030438882</v>
      </c>
      <c r="N68" s="320">
        <v>1147230.5058404829</v>
      </c>
      <c r="O68" s="320">
        <v>990636.44676014339</v>
      </c>
      <c r="P68" s="92">
        <v>8975633.9298894722</v>
      </c>
      <c r="Q68" s="320"/>
      <c r="R68" s="319">
        <v>601754.79955435568</v>
      </c>
      <c r="S68" s="320">
        <v>191168.31117568395</v>
      </c>
      <c r="T68" s="320">
        <v>578034.5961263692</v>
      </c>
      <c r="U68" s="320">
        <v>1202918.0234797115</v>
      </c>
      <c r="V68" s="320">
        <v>577609.82336642465</v>
      </c>
      <c r="W68" s="320">
        <v>755143.6332737495</v>
      </c>
      <c r="X68" s="320">
        <v>727532.54741874267</v>
      </c>
      <c r="Y68" s="320">
        <v>274395.99391949183</v>
      </c>
      <c r="Z68" s="320">
        <v>943679.33648754237</v>
      </c>
      <c r="AA68" s="320">
        <v>889726.01030438882</v>
      </c>
      <c r="AB68" s="320">
        <v>1147230.5058404829</v>
      </c>
      <c r="AC68" s="320">
        <v>990636.44676014339</v>
      </c>
      <c r="AD68" s="320">
        <v>972965.47713333333</v>
      </c>
      <c r="AE68" s="92">
        <v>9852795.5048404206</v>
      </c>
      <c r="AF68" s="48"/>
      <c r="AG68" s="48"/>
      <c r="AH68" s="48"/>
      <c r="AI68" s="48"/>
      <c r="AJ68" s="48"/>
      <c r="AK68" s="48"/>
      <c r="AL68" s="48"/>
      <c r="AM68" s="48"/>
      <c r="AN68" s="48"/>
      <c r="AO68" s="48"/>
      <c r="AP68" s="226"/>
      <c r="AQ68" s="226"/>
      <c r="AR68" s="226"/>
      <c r="AS68" s="226"/>
    </row>
    <row r="69" spans="1:45" x14ac:dyDescent="0.25">
      <c r="A69" s="192" t="s">
        <v>151</v>
      </c>
      <c r="B69" s="191" t="s">
        <v>152</v>
      </c>
      <c r="C69" s="192"/>
      <c r="D69" s="319">
        <v>344908.9330048908</v>
      </c>
      <c r="E69" s="320">
        <v>2674847.6145189269</v>
      </c>
      <c r="F69" s="320">
        <v>1215631.7501879653</v>
      </c>
      <c r="G69" s="320">
        <v>963254.28661011974</v>
      </c>
      <c r="H69" s="320">
        <v>1221624.8422140919</v>
      </c>
      <c r="I69" s="320">
        <v>8512309.4841979276</v>
      </c>
      <c r="J69" s="320">
        <v>3017521.6024917224</v>
      </c>
      <c r="K69" s="320">
        <v>3547016.3221160201</v>
      </c>
      <c r="L69" s="320">
        <v>2103226.6809761073</v>
      </c>
      <c r="M69" s="320">
        <v>4083027.5982696153</v>
      </c>
      <c r="N69" s="320">
        <v>2503316.2717284146</v>
      </c>
      <c r="O69" s="320">
        <v>1799286.9114047983</v>
      </c>
      <c r="P69" s="92">
        <v>31985972.297720604</v>
      </c>
      <c r="Q69" s="320"/>
      <c r="R69" s="319">
        <v>344908.9330048908</v>
      </c>
      <c r="S69" s="320">
        <v>2674847.6145189269</v>
      </c>
      <c r="T69" s="320">
        <v>1024687.4013909743</v>
      </c>
      <c r="U69" s="320">
        <v>963254.28661011974</v>
      </c>
      <c r="V69" s="320">
        <v>1221624.8422140919</v>
      </c>
      <c r="W69" s="320">
        <v>8512309.4841979276</v>
      </c>
      <c r="X69" s="320">
        <v>3017521.6024917224</v>
      </c>
      <c r="Y69" s="320">
        <v>3251047.6075415709</v>
      </c>
      <c r="Z69" s="320">
        <v>2103226.6809761073</v>
      </c>
      <c r="AA69" s="320">
        <v>4083027.5982696153</v>
      </c>
      <c r="AB69" s="320">
        <v>2503316.2717284146</v>
      </c>
      <c r="AC69" s="320">
        <v>1799286.9114047983</v>
      </c>
      <c r="AD69" s="320">
        <v>2905926.2966666673</v>
      </c>
      <c r="AE69" s="92">
        <v>34404985.531015836</v>
      </c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226"/>
      <c r="AQ69" s="226"/>
      <c r="AR69" s="226"/>
      <c r="AS69" s="226"/>
    </row>
    <row r="70" spans="1:45" x14ac:dyDescent="0.25">
      <c r="A70" s="192" t="s">
        <v>153</v>
      </c>
      <c r="B70" s="191" t="s">
        <v>154</v>
      </c>
      <c r="C70" s="192"/>
      <c r="D70" s="319">
        <v>304284.95712989644</v>
      </c>
      <c r="E70" s="320">
        <v>252253.45523412159</v>
      </c>
      <c r="F70" s="320">
        <v>243151.87709519663</v>
      </c>
      <c r="G70" s="320">
        <v>269451.00401358068</v>
      </c>
      <c r="H70" s="320">
        <v>297184.296316566</v>
      </c>
      <c r="I70" s="320">
        <v>1031047.1665069169</v>
      </c>
      <c r="J70" s="320">
        <v>1018311.9873616692</v>
      </c>
      <c r="K70" s="320">
        <v>84854.247605744618</v>
      </c>
      <c r="L70" s="320">
        <v>385322.34525024443</v>
      </c>
      <c r="M70" s="320">
        <v>770750.59735024953</v>
      </c>
      <c r="N70" s="320">
        <v>677076.15802015981</v>
      </c>
      <c r="O70" s="320">
        <v>741574.27258466673</v>
      </c>
      <c r="P70" s="92">
        <v>6075262.3644690122</v>
      </c>
      <c r="Q70" s="320"/>
      <c r="R70" s="319">
        <v>304284.95712989644</v>
      </c>
      <c r="S70" s="320">
        <v>252253.45523412159</v>
      </c>
      <c r="T70" s="320">
        <v>224829.54003136483</v>
      </c>
      <c r="U70" s="320">
        <v>269451.00401358068</v>
      </c>
      <c r="V70" s="320">
        <v>297184.296316566</v>
      </c>
      <c r="W70" s="320">
        <v>1031047.1665069169</v>
      </c>
      <c r="X70" s="320">
        <v>1018311.9873616692</v>
      </c>
      <c r="Y70" s="320">
        <v>84854.247605744618</v>
      </c>
      <c r="Z70" s="320">
        <v>385322.34525024443</v>
      </c>
      <c r="AA70" s="320">
        <v>770750.59735024953</v>
      </c>
      <c r="AB70" s="320">
        <v>677076.15802015981</v>
      </c>
      <c r="AC70" s="320">
        <v>741574.27258466673</v>
      </c>
      <c r="AD70" s="320">
        <v>500330.33809999999</v>
      </c>
      <c r="AE70" s="92">
        <v>6557270.3655051803</v>
      </c>
      <c r="AF70" s="48"/>
      <c r="AG70" s="48"/>
      <c r="AH70" s="48"/>
      <c r="AI70" s="48"/>
      <c r="AJ70" s="48"/>
      <c r="AK70" s="48"/>
      <c r="AL70" s="48"/>
      <c r="AM70" s="48"/>
      <c r="AN70" s="48"/>
      <c r="AO70" s="48"/>
      <c r="AP70" s="226"/>
      <c r="AQ70" s="226"/>
      <c r="AR70" s="226"/>
      <c r="AS70" s="226"/>
    </row>
    <row r="71" spans="1:45" x14ac:dyDescent="0.25">
      <c r="A71" s="192" t="s">
        <v>155</v>
      </c>
      <c r="B71" s="191" t="s">
        <v>156</v>
      </c>
      <c r="C71" s="192"/>
      <c r="D71" s="319">
        <v>857236.36905787815</v>
      </c>
      <c r="E71" s="320">
        <v>750648.24719676247</v>
      </c>
      <c r="F71" s="320">
        <v>1518893.2289770178</v>
      </c>
      <c r="G71" s="320">
        <v>827233.16008084686</v>
      </c>
      <c r="H71" s="320">
        <v>460282.87464880774</v>
      </c>
      <c r="I71" s="320">
        <v>983177.91437424649</v>
      </c>
      <c r="J71" s="320">
        <v>596331.42068066052</v>
      </c>
      <c r="K71" s="320">
        <v>699229.57170065679</v>
      </c>
      <c r="L71" s="320">
        <v>1849810.0649115811</v>
      </c>
      <c r="M71" s="320">
        <v>2186864.3708316376</v>
      </c>
      <c r="N71" s="320">
        <v>653211.03130541102</v>
      </c>
      <c r="O71" s="320">
        <v>2210315.2892919998</v>
      </c>
      <c r="P71" s="92">
        <v>13593233.543057507</v>
      </c>
      <c r="Q71" s="320"/>
      <c r="R71" s="319">
        <v>857236.36905787815</v>
      </c>
      <c r="S71" s="320">
        <v>750648.24719676247</v>
      </c>
      <c r="T71" s="320">
        <v>1463176.6599141043</v>
      </c>
      <c r="U71" s="320">
        <v>827233.16008084686</v>
      </c>
      <c r="V71" s="320">
        <v>460282.87464880774</v>
      </c>
      <c r="W71" s="320">
        <v>983177.91437424649</v>
      </c>
      <c r="X71" s="320">
        <v>596331.42068066052</v>
      </c>
      <c r="Y71" s="320">
        <v>619649.374759492</v>
      </c>
      <c r="Z71" s="320">
        <v>1849810.0649115811</v>
      </c>
      <c r="AA71" s="320">
        <v>2186864.3708316376</v>
      </c>
      <c r="AB71" s="320">
        <v>653211.03130541102</v>
      </c>
      <c r="AC71" s="320">
        <v>2210315.2892919998</v>
      </c>
      <c r="AD71" s="320">
        <v>1706621.1494499997</v>
      </c>
      <c r="AE71" s="92">
        <v>15164557.926503429</v>
      </c>
      <c r="AF71" s="48"/>
      <c r="AG71" s="48"/>
      <c r="AH71" s="48"/>
      <c r="AI71" s="48"/>
      <c r="AJ71" s="48"/>
      <c r="AK71" s="48"/>
      <c r="AL71" s="48"/>
      <c r="AM71" s="48"/>
      <c r="AN71" s="48"/>
      <c r="AO71" s="48"/>
      <c r="AP71" s="226"/>
      <c r="AQ71" s="226"/>
      <c r="AR71" s="226"/>
      <c r="AS71" s="226"/>
    </row>
    <row r="72" spans="1:45" x14ac:dyDescent="0.25">
      <c r="A72" s="192" t="s">
        <v>359</v>
      </c>
      <c r="B72" s="191" t="s">
        <v>158</v>
      </c>
      <c r="C72" s="192"/>
      <c r="D72" s="319">
        <v>2630126.3220414277</v>
      </c>
      <c r="E72" s="320">
        <v>1866900.6628292375</v>
      </c>
      <c r="F72" s="320">
        <v>1295823.8139760497</v>
      </c>
      <c r="G72" s="320">
        <v>1391701.6294239233</v>
      </c>
      <c r="H72" s="320">
        <v>1721059.0988809525</v>
      </c>
      <c r="I72" s="320">
        <v>2295329.6350147296</v>
      </c>
      <c r="J72" s="320">
        <v>3056513.0900796582</v>
      </c>
      <c r="K72" s="320">
        <v>2469404.010204785</v>
      </c>
      <c r="L72" s="320">
        <v>2044850.8415871852</v>
      </c>
      <c r="M72" s="320">
        <v>1979869.493852997</v>
      </c>
      <c r="N72" s="320">
        <v>2480316.0369510259</v>
      </c>
      <c r="O72" s="320">
        <v>5919505.7230315944</v>
      </c>
      <c r="P72" s="92">
        <v>29151400.357873566</v>
      </c>
      <c r="Q72" s="320"/>
      <c r="R72" s="319">
        <v>2630126.3220414277</v>
      </c>
      <c r="S72" s="320">
        <v>1866900.6628292375</v>
      </c>
      <c r="T72" s="320">
        <v>1288596.3145609973</v>
      </c>
      <c r="U72" s="320">
        <v>1391701.6294239233</v>
      </c>
      <c r="V72" s="320">
        <v>1721059.0988809525</v>
      </c>
      <c r="W72" s="320">
        <v>2295329.6350147296</v>
      </c>
      <c r="X72" s="320">
        <v>3056513.0900796582</v>
      </c>
      <c r="Y72" s="320">
        <v>2192107.8749382989</v>
      </c>
      <c r="Z72" s="320">
        <v>2044850.8415871852</v>
      </c>
      <c r="AA72" s="320">
        <v>1979869.493852997</v>
      </c>
      <c r="AB72" s="320">
        <v>2480316.0369510259</v>
      </c>
      <c r="AC72" s="320">
        <v>5919505.7230315944</v>
      </c>
      <c r="AD72" s="320">
        <v>1703686.5843333337</v>
      </c>
      <c r="AE72" s="92">
        <v>30570563.307525363</v>
      </c>
      <c r="AF72" s="48"/>
      <c r="AG72" s="48"/>
      <c r="AH72" s="48"/>
      <c r="AI72" s="48"/>
      <c r="AJ72" s="48"/>
      <c r="AK72" s="48"/>
      <c r="AL72" s="48"/>
      <c r="AM72" s="48"/>
      <c r="AN72" s="48"/>
      <c r="AO72" s="48"/>
      <c r="AP72" s="226"/>
      <c r="AQ72" s="226"/>
      <c r="AR72" s="226"/>
      <c r="AS72" s="226"/>
    </row>
    <row r="73" spans="1:45" x14ac:dyDescent="0.25">
      <c r="A73" s="192" t="s">
        <v>360</v>
      </c>
      <c r="B73" s="191" t="s">
        <v>160</v>
      </c>
      <c r="C73" s="192"/>
      <c r="D73" s="319">
        <v>268807.87214212841</v>
      </c>
      <c r="E73" s="320">
        <v>246659.74262425673</v>
      </c>
      <c r="F73" s="320">
        <v>160871.62510231792</v>
      </c>
      <c r="G73" s="320">
        <v>390541.1973761745</v>
      </c>
      <c r="H73" s="320">
        <v>801990.18380882731</v>
      </c>
      <c r="I73" s="320">
        <v>496240.82661304204</v>
      </c>
      <c r="J73" s="320">
        <v>769978.0629170055</v>
      </c>
      <c r="K73" s="320">
        <v>782700.08889328549</v>
      </c>
      <c r="L73" s="320">
        <v>1013725.0795294868</v>
      </c>
      <c r="M73" s="320">
        <v>790717.9315735097</v>
      </c>
      <c r="N73" s="320">
        <v>805779.47822969256</v>
      </c>
      <c r="O73" s="320">
        <v>1015645.7804053335</v>
      </c>
      <c r="P73" s="92">
        <v>7543657.86921506</v>
      </c>
      <c r="Q73" s="320"/>
      <c r="R73" s="319">
        <v>268807.87214212841</v>
      </c>
      <c r="S73" s="320">
        <v>246659.74262425673</v>
      </c>
      <c r="T73" s="320">
        <v>149514.14219425898</v>
      </c>
      <c r="U73" s="320">
        <v>390541.1973761745</v>
      </c>
      <c r="V73" s="320">
        <v>801990.18380882731</v>
      </c>
      <c r="W73" s="320">
        <v>496240.82661304204</v>
      </c>
      <c r="X73" s="320">
        <v>769978.0629170055</v>
      </c>
      <c r="Y73" s="320">
        <v>459780.52844470047</v>
      </c>
      <c r="Z73" s="320">
        <v>1013725.0795294868</v>
      </c>
      <c r="AA73" s="320">
        <v>790717.9315735097</v>
      </c>
      <c r="AB73" s="320">
        <v>805779.47822969256</v>
      </c>
      <c r="AC73" s="320">
        <v>1015645.7804053335</v>
      </c>
      <c r="AD73" s="320">
        <v>611965.73</v>
      </c>
      <c r="AE73" s="92">
        <v>7821346.5558584165</v>
      </c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226"/>
      <c r="AQ73" s="226"/>
      <c r="AR73" s="226"/>
      <c r="AS73" s="226"/>
    </row>
    <row r="74" spans="1:45" x14ac:dyDescent="0.25">
      <c r="A74" s="192" t="s">
        <v>161</v>
      </c>
      <c r="B74" s="191" t="s">
        <v>162</v>
      </c>
      <c r="C74" s="192"/>
      <c r="D74" s="319">
        <v>814416.37802410708</v>
      </c>
      <c r="E74" s="320">
        <v>1022934.1466763392</v>
      </c>
      <c r="F74" s="320">
        <v>697263.15498313622</v>
      </c>
      <c r="G74" s="320">
        <v>678985.92886843602</v>
      </c>
      <c r="H74" s="320">
        <v>806299.87031290191</v>
      </c>
      <c r="I74" s="320">
        <v>1247559.4072000708</v>
      </c>
      <c r="J74" s="320">
        <v>961856.26415612374</v>
      </c>
      <c r="K74" s="320">
        <v>1685237.3972036678</v>
      </c>
      <c r="L74" s="320">
        <v>1523792.8051923146</v>
      </c>
      <c r="M74" s="320">
        <v>907237.20036014647</v>
      </c>
      <c r="N74" s="320">
        <v>1544669.4155455672</v>
      </c>
      <c r="O74" s="320">
        <v>1495578.8368780001</v>
      </c>
      <c r="P74" s="92">
        <v>13385830.805400813</v>
      </c>
      <c r="Q74" s="320"/>
      <c r="R74" s="319">
        <v>814416.37802410708</v>
      </c>
      <c r="S74" s="320">
        <v>1022934.1466763392</v>
      </c>
      <c r="T74" s="320">
        <v>555631.01966168755</v>
      </c>
      <c r="U74" s="320">
        <v>678985.92886843602</v>
      </c>
      <c r="V74" s="320">
        <v>806299.87031290191</v>
      </c>
      <c r="W74" s="320">
        <v>1247559.4072000708</v>
      </c>
      <c r="X74" s="320">
        <v>961856.26415612374</v>
      </c>
      <c r="Y74" s="320">
        <v>1559280.7421255428</v>
      </c>
      <c r="Z74" s="320">
        <v>1523792.8051923146</v>
      </c>
      <c r="AA74" s="320">
        <v>907237.20036014647</v>
      </c>
      <c r="AB74" s="320">
        <v>1544669.4155455672</v>
      </c>
      <c r="AC74" s="320">
        <v>1495578.8368780001</v>
      </c>
      <c r="AD74" s="320">
        <v>1123426.5433333332</v>
      </c>
      <c r="AE74" s="92">
        <v>14241668.558334572</v>
      </c>
      <c r="AF74" s="48"/>
      <c r="AG74" s="48"/>
      <c r="AH74" s="48"/>
      <c r="AI74" s="48"/>
      <c r="AJ74" s="48"/>
      <c r="AK74" s="48"/>
      <c r="AL74" s="48"/>
      <c r="AM74" s="48"/>
      <c r="AN74" s="48"/>
      <c r="AO74" s="48"/>
      <c r="AP74" s="226"/>
      <c r="AQ74" s="226"/>
      <c r="AR74" s="226"/>
      <c r="AS74" s="226"/>
    </row>
    <row r="75" spans="1:45" x14ac:dyDescent="0.25">
      <c r="A75" s="192" t="s">
        <v>163</v>
      </c>
      <c r="B75" s="191" t="s">
        <v>164</v>
      </c>
      <c r="C75" s="192"/>
      <c r="D75" s="319">
        <v>0</v>
      </c>
      <c r="E75" s="320">
        <v>155580.3430631521</v>
      </c>
      <c r="F75" s="320">
        <v>194190.73476901662</v>
      </c>
      <c r="G75" s="320">
        <v>303950.13317029108</v>
      </c>
      <c r="H75" s="320">
        <v>156537.75536382347</v>
      </c>
      <c r="I75" s="320">
        <v>307955.85053575935</v>
      </c>
      <c r="J75" s="320">
        <v>275923.74542466446</v>
      </c>
      <c r="K75" s="320">
        <v>167521.47407266093</v>
      </c>
      <c r="L75" s="320">
        <v>145174.02609539364</v>
      </c>
      <c r="M75" s="320">
        <v>275478.67754273571</v>
      </c>
      <c r="N75" s="320">
        <v>200941.92493622523</v>
      </c>
      <c r="O75" s="320">
        <v>218880.4965366667</v>
      </c>
      <c r="P75" s="92">
        <v>2402135.1615103888</v>
      </c>
      <c r="Q75" s="320"/>
      <c r="R75" s="319">
        <v>0</v>
      </c>
      <c r="S75" s="320">
        <v>155580.3430631521</v>
      </c>
      <c r="T75" s="320">
        <v>36592.484703298243</v>
      </c>
      <c r="U75" s="320">
        <v>303950.13317029108</v>
      </c>
      <c r="V75" s="320">
        <v>156537.75536382347</v>
      </c>
      <c r="W75" s="320">
        <v>307955.85053575935</v>
      </c>
      <c r="X75" s="320">
        <v>275923.74542466446</v>
      </c>
      <c r="Y75" s="320">
        <v>167521.47407266093</v>
      </c>
      <c r="Z75" s="320">
        <v>145174.02609539364</v>
      </c>
      <c r="AA75" s="320">
        <v>275478.67754273571</v>
      </c>
      <c r="AB75" s="320">
        <v>200941.92493622523</v>
      </c>
      <c r="AC75" s="320">
        <v>218880.4965366667</v>
      </c>
      <c r="AD75" s="320">
        <v>276018.36999999994</v>
      </c>
      <c r="AE75" s="92">
        <v>2520555.2814446706</v>
      </c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226"/>
      <c r="AQ75" s="226"/>
      <c r="AR75" s="226"/>
      <c r="AS75" s="226"/>
    </row>
    <row r="76" spans="1:45" x14ac:dyDescent="0.25">
      <c r="A76" s="192" t="s">
        <v>165</v>
      </c>
      <c r="B76" s="191" t="s">
        <v>166</v>
      </c>
      <c r="C76" s="192"/>
      <c r="D76" s="319">
        <v>394233.36123356177</v>
      </c>
      <c r="E76" s="320">
        <v>323636.66193918732</v>
      </c>
      <c r="F76" s="320">
        <v>1197066.7077721823</v>
      </c>
      <c r="G76" s="320">
        <v>1096977.9479129508</v>
      </c>
      <c r="H76" s="320">
        <v>1094069.0304526631</v>
      </c>
      <c r="I76" s="320">
        <v>1049383.572512913</v>
      </c>
      <c r="J76" s="320">
        <v>978055.01722302823</v>
      </c>
      <c r="K76" s="320">
        <v>1246728.3085861625</v>
      </c>
      <c r="L76" s="320">
        <v>1595261.627851682</v>
      </c>
      <c r="M76" s="320">
        <v>1623940.5435460559</v>
      </c>
      <c r="N76" s="320">
        <v>1775515.0388392112</v>
      </c>
      <c r="O76" s="320">
        <v>1451200.4281538334</v>
      </c>
      <c r="P76" s="92">
        <v>13826068.246023433</v>
      </c>
      <c r="Q76" s="320"/>
      <c r="R76" s="319">
        <v>394233.36123356177</v>
      </c>
      <c r="S76" s="320">
        <v>323636.66193918732</v>
      </c>
      <c r="T76" s="320">
        <v>1099093.5731386119</v>
      </c>
      <c r="U76" s="320">
        <v>1096977.9479129508</v>
      </c>
      <c r="V76" s="320">
        <v>1094069.0304526631</v>
      </c>
      <c r="W76" s="320">
        <v>1049383.572512913</v>
      </c>
      <c r="X76" s="320">
        <v>978055.01722302823</v>
      </c>
      <c r="Y76" s="320">
        <v>1113689.843587921</v>
      </c>
      <c r="Z76" s="320">
        <v>1595261.627851682</v>
      </c>
      <c r="AA76" s="320">
        <v>1623940.5435460559</v>
      </c>
      <c r="AB76" s="320">
        <v>1775515.0388392112</v>
      </c>
      <c r="AC76" s="320">
        <v>1451200.4281538334</v>
      </c>
      <c r="AD76" s="320">
        <v>1710615.2533333332</v>
      </c>
      <c r="AE76" s="92">
        <v>15305671.899724955</v>
      </c>
      <c r="AF76" s="48"/>
      <c r="AG76" s="48"/>
      <c r="AH76" s="48"/>
      <c r="AI76" s="48"/>
      <c r="AJ76" s="48"/>
      <c r="AK76" s="48"/>
      <c r="AL76" s="48"/>
      <c r="AM76" s="48"/>
      <c r="AN76" s="48"/>
      <c r="AO76" s="48"/>
      <c r="AP76" s="226"/>
      <c r="AQ76" s="226"/>
      <c r="AR76" s="226"/>
      <c r="AS76" s="226"/>
    </row>
    <row r="77" spans="1:45" x14ac:dyDescent="0.25">
      <c r="A77" s="192" t="s">
        <v>361</v>
      </c>
      <c r="B77" s="191" t="s">
        <v>168</v>
      </c>
      <c r="C77" s="192"/>
      <c r="D77" s="319">
        <v>626125.31775986601</v>
      </c>
      <c r="E77" s="320">
        <v>586716.1981925366</v>
      </c>
      <c r="F77" s="320">
        <v>2333384.1934970547</v>
      </c>
      <c r="G77" s="320">
        <v>1083633.4571143102</v>
      </c>
      <c r="H77" s="320">
        <v>1664721.7566774713</v>
      </c>
      <c r="I77" s="320">
        <v>1542716.2206848371</v>
      </c>
      <c r="J77" s="320">
        <v>1792205.1570595105</v>
      </c>
      <c r="K77" s="320">
        <v>624574.82245393028</v>
      </c>
      <c r="L77" s="320">
        <v>4567086.9589043427</v>
      </c>
      <c r="M77" s="320">
        <v>995408.18615568068</v>
      </c>
      <c r="N77" s="320">
        <v>1519679.0820707078</v>
      </c>
      <c r="O77" s="320">
        <v>541711.37102433329</v>
      </c>
      <c r="P77" s="92">
        <v>17877962.721594583</v>
      </c>
      <c r="Q77" s="320"/>
      <c r="R77" s="319">
        <v>626125.31775986601</v>
      </c>
      <c r="S77" s="320">
        <v>586716.1981925366</v>
      </c>
      <c r="T77" s="320">
        <v>1846183.2376192564</v>
      </c>
      <c r="U77" s="320">
        <v>1083633.4571143102</v>
      </c>
      <c r="V77" s="320">
        <v>1664721.7566774713</v>
      </c>
      <c r="W77" s="320">
        <v>1542716.2206848371</v>
      </c>
      <c r="X77" s="320">
        <v>1792205.1570595105</v>
      </c>
      <c r="Y77" s="320">
        <v>624574.82245393028</v>
      </c>
      <c r="Z77" s="320">
        <v>4567086.9589043427</v>
      </c>
      <c r="AA77" s="320">
        <v>995408.18615568068</v>
      </c>
      <c r="AB77" s="320">
        <v>1519679.0820707078</v>
      </c>
      <c r="AC77" s="320">
        <v>541711.37102433329</v>
      </c>
      <c r="AD77" s="320">
        <v>1765687.31</v>
      </c>
      <c r="AE77" s="92">
        <v>19156449.075716782</v>
      </c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226"/>
      <c r="AQ77" s="226"/>
      <c r="AR77" s="226"/>
      <c r="AS77" s="226"/>
    </row>
    <row r="78" spans="1:45" x14ac:dyDescent="0.25">
      <c r="A78" s="192" t="s">
        <v>362</v>
      </c>
      <c r="B78" s="191" t="s">
        <v>170</v>
      </c>
      <c r="C78" s="192"/>
      <c r="D78" s="319">
        <v>403202.4968500635</v>
      </c>
      <c r="E78" s="320">
        <v>292527.18926148332</v>
      </c>
      <c r="F78" s="320">
        <v>963540.48876008682</v>
      </c>
      <c r="G78" s="320">
        <v>449538.29232450266</v>
      </c>
      <c r="H78" s="320">
        <v>1667816.9742055258</v>
      </c>
      <c r="I78" s="320">
        <v>665525.94195339538</v>
      </c>
      <c r="J78" s="320">
        <v>1324788.4242274901</v>
      </c>
      <c r="K78" s="320">
        <v>1206757.4968499113</v>
      </c>
      <c r="L78" s="320">
        <v>951725.91137333668</v>
      </c>
      <c r="M78" s="320">
        <v>883070.1832946483</v>
      </c>
      <c r="N78" s="320">
        <v>651144.30264802882</v>
      </c>
      <c r="O78" s="320">
        <v>752700.22747266665</v>
      </c>
      <c r="P78" s="92">
        <v>10212337.92922114</v>
      </c>
      <c r="Q78" s="320"/>
      <c r="R78" s="319">
        <v>403202.4968500635</v>
      </c>
      <c r="S78" s="320">
        <v>292527.18926148332</v>
      </c>
      <c r="T78" s="320">
        <v>571477.00438894716</v>
      </c>
      <c r="U78" s="320">
        <v>449538.29232450266</v>
      </c>
      <c r="V78" s="320">
        <v>1667816.9742055258</v>
      </c>
      <c r="W78" s="320">
        <v>665525.94195339538</v>
      </c>
      <c r="X78" s="320">
        <v>1324788.4242274901</v>
      </c>
      <c r="Y78" s="320">
        <v>1206757.4968499113</v>
      </c>
      <c r="Z78" s="320">
        <v>951725.91137333668</v>
      </c>
      <c r="AA78" s="320">
        <v>883070.1832946483</v>
      </c>
      <c r="AB78" s="320">
        <v>651144.30264802882</v>
      </c>
      <c r="AC78" s="320">
        <v>752700.22747266665</v>
      </c>
      <c r="AD78" s="320">
        <v>2328757.4366666665</v>
      </c>
      <c r="AE78" s="92">
        <v>12149031.881516665</v>
      </c>
      <c r="AF78" s="48"/>
      <c r="AG78" s="48"/>
      <c r="AH78" s="48"/>
      <c r="AI78" s="48"/>
      <c r="AJ78" s="48"/>
      <c r="AK78" s="48"/>
      <c r="AL78" s="48"/>
      <c r="AM78" s="48"/>
      <c r="AN78" s="48"/>
      <c r="AO78" s="48"/>
      <c r="AP78" s="226"/>
      <c r="AQ78" s="226"/>
      <c r="AR78" s="226"/>
      <c r="AS78" s="226"/>
    </row>
    <row r="79" spans="1:45" x14ac:dyDescent="0.25">
      <c r="A79" s="192" t="s">
        <v>171</v>
      </c>
      <c r="B79" s="191" t="s">
        <v>172</v>
      </c>
      <c r="C79" s="192"/>
      <c r="D79" s="319">
        <v>1073352.9986519087</v>
      </c>
      <c r="E79" s="320">
        <v>1364465.9977695502</v>
      </c>
      <c r="F79" s="320">
        <v>1760791.176948136</v>
      </c>
      <c r="G79" s="320">
        <v>1460691.0227973515</v>
      </c>
      <c r="H79" s="320">
        <v>1417889.87452532</v>
      </c>
      <c r="I79" s="320">
        <v>1380108.3260674945</v>
      </c>
      <c r="J79" s="320">
        <v>1372315.5746416268</v>
      </c>
      <c r="K79" s="320">
        <v>1641346.8299992122</v>
      </c>
      <c r="L79" s="320">
        <v>1586278.6162669621</v>
      </c>
      <c r="M79" s="320">
        <v>2267610.1730751344</v>
      </c>
      <c r="N79" s="320">
        <v>1514911.8720498004</v>
      </c>
      <c r="O79" s="320">
        <v>1882368.0496666664</v>
      </c>
      <c r="P79" s="92">
        <v>18722130.512459163</v>
      </c>
      <c r="Q79" s="320"/>
      <c r="R79" s="319">
        <v>1073352.9986519087</v>
      </c>
      <c r="S79" s="320">
        <v>1364465.9977695502</v>
      </c>
      <c r="T79" s="320">
        <v>1548750.4137453367</v>
      </c>
      <c r="U79" s="320">
        <v>1460691.0227973515</v>
      </c>
      <c r="V79" s="320">
        <v>1417889.87452532</v>
      </c>
      <c r="W79" s="320">
        <v>1380108.3260674945</v>
      </c>
      <c r="X79" s="320">
        <v>1372315.5746416268</v>
      </c>
      <c r="Y79" s="320">
        <v>1641346.8299992122</v>
      </c>
      <c r="Z79" s="320">
        <v>1586278.6162669621</v>
      </c>
      <c r="AA79" s="320">
        <v>2267610.1730751344</v>
      </c>
      <c r="AB79" s="320">
        <v>1514911.8720498004</v>
      </c>
      <c r="AC79" s="320">
        <v>1882368.0496666664</v>
      </c>
      <c r="AD79" s="320">
        <v>1146281.8599999999</v>
      </c>
      <c r="AE79" s="92">
        <v>19656371.609256364</v>
      </c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226"/>
      <c r="AQ79" s="226"/>
      <c r="AR79" s="226"/>
      <c r="AS79" s="226"/>
    </row>
    <row r="80" spans="1:45" x14ac:dyDescent="0.25">
      <c r="A80" s="192" t="s">
        <v>363</v>
      </c>
      <c r="B80" s="191" t="s">
        <v>174</v>
      </c>
      <c r="C80" s="192"/>
      <c r="D80" s="319">
        <v>1957682.3073493741</v>
      </c>
      <c r="E80" s="320">
        <v>1624014.5508555404</v>
      </c>
      <c r="F80" s="320">
        <v>2722710.6104885805</v>
      </c>
      <c r="G80" s="320">
        <v>2474640.1568647232</v>
      </c>
      <c r="H80" s="320">
        <v>6151798.5577167179</v>
      </c>
      <c r="I80" s="320">
        <v>3485753.4963292652</v>
      </c>
      <c r="J80" s="320">
        <v>1826930.0873028731</v>
      </c>
      <c r="K80" s="320">
        <v>1021744.3055043065</v>
      </c>
      <c r="L80" s="320">
        <v>1933084.8271878224</v>
      </c>
      <c r="M80" s="320">
        <v>2333226.0676407637</v>
      </c>
      <c r="N80" s="320">
        <v>1763122.6532389286</v>
      </c>
      <c r="O80" s="320">
        <v>799682.04752966668</v>
      </c>
      <c r="P80" s="92">
        <v>28094389.668008566</v>
      </c>
      <c r="Q80" s="320"/>
      <c r="R80" s="319">
        <v>1957682.3073493741</v>
      </c>
      <c r="S80" s="320">
        <v>1624014.5508555404</v>
      </c>
      <c r="T80" s="320">
        <v>2526767.0582413631</v>
      </c>
      <c r="U80" s="320">
        <v>2474640.1568647232</v>
      </c>
      <c r="V80" s="320">
        <v>6151798.5577167179</v>
      </c>
      <c r="W80" s="320">
        <v>3485753.4963292652</v>
      </c>
      <c r="X80" s="320">
        <v>1826930.0873028731</v>
      </c>
      <c r="Y80" s="320">
        <v>1021744.3055043065</v>
      </c>
      <c r="Z80" s="320">
        <v>1933084.8271878224</v>
      </c>
      <c r="AA80" s="320">
        <v>2333226.0676407637</v>
      </c>
      <c r="AB80" s="320">
        <v>1763122.6532389286</v>
      </c>
      <c r="AC80" s="320">
        <v>799682.04752966668</v>
      </c>
      <c r="AD80" s="320">
        <v>1843548.7466666668</v>
      </c>
      <c r="AE80" s="92">
        <v>29741994.862428013</v>
      </c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226"/>
      <c r="AQ80" s="226"/>
      <c r="AR80" s="226"/>
      <c r="AS80" s="226"/>
    </row>
    <row r="81" spans="1:45" x14ac:dyDescent="0.25">
      <c r="A81" s="192" t="s">
        <v>364</v>
      </c>
      <c r="B81" s="191" t="s">
        <v>176</v>
      </c>
      <c r="C81" s="192"/>
      <c r="D81" s="319">
        <v>1074890.575116714</v>
      </c>
      <c r="E81" s="320">
        <v>769808.73941957718</v>
      </c>
      <c r="F81" s="320">
        <v>877009.07974676136</v>
      </c>
      <c r="G81" s="320">
        <v>2648298.7769962219</v>
      </c>
      <c r="H81" s="320">
        <v>1167055.4827669666</v>
      </c>
      <c r="I81" s="320">
        <v>332770.0604881316</v>
      </c>
      <c r="J81" s="320">
        <v>1943832.2059059069</v>
      </c>
      <c r="K81" s="320">
        <v>2087549.5001311244</v>
      </c>
      <c r="L81" s="320">
        <v>2321207.946289036</v>
      </c>
      <c r="M81" s="320">
        <v>1505734.1581411208</v>
      </c>
      <c r="N81" s="320">
        <v>3573258.3812289536</v>
      </c>
      <c r="O81" s="320">
        <v>2412639.2723749997</v>
      </c>
      <c r="P81" s="92">
        <v>20714054.178605516</v>
      </c>
      <c r="Q81" s="320"/>
      <c r="R81" s="319">
        <v>1074890.575116714</v>
      </c>
      <c r="S81" s="320">
        <v>769808.73941957718</v>
      </c>
      <c r="T81" s="320">
        <v>848292.21691945312</v>
      </c>
      <c r="U81" s="320">
        <v>2648298.7769962219</v>
      </c>
      <c r="V81" s="320">
        <v>1167055.4827669666</v>
      </c>
      <c r="W81" s="320">
        <v>332770.0604881316</v>
      </c>
      <c r="X81" s="320">
        <v>1943832.2059059069</v>
      </c>
      <c r="Y81" s="320">
        <v>1545789.0054388242</v>
      </c>
      <c r="Z81" s="320">
        <v>2321207.946289036</v>
      </c>
      <c r="AA81" s="320">
        <v>1505734.1581411208</v>
      </c>
      <c r="AB81" s="320">
        <v>3573258.3812289536</v>
      </c>
      <c r="AC81" s="320">
        <v>2412639.2723749997</v>
      </c>
      <c r="AD81" s="320">
        <v>2225656.7003666665</v>
      </c>
      <c r="AE81" s="92">
        <v>22369233.521452568</v>
      </c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226"/>
      <c r="AQ81" s="226"/>
      <c r="AR81" s="226"/>
      <c r="AS81" s="226"/>
    </row>
    <row r="82" spans="1:45" x14ac:dyDescent="0.25">
      <c r="A82" s="192" t="s">
        <v>177</v>
      </c>
      <c r="B82" s="191" t="s">
        <v>178</v>
      </c>
      <c r="C82" s="192"/>
      <c r="D82" s="319">
        <v>166900.40328465443</v>
      </c>
      <c r="E82" s="320">
        <v>395151.15037142206</v>
      </c>
      <c r="F82" s="320">
        <v>1151108.7327518952</v>
      </c>
      <c r="G82" s="320">
        <v>552908.96093110519</v>
      </c>
      <c r="H82" s="320">
        <v>1130652.905401997</v>
      </c>
      <c r="I82" s="320">
        <v>1772932.3046222455</v>
      </c>
      <c r="J82" s="320">
        <v>1366182.706093451</v>
      </c>
      <c r="K82" s="320">
        <v>990596.67632415635</v>
      </c>
      <c r="L82" s="320">
        <v>709662.02909702365</v>
      </c>
      <c r="M82" s="320">
        <v>1531937.5165598579</v>
      </c>
      <c r="N82" s="320">
        <v>1265847.9117923055</v>
      </c>
      <c r="O82" s="320">
        <v>1824086.1352850001</v>
      </c>
      <c r="P82" s="92">
        <v>12857967.432515113</v>
      </c>
      <c r="Q82" s="320"/>
      <c r="R82" s="319">
        <v>166900.40328465443</v>
      </c>
      <c r="S82" s="320">
        <v>395151.15037142206</v>
      </c>
      <c r="T82" s="320">
        <v>1034468.086315035</v>
      </c>
      <c r="U82" s="320">
        <v>552908.96093110519</v>
      </c>
      <c r="V82" s="320">
        <v>1130652.905401997</v>
      </c>
      <c r="W82" s="320">
        <v>1772932.3046222455</v>
      </c>
      <c r="X82" s="320">
        <v>1366182.706093451</v>
      </c>
      <c r="Y82" s="320">
        <v>807240.00925847306</v>
      </c>
      <c r="Z82" s="320">
        <v>709662.02909702365</v>
      </c>
      <c r="AA82" s="320">
        <v>1531937.5165598579</v>
      </c>
      <c r="AB82" s="320">
        <v>1265847.9117923055</v>
      </c>
      <c r="AC82" s="320">
        <v>1824086.1352850001</v>
      </c>
      <c r="AD82" s="320">
        <v>1038338.4962333335</v>
      </c>
      <c r="AE82" s="92">
        <v>13596308.615245905</v>
      </c>
      <c r="AF82" s="48"/>
      <c r="AG82" s="48"/>
      <c r="AH82" s="48"/>
      <c r="AI82" s="48"/>
      <c r="AJ82" s="48"/>
      <c r="AK82" s="48"/>
      <c r="AL82" s="48"/>
      <c r="AM82" s="48"/>
      <c r="AN82" s="48"/>
      <c r="AO82" s="48"/>
      <c r="AP82" s="226"/>
      <c r="AQ82" s="226"/>
      <c r="AR82" s="226"/>
      <c r="AS82" s="226"/>
    </row>
    <row r="83" spans="1:45" x14ac:dyDescent="0.25">
      <c r="A83" s="192" t="s">
        <v>365</v>
      </c>
      <c r="B83" s="191" t="s">
        <v>180</v>
      </c>
      <c r="C83" s="192"/>
      <c r="D83" s="319">
        <v>73882.287180604326</v>
      </c>
      <c r="E83" s="320">
        <v>190897.59062752684</v>
      </c>
      <c r="F83" s="320">
        <v>393343.39698436274</v>
      </c>
      <c r="G83" s="320">
        <v>546995.03940870787</v>
      </c>
      <c r="H83" s="320">
        <v>660884.05128902523</v>
      </c>
      <c r="I83" s="320">
        <v>426678.74962306186</v>
      </c>
      <c r="J83" s="320">
        <v>542119.03273651295</v>
      </c>
      <c r="K83" s="320">
        <v>703560.72552996455</v>
      </c>
      <c r="L83" s="320">
        <v>344542.33332836768</v>
      </c>
      <c r="M83" s="320">
        <v>369018.48990938003</v>
      </c>
      <c r="N83" s="320">
        <v>554474.92811142607</v>
      </c>
      <c r="O83" s="320">
        <v>330018.05751399999</v>
      </c>
      <c r="P83" s="92">
        <v>5136414.6822429402</v>
      </c>
      <c r="Q83" s="320"/>
      <c r="R83" s="319">
        <v>73882.287180604326</v>
      </c>
      <c r="S83" s="320">
        <v>190897.59062752684</v>
      </c>
      <c r="T83" s="320">
        <v>338552.65246040944</v>
      </c>
      <c r="U83" s="320">
        <v>546995.03940870787</v>
      </c>
      <c r="V83" s="320">
        <v>660884.05128902523</v>
      </c>
      <c r="W83" s="320">
        <v>426678.74962306186</v>
      </c>
      <c r="X83" s="320">
        <v>542119.03273651295</v>
      </c>
      <c r="Y83" s="320">
        <v>599114.15465136233</v>
      </c>
      <c r="Z83" s="320">
        <v>344542.33332836768</v>
      </c>
      <c r="AA83" s="320">
        <v>369018.48990938003</v>
      </c>
      <c r="AB83" s="320">
        <v>554474.92811142607</v>
      </c>
      <c r="AC83" s="320">
        <v>330018.05751399999</v>
      </c>
      <c r="AD83" s="320">
        <v>732586.0166666666</v>
      </c>
      <c r="AE83" s="92">
        <v>5709763.3835070506</v>
      </c>
      <c r="AF83" s="48"/>
      <c r="AG83" s="48"/>
      <c r="AH83" s="48"/>
      <c r="AI83" s="48"/>
      <c r="AJ83" s="48"/>
      <c r="AK83" s="48"/>
      <c r="AL83" s="48"/>
      <c r="AM83" s="48"/>
      <c r="AN83" s="48"/>
      <c r="AO83" s="48"/>
      <c r="AP83" s="226"/>
      <c r="AQ83" s="226"/>
      <c r="AR83" s="226"/>
      <c r="AS83" s="226"/>
    </row>
    <row r="84" spans="1:45" x14ac:dyDescent="0.25">
      <c r="A84" s="192" t="s">
        <v>181</v>
      </c>
      <c r="B84" s="191" t="s">
        <v>182</v>
      </c>
      <c r="C84" s="192"/>
      <c r="D84" s="319">
        <v>175529.499558885</v>
      </c>
      <c r="E84" s="320">
        <v>268699.82408037031</v>
      </c>
      <c r="F84" s="320">
        <v>643915.59332798095</v>
      </c>
      <c r="G84" s="320">
        <v>378742.81932488631</v>
      </c>
      <c r="H84" s="320">
        <v>684820.34487938939</v>
      </c>
      <c r="I84" s="320">
        <v>747973.24535789061</v>
      </c>
      <c r="J84" s="320">
        <v>1382241.4781105693</v>
      </c>
      <c r="K84" s="320">
        <v>1492227.0422366105</v>
      </c>
      <c r="L84" s="320">
        <v>697778.29737795854</v>
      </c>
      <c r="M84" s="320">
        <v>708876.29686712276</v>
      </c>
      <c r="N84" s="320">
        <v>572584.44147358171</v>
      </c>
      <c r="O84" s="320">
        <v>418011.12955900008</v>
      </c>
      <c r="P84" s="92">
        <v>8171400.0121542457</v>
      </c>
      <c r="Q84" s="320"/>
      <c r="R84" s="319">
        <v>175529.499558885</v>
      </c>
      <c r="S84" s="320">
        <v>268699.82408037031</v>
      </c>
      <c r="T84" s="320">
        <v>586524.66073716059</v>
      </c>
      <c r="U84" s="320">
        <v>378742.81932488631</v>
      </c>
      <c r="V84" s="320">
        <v>684820.34487938939</v>
      </c>
      <c r="W84" s="320">
        <v>747973.24535789061</v>
      </c>
      <c r="X84" s="320">
        <v>1382241.4781105693</v>
      </c>
      <c r="Y84" s="320">
        <v>1364109.6497413365</v>
      </c>
      <c r="Z84" s="320">
        <v>697778.29737795854</v>
      </c>
      <c r="AA84" s="320">
        <v>708876.29686712276</v>
      </c>
      <c r="AB84" s="320">
        <v>572584.44147358171</v>
      </c>
      <c r="AC84" s="320">
        <v>418011.12955900008</v>
      </c>
      <c r="AD84" s="320">
        <v>722102.1166666667</v>
      </c>
      <c r="AE84" s="92">
        <v>8707993.8037348185</v>
      </c>
      <c r="AF84" s="48"/>
      <c r="AG84" s="48"/>
      <c r="AH84" s="48"/>
      <c r="AI84" s="48"/>
      <c r="AJ84" s="48"/>
      <c r="AK84" s="48"/>
      <c r="AL84" s="48"/>
      <c r="AM84" s="48"/>
      <c r="AN84" s="48"/>
      <c r="AO84" s="48"/>
      <c r="AP84" s="226"/>
      <c r="AQ84" s="226"/>
      <c r="AR84" s="226"/>
      <c r="AS84" s="226"/>
    </row>
    <row r="85" spans="1:45" x14ac:dyDescent="0.25">
      <c r="A85" s="192" t="s">
        <v>183</v>
      </c>
      <c r="B85" s="191" t="s">
        <v>184</v>
      </c>
      <c r="C85" s="192"/>
      <c r="D85" s="319">
        <v>756042.37176096824</v>
      </c>
      <c r="E85" s="320">
        <v>950878.11677654565</v>
      </c>
      <c r="F85" s="320">
        <v>941988.15283512778</v>
      </c>
      <c r="G85" s="320">
        <v>1139844.0716659187</v>
      </c>
      <c r="H85" s="320">
        <v>1023131.8100617521</v>
      </c>
      <c r="I85" s="320">
        <v>589240.31801105267</v>
      </c>
      <c r="J85" s="320">
        <v>759003.33249413129</v>
      </c>
      <c r="K85" s="320">
        <v>729857.14419307793</v>
      </c>
      <c r="L85" s="320">
        <v>436481.55240075878</v>
      </c>
      <c r="M85" s="320">
        <v>491262.0227627132</v>
      </c>
      <c r="N85" s="320">
        <v>485168.75343276485</v>
      </c>
      <c r="O85" s="320">
        <v>658469.22797466675</v>
      </c>
      <c r="P85" s="92">
        <v>8961366.874369476</v>
      </c>
      <c r="Q85" s="320"/>
      <c r="R85" s="319">
        <v>756042.37176096824</v>
      </c>
      <c r="S85" s="320">
        <v>950878.11677654565</v>
      </c>
      <c r="T85" s="320">
        <v>809714.22659463633</v>
      </c>
      <c r="U85" s="320">
        <v>1139844.0716659187</v>
      </c>
      <c r="V85" s="320">
        <v>1023131.8100617521</v>
      </c>
      <c r="W85" s="320">
        <v>589240.31801105267</v>
      </c>
      <c r="X85" s="320">
        <v>759003.33249413129</v>
      </c>
      <c r="Y85" s="320">
        <v>552237.58534240269</v>
      </c>
      <c r="Z85" s="320">
        <v>436481.55240075878</v>
      </c>
      <c r="AA85" s="320">
        <v>491262.0227627132</v>
      </c>
      <c r="AB85" s="320">
        <v>485168.75343276485</v>
      </c>
      <c r="AC85" s="320">
        <v>658469.22797466675</v>
      </c>
      <c r="AD85" s="320">
        <v>1099349.7266666668</v>
      </c>
      <c r="AE85" s="92">
        <v>9750823.1159449778</v>
      </c>
      <c r="AF85" s="48"/>
      <c r="AG85" s="48"/>
      <c r="AH85" s="48"/>
      <c r="AI85" s="48"/>
      <c r="AJ85" s="48"/>
      <c r="AK85" s="48"/>
      <c r="AL85" s="48"/>
      <c r="AM85" s="48"/>
      <c r="AN85" s="48"/>
      <c r="AO85" s="48"/>
      <c r="AP85" s="226"/>
      <c r="AQ85" s="226"/>
      <c r="AR85" s="226"/>
      <c r="AS85" s="226"/>
    </row>
    <row r="86" spans="1:45" x14ac:dyDescent="0.25">
      <c r="A86" s="303" t="s">
        <v>366</v>
      </c>
      <c r="B86" s="304" t="s">
        <v>186</v>
      </c>
      <c r="C86" s="303"/>
      <c r="D86" s="319">
        <v>39656.125633212381</v>
      </c>
      <c r="E86" s="320">
        <v>206030.16551266957</v>
      </c>
      <c r="F86" s="320">
        <v>303179.6719607003</v>
      </c>
      <c r="G86" s="320">
        <v>282931.69352487387</v>
      </c>
      <c r="H86" s="320">
        <v>373068.07518743339</v>
      </c>
      <c r="I86" s="320">
        <v>207801.00513989836</v>
      </c>
      <c r="J86" s="320">
        <v>308231.08859540726</v>
      </c>
      <c r="K86" s="320">
        <v>256260.27896338</v>
      </c>
      <c r="L86" s="320">
        <v>619195.7042913324</v>
      </c>
      <c r="M86" s="320">
        <v>144841.99276659984</v>
      </c>
      <c r="N86" s="320">
        <v>386603.54027603142</v>
      </c>
      <c r="O86" s="320">
        <v>476943.90157299337</v>
      </c>
      <c r="P86" s="92">
        <v>3604743.2434245325</v>
      </c>
      <c r="Q86" s="320"/>
      <c r="R86" s="319">
        <v>39656.125633212381</v>
      </c>
      <c r="S86" s="320">
        <v>206030.16551266957</v>
      </c>
      <c r="T86" s="320">
        <v>303179.6719607003</v>
      </c>
      <c r="U86" s="320">
        <v>282931.69352487387</v>
      </c>
      <c r="V86" s="320">
        <v>373068.07518743339</v>
      </c>
      <c r="W86" s="320">
        <v>207801.00513989836</v>
      </c>
      <c r="X86" s="320">
        <v>308231.08859540726</v>
      </c>
      <c r="Y86" s="320">
        <v>184511.49617571369</v>
      </c>
      <c r="Z86" s="320">
        <v>619195.7042913324</v>
      </c>
      <c r="AA86" s="320">
        <v>144841.99276659984</v>
      </c>
      <c r="AB86" s="320">
        <v>386603.54027603142</v>
      </c>
      <c r="AC86" s="320">
        <v>476943.90157299337</v>
      </c>
      <c r="AD86" s="320">
        <v>813612.46999999986</v>
      </c>
      <c r="AE86" s="92">
        <v>4346606.930636866</v>
      </c>
      <c r="AF86" s="48"/>
      <c r="AG86" s="48"/>
      <c r="AH86" s="48"/>
      <c r="AI86" s="48"/>
      <c r="AJ86" s="48"/>
      <c r="AK86" s="48"/>
      <c r="AL86" s="48"/>
      <c r="AM86" s="48"/>
      <c r="AN86" s="48"/>
      <c r="AO86" s="48"/>
      <c r="AP86" s="226"/>
      <c r="AQ86" s="226"/>
      <c r="AR86" s="226"/>
      <c r="AS86" s="226"/>
    </row>
    <row r="87" spans="1:45" x14ac:dyDescent="0.25">
      <c r="A87" s="303" t="s">
        <v>187</v>
      </c>
      <c r="B87" s="304" t="s">
        <v>188</v>
      </c>
      <c r="C87" s="303"/>
      <c r="D87" s="319">
        <v>639053.9941549818</v>
      </c>
      <c r="E87" s="320">
        <v>1300100.5863308269</v>
      </c>
      <c r="F87" s="320">
        <v>1931116.2502270103</v>
      </c>
      <c r="G87" s="320">
        <v>1036388.2681906788</v>
      </c>
      <c r="H87" s="320">
        <v>1636373.7028210007</v>
      </c>
      <c r="I87" s="320">
        <v>2214941.0241781296</v>
      </c>
      <c r="J87" s="320">
        <v>1443148.9306769038</v>
      </c>
      <c r="K87" s="320">
        <v>1185045.6698929812</v>
      </c>
      <c r="L87" s="320">
        <v>1309967.0470784074</v>
      </c>
      <c r="M87" s="320">
        <v>994172.31330087513</v>
      </c>
      <c r="N87" s="320">
        <v>1468144.0007639062</v>
      </c>
      <c r="O87" s="320">
        <v>495360.52968166681</v>
      </c>
      <c r="P87" s="92">
        <v>15653812.317297369</v>
      </c>
      <c r="Q87" s="320"/>
      <c r="R87" s="319">
        <v>639053.9941549818</v>
      </c>
      <c r="S87" s="320">
        <v>1300100.5863308269</v>
      </c>
      <c r="T87" s="320">
        <v>1492434.0247979052</v>
      </c>
      <c r="U87" s="320">
        <v>1036388.2681906788</v>
      </c>
      <c r="V87" s="320">
        <v>1636373.7028210007</v>
      </c>
      <c r="W87" s="320">
        <v>2214941.0241781296</v>
      </c>
      <c r="X87" s="320">
        <v>1443148.9306769038</v>
      </c>
      <c r="Y87" s="320">
        <v>1009989.2946430719</v>
      </c>
      <c r="Z87" s="320">
        <v>1309967.0470784074</v>
      </c>
      <c r="AA87" s="320">
        <v>994172.31330087513</v>
      </c>
      <c r="AB87" s="320">
        <v>1468144.0007639062</v>
      </c>
      <c r="AC87" s="320">
        <v>495360.52968166681</v>
      </c>
      <c r="AD87" s="320">
        <v>966107.26333333331</v>
      </c>
      <c r="AE87" s="92">
        <v>16006180.979951689</v>
      </c>
      <c r="AF87" s="48"/>
      <c r="AG87" s="48"/>
      <c r="AH87" s="48"/>
      <c r="AI87" s="48"/>
      <c r="AJ87" s="48"/>
      <c r="AK87" s="48"/>
      <c r="AL87" s="48"/>
      <c r="AM87" s="48"/>
      <c r="AN87" s="48"/>
      <c r="AO87" s="48"/>
      <c r="AP87" s="226"/>
      <c r="AQ87" s="226"/>
      <c r="AR87" s="226"/>
      <c r="AS87" s="226"/>
    </row>
    <row r="88" spans="1:45" x14ac:dyDescent="0.25">
      <c r="A88" s="303" t="s">
        <v>189</v>
      </c>
      <c r="B88" s="304" t="s">
        <v>190</v>
      </c>
      <c r="C88" s="303"/>
      <c r="D88" s="319">
        <v>1265131.9461745303</v>
      </c>
      <c r="E88" s="320">
        <v>723475.92922881641</v>
      </c>
      <c r="F88" s="320">
        <v>478819.97773011983</v>
      </c>
      <c r="G88" s="320">
        <v>1224144.9337917918</v>
      </c>
      <c r="H88" s="320">
        <v>881485.83228827151</v>
      </c>
      <c r="I88" s="320">
        <v>1540821.5087945806</v>
      </c>
      <c r="J88" s="320">
        <v>963365.57680174999</v>
      </c>
      <c r="K88" s="320">
        <v>1295210.7249572652</v>
      </c>
      <c r="L88" s="320">
        <v>1358096.5629801361</v>
      </c>
      <c r="M88" s="320">
        <v>1495829.8032523601</v>
      </c>
      <c r="N88" s="320">
        <v>883114.07752160204</v>
      </c>
      <c r="O88" s="320">
        <v>1150687.0541963882</v>
      </c>
      <c r="P88" s="92">
        <v>13260183.927717611</v>
      </c>
      <c r="Q88" s="320"/>
      <c r="R88" s="319">
        <v>1265131.9461745303</v>
      </c>
      <c r="S88" s="320">
        <v>723475.92922881641</v>
      </c>
      <c r="T88" s="320">
        <v>454140.9461367433</v>
      </c>
      <c r="U88" s="320">
        <v>1224144.9337917918</v>
      </c>
      <c r="V88" s="320">
        <v>881485.83228827151</v>
      </c>
      <c r="W88" s="320">
        <v>1540821.5087945806</v>
      </c>
      <c r="X88" s="320">
        <v>963365.57680174999</v>
      </c>
      <c r="Y88" s="320">
        <v>1020427.842535005</v>
      </c>
      <c r="Z88" s="320">
        <v>1358096.5629801361</v>
      </c>
      <c r="AA88" s="320">
        <v>1495829.8032523601</v>
      </c>
      <c r="AB88" s="320">
        <v>883114.07752160204</v>
      </c>
      <c r="AC88" s="320">
        <v>1150687.0541963882</v>
      </c>
      <c r="AD88" s="320">
        <v>1272513.3090666665</v>
      </c>
      <c r="AE88" s="92">
        <v>14233235.322768642</v>
      </c>
      <c r="AF88" s="48"/>
      <c r="AG88" s="48"/>
      <c r="AH88" s="48"/>
      <c r="AI88" s="48"/>
      <c r="AJ88" s="48"/>
      <c r="AK88" s="48"/>
      <c r="AL88" s="48"/>
      <c r="AM88" s="48"/>
      <c r="AN88" s="48"/>
      <c r="AO88" s="48"/>
      <c r="AP88" s="226"/>
      <c r="AQ88" s="226"/>
      <c r="AR88" s="226"/>
      <c r="AS88" s="226"/>
    </row>
    <row r="89" spans="1:45" x14ac:dyDescent="0.25">
      <c r="A89" s="303" t="s">
        <v>191</v>
      </c>
      <c r="B89" s="304" t="s">
        <v>192</v>
      </c>
      <c r="C89" s="303"/>
      <c r="D89" s="319">
        <v>744116.67272503907</v>
      </c>
      <c r="E89" s="320">
        <v>2509406.0437666927</v>
      </c>
      <c r="F89" s="320">
        <v>1428284.8183591957</v>
      </c>
      <c r="G89" s="320">
        <v>1871417.301154667</v>
      </c>
      <c r="H89" s="320">
        <v>2850580.3435749444</v>
      </c>
      <c r="I89" s="320">
        <v>2356090.9787021093</v>
      </c>
      <c r="J89" s="320">
        <v>1926459.4813225637</v>
      </c>
      <c r="K89" s="320">
        <v>2389936.5154100717</v>
      </c>
      <c r="L89" s="320">
        <v>2360634.7542032176</v>
      </c>
      <c r="M89" s="320">
        <v>2488426.4783001812</v>
      </c>
      <c r="N89" s="320">
        <v>1866080.184990403</v>
      </c>
      <c r="O89" s="320">
        <v>2562433.8504518266</v>
      </c>
      <c r="P89" s="92">
        <v>25353867.422960911</v>
      </c>
      <c r="Q89" s="320"/>
      <c r="R89" s="319">
        <v>744116.67272503907</v>
      </c>
      <c r="S89" s="320">
        <v>2509406.0437666927</v>
      </c>
      <c r="T89" s="320">
        <v>1236749.0648921716</v>
      </c>
      <c r="U89" s="320">
        <v>1871417.301154667</v>
      </c>
      <c r="V89" s="320">
        <v>2850580.3435749444</v>
      </c>
      <c r="W89" s="320">
        <v>2356090.9787021093</v>
      </c>
      <c r="X89" s="320">
        <v>1926459.4813225637</v>
      </c>
      <c r="Y89" s="320">
        <v>1983375.0088380696</v>
      </c>
      <c r="Z89" s="320">
        <v>2360634.7542032176</v>
      </c>
      <c r="AA89" s="320">
        <v>2488426.4783001812</v>
      </c>
      <c r="AB89" s="320">
        <v>1866080.184990403</v>
      </c>
      <c r="AC89" s="320">
        <v>2562433.8504518266</v>
      </c>
      <c r="AD89" s="320">
        <v>2825072.5316666663</v>
      </c>
      <c r="AE89" s="92">
        <v>27580842.694588553</v>
      </c>
      <c r="AF89" s="48"/>
      <c r="AG89" s="48"/>
      <c r="AH89" s="48"/>
      <c r="AI89" s="48"/>
      <c r="AJ89" s="48"/>
      <c r="AK89" s="48"/>
      <c r="AL89" s="48"/>
      <c r="AM89" s="48"/>
      <c r="AN89" s="48"/>
      <c r="AO89" s="48"/>
      <c r="AP89" s="226"/>
      <c r="AQ89" s="226"/>
      <c r="AR89" s="226"/>
      <c r="AS89" s="226"/>
    </row>
    <row r="90" spans="1:45" x14ac:dyDescent="0.25">
      <c r="A90" s="303" t="s">
        <v>193</v>
      </c>
      <c r="B90" s="304" t="s">
        <v>194</v>
      </c>
      <c r="C90" s="303"/>
      <c r="D90" s="319">
        <v>146868.34402082805</v>
      </c>
      <c r="E90" s="320">
        <v>248996.88934419022</v>
      </c>
      <c r="F90" s="320">
        <v>333380.37484105182</v>
      </c>
      <c r="G90" s="320">
        <v>298336.33046105818</v>
      </c>
      <c r="H90" s="320">
        <v>789313.91041255579</v>
      </c>
      <c r="I90" s="320">
        <v>499961.44644909893</v>
      </c>
      <c r="J90" s="320">
        <v>854430.71324744483</v>
      </c>
      <c r="K90" s="320">
        <v>302543.31245377654</v>
      </c>
      <c r="L90" s="320">
        <v>123375.74247835905</v>
      </c>
      <c r="M90" s="320">
        <v>280357.29411993315</v>
      </c>
      <c r="N90" s="320">
        <v>117168.63540031681</v>
      </c>
      <c r="O90" s="320">
        <v>931747.9213105602</v>
      </c>
      <c r="P90" s="92">
        <v>4926480.9145391732</v>
      </c>
      <c r="Q90" s="320"/>
      <c r="R90" s="319">
        <v>146868.34402082805</v>
      </c>
      <c r="S90" s="320">
        <v>248996.88934419022</v>
      </c>
      <c r="T90" s="320">
        <v>254805.06432439768</v>
      </c>
      <c r="U90" s="320">
        <v>292707.34977823246</v>
      </c>
      <c r="V90" s="320">
        <v>771394.02595864143</v>
      </c>
      <c r="W90" s="320">
        <v>499961.44644909893</v>
      </c>
      <c r="X90" s="320">
        <v>854430.71324744483</v>
      </c>
      <c r="Y90" s="320">
        <v>210231.00831943788</v>
      </c>
      <c r="Z90" s="320">
        <v>123375.74247835905</v>
      </c>
      <c r="AA90" s="320">
        <v>280357.29411993315</v>
      </c>
      <c r="AB90" s="320">
        <v>117168.63540031681</v>
      </c>
      <c r="AC90" s="320">
        <v>931747.9213105602</v>
      </c>
      <c r="AD90" s="320">
        <v>381523.74683333334</v>
      </c>
      <c r="AE90" s="92">
        <v>5113568.1815847745</v>
      </c>
      <c r="AF90" s="48"/>
      <c r="AG90" s="48"/>
      <c r="AH90" s="48"/>
      <c r="AI90" s="48"/>
      <c r="AJ90" s="48"/>
      <c r="AK90" s="48"/>
      <c r="AL90" s="48"/>
      <c r="AM90" s="48"/>
      <c r="AN90" s="48"/>
      <c r="AO90" s="48"/>
      <c r="AP90" s="226"/>
      <c r="AQ90" s="226"/>
      <c r="AR90" s="226"/>
      <c r="AS90" s="226"/>
    </row>
    <row r="91" spans="1:45" x14ac:dyDescent="0.25">
      <c r="A91" s="303" t="s">
        <v>195</v>
      </c>
      <c r="B91" s="304" t="s">
        <v>196</v>
      </c>
      <c r="C91" s="303"/>
      <c r="D91" s="319">
        <v>179574.02980446009</v>
      </c>
      <c r="E91" s="320">
        <v>801124.32958834816</v>
      </c>
      <c r="F91" s="320">
        <v>1075013.252009795</v>
      </c>
      <c r="G91" s="320">
        <v>890494.55031945684</v>
      </c>
      <c r="H91" s="320">
        <v>577051.95487257338</v>
      </c>
      <c r="I91" s="320">
        <v>430113.48921011365</v>
      </c>
      <c r="J91" s="320">
        <v>522017.32989102695</v>
      </c>
      <c r="K91" s="320">
        <v>545047.39611518243</v>
      </c>
      <c r="L91" s="320">
        <v>527912.46877249994</v>
      </c>
      <c r="M91" s="320">
        <v>425646.85974764515</v>
      </c>
      <c r="N91" s="320">
        <v>653730.14306090074</v>
      </c>
      <c r="O91" s="320">
        <v>757773.48762130516</v>
      </c>
      <c r="P91" s="92">
        <v>7385499.2910133079</v>
      </c>
      <c r="Q91" s="320"/>
      <c r="R91" s="319">
        <v>179574.02980446009</v>
      </c>
      <c r="S91" s="320">
        <v>801124.32958834816</v>
      </c>
      <c r="T91" s="320">
        <v>1038473.0699400257</v>
      </c>
      <c r="U91" s="320">
        <v>882823.92491013382</v>
      </c>
      <c r="V91" s="320">
        <v>577051.95487257338</v>
      </c>
      <c r="W91" s="320">
        <v>430113.48921011365</v>
      </c>
      <c r="X91" s="320">
        <v>522017.32989102695</v>
      </c>
      <c r="Y91" s="320">
        <v>497912.41906899464</v>
      </c>
      <c r="Z91" s="320">
        <v>527912.46877249994</v>
      </c>
      <c r="AA91" s="320">
        <v>425646.85974764515</v>
      </c>
      <c r="AB91" s="320">
        <v>653730.14306090074</v>
      </c>
      <c r="AC91" s="320">
        <v>757773.48762130516</v>
      </c>
      <c r="AD91" s="320">
        <v>471401.33068098739</v>
      </c>
      <c r="AE91" s="92">
        <v>7765554.8371690167</v>
      </c>
      <c r="AF91" s="48"/>
      <c r="AG91" s="48"/>
      <c r="AH91" s="48"/>
      <c r="AI91" s="48"/>
      <c r="AJ91" s="48"/>
      <c r="AK91" s="48"/>
      <c r="AL91" s="48"/>
      <c r="AM91" s="48"/>
      <c r="AN91" s="48"/>
      <c r="AO91" s="48"/>
      <c r="AP91" s="226"/>
      <c r="AQ91" s="226"/>
      <c r="AR91" s="226"/>
      <c r="AS91" s="226"/>
    </row>
    <row r="92" spans="1:45" x14ac:dyDescent="0.25">
      <c r="A92" s="303" t="s">
        <v>197</v>
      </c>
      <c r="B92" s="304" t="s">
        <v>198</v>
      </c>
      <c r="C92" s="303"/>
      <c r="D92" s="319">
        <v>186614.69870262881</v>
      </c>
      <c r="E92" s="320">
        <v>1056990.3743217541</v>
      </c>
      <c r="F92" s="320">
        <v>218277.26733711333</v>
      </c>
      <c r="G92" s="320">
        <v>1717815.5382119305</v>
      </c>
      <c r="H92" s="320">
        <v>1172768.2489660757</v>
      </c>
      <c r="I92" s="320">
        <v>403670.25226022035</v>
      </c>
      <c r="J92" s="320">
        <v>739624.88948556688</v>
      </c>
      <c r="K92" s="320">
        <v>710978.65730258496</v>
      </c>
      <c r="L92" s="320">
        <v>824115.07579546701</v>
      </c>
      <c r="M92" s="320">
        <v>381068.68510419095</v>
      </c>
      <c r="N92" s="320">
        <v>480443.94763392705</v>
      </c>
      <c r="O92" s="320">
        <v>830693.38333516684</v>
      </c>
      <c r="P92" s="92">
        <v>8723061.0184566267</v>
      </c>
      <c r="Q92" s="320"/>
      <c r="R92" s="319">
        <v>186614.69870262881</v>
      </c>
      <c r="S92" s="320">
        <v>1056990.3743217541</v>
      </c>
      <c r="T92" s="320">
        <v>213274.44119365636</v>
      </c>
      <c r="U92" s="320">
        <v>1717815.5382119305</v>
      </c>
      <c r="V92" s="320">
        <v>1172768.2489660757</v>
      </c>
      <c r="W92" s="320">
        <v>403670.25226022035</v>
      </c>
      <c r="X92" s="320">
        <v>739624.88948556688</v>
      </c>
      <c r="Y92" s="320">
        <v>541743.39394392318</v>
      </c>
      <c r="Z92" s="320">
        <v>824115.07579546701</v>
      </c>
      <c r="AA92" s="320">
        <v>381068.68510419095</v>
      </c>
      <c r="AB92" s="320">
        <v>480443.94763392705</v>
      </c>
      <c r="AC92" s="320">
        <v>830693.38333516684</v>
      </c>
      <c r="AD92" s="320">
        <v>217167.54640000002</v>
      </c>
      <c r="AE92" s="92">
        <v>8765990.4753545076</v>
      </c>
      <c r="AF92" s="48"/>
      <c r="AG92" s="48"/>
      <c r="AH92" s="48"/>
      <c r="AI92" s="48"/>
      <c r="AJ92" s="48"/>
      <c r="AK92" s="48"/>
      <c r="AL92" s="48"/>
      <c r="AM92" s="48"/>
      <c r="AN92" s="48"/>
      <c r="AO92" s="48"/>
      <c r="AP92" s="226"/>
      <c r="AQ92" s="226"/>
      <c r="AR92" s="226"/>
      <c r="AS92" s="226"/>
    </row>
    <row r="93" spans="1:45" x14ac:dyDescent="0.25">
      <c r="A93" s="303" t="s">
        <v>199</v>
      </c>
      <c r="B93" s="304" t="s">
        <v>200</v>
      </c>
      <c r="C93" s="303"/>
      <c r="D93" s="319">
        <v>7113.920227985006</v>
      </c>
      <c r="E93" s="320">
        <v>466081.67504363321</v>
      </c>
      <c r="F93" s="320">
        <v>3285268.3799884319</v>
      </c>
      <c r="G93" s="320">
        <v>1447556.1830712988</v>
      </c>
      <c r="H93" s="320">
        <v>784449.45725906966</v>
      </c>
      <c r="I93" s="320">
        <v>1115955.2746199381</v>
      </c>
      <c r="J93" s="320">
        <v>1094375.1261328075</v>
      </c>
      <c r="K93" s="320">
        <v>694147.50643790362</v>
      </c>
      <c r="L93" s="320">
        <v>510962.85258621193</v>
      </c>
      <c r="M93" s="320">
        <v>1082344.6780299994</v>
      </c>
      <c r="N93" s="320">
        <v>776970.51534688263</v>
      </c>
      <c r="O93" s="320">
        <v>1051070.3078081901</v>
      </c>
      <c r="P93" s="92">
        <v>12316295.876552351</v>
      </c>
      <c r="Q93" s="320"/>
      <c r="R93" s="319">
        <v>7113.920227985006</v>
      </c>
      <c r="S93" s="320">
        <v>466081.67504363321</v>
      </c>
      <c r="T93" s="320">
        <v>3075505.6115732281</v>
      </c>
      <c r="U93" s="320">
        <v>1447556.1830712988</v>
      </c>
      <c r="V93" s="320">
        <v>784449.45725906966</v>
      </c>
      <c r="W93" s="320">
        <v>1115955.2746199381</v>
      </c>
      <c r="X93" s="320">
        <v>1094375.1261328075</v>
      </c>
      <c r="Y93" s="320">
        <v>644056.02857827151</v>
      </c>
      <c r="Z93" s="320">
        <v>510962.85258621193</v>
      </c>
      <c r="AA93" s="320">
        <v>1082344.6780299994</v>
      </c>
      <c r="AB93" s="320">
        <v>776970.51534688263</v>
      </c>
      <c r="AC93" s="320">
        <v>1051070.3078081901</v>
      </c>
      <c r="AD93" s="320">
        <v>988487.71949999989</v>
      </c>
      <c r="AE93" s="92">
        <v>13044929.349777516</v>
      </c>
      <c r="AF93" s="48"/>
      <c r="AG93" s="48"/>
      <c r="AH93" s="48"/>
      <c r="AI93" s="48"/>
      <c r="AJ93" s="48"/>
      <c r="AK93" s="48"/>
      <c r="AL93" s="48"/>
      <c r="AM93" s="48"/>
      <c r="AN93" s="48"/>
      <c r="AO93" s="48"/>
      <c r="AP93" s="226"/>
      <c r="AQ93" s="226"/>
      <c r="AR93" s="226"/>
      <c r="AS93" s="226"/>
    </row>
    <row r="94" spans="1:45" x14ac:dyDescent="0.25">
      <c r="A94" s="303" t="s">
        <v>201</v>
      </c>
      <c r="B94" s="304" t="s">
        <v>202</v>
      </c>
      <c r="C94" s="303"/>
      <c r="D94" s="319">
        <v>6509361.3502216665</v>
      </c>
      <c r="E94" s="320">
        <v>2155294.8769436809</v>
      </c>
      <c r="F94" s="320">
        <v>6894254.0345915062</v>
      </c>
      <c r="G94" s="320">
        <v>4863962.8026028201</v>
      </c>
      <c r="H94" s="320">
        <v>7636597.8301329212</v>
      </c>
      <c r="I94" s="320">
        <v>10427877.540865449</v>
      </c>
      <c r="J94" s="320">
        <v>7354002.2148859594</v>
      </c>
      <c r="K94" s="320">
        <v>6216326.0442268373</v>
      </c>
      <c r="L94" s="320">
        <v>4407084.0922281239</v>
      </c>
      <c r="M94" s="320">
        <v>4941542.4178217426</v>
      </c>
      <c r="N94" s="320">
        <v>3834196.4551025708</v>
      </c>
      <c r="O94" s="320">
        <v>5770184.1704713348</v>
      </c>
      <c r="P94" s="92">
        <v>71010683.830094606</v>
      </c>
      <c r="Q94" s="320"/>
      <c r="R94" s="319">
        <v>6509361.3502216665</v>
      </c>
      <c r="S94" s="320">
        <v>2155294.8769436809</v>
      </c>
      <c r="T94" s="320">
        <v>6048460.1099445075</v>
      </c>
      <c r="U94" s="320">
        <v>4863962.8026028201</v>
      </c>
      <c r="V94" s="320">
        <v>7636597.8301329212</v>
      </c>
      <c r="W94" s="320">
        <v>10427877.540865449</v>
      </c>
      <c r="X94" s="320">
        <v>7354002.2148859594</v>
      </c>
      <c r="Y94" s="320">
        <v>5539717.7117815753</v>
      </c>
      <c r="Z94" s="320">
        <v>4407084.0922281239</v>
      </c>
      <c r="AA94" s="320">
        <v>4941542.4178217426</v>
      </c>
      <c r="AB94" s="320">
        <v>3834196.4551025708</v>
      </c>
      <c r="AC94" s="320">
        <v>5770184.1704713348</v>
      </c>
      <c r="AD94" s="320">
        <v>4013222.2520999997</v>
      </c>
      <c r="AE94" s="92">
        <v>73501503.825102359</v>
      </c>
      <c r="AF94" s="48"/>
      <c r="AG94" s="48"/>
      <c r="AH94" s="48"/>
      <c r="AI94" s="48"/>
      <c r="AJ94" s="48"/>
      <c r="AK94" s="48"/>
      <c r="AL94" s="48"/>
      <c r="AM94" s="48"/>
      <c r="AN94" s="48"/>
      <c r="AO94" s="48"/>
      <c r="AP94" s="226"/>
      <c r="AQ94" s="226"/>
      <c r="AR94" s="226"/>
      <c r="AS94" s="226"/>
    </row>
    <row r="95" spans="1:45" x14ac:dyDescent="0.25">
      <c r="A95" s="303" t="s">
        <v>203</v>
      </c>
      <c r="B95" s="304" t="s">
        <v>204</v>
      </c>
      <c r="C95" s="303"/>
      <c r="D95" s="319">
        <v>13224.633416492956</v>
      </c>
      <c r="E95" s="320">
        <v>100148.98774196004</v>
      </c>
      <c r="F95" s="320">
        <v>122924.19275224011</v>
      </c>
      <c r="G95" s="320">
        <v>93494.645972720624</v>
      </c>
      <c r="H95" s="320">
        <v>1687442.6274830806</v>
      </c>
      <c r="I95" s="320">
        <v>226319.23764248969</v>
      </c>
      <c r="J95" s="320">
        <v>370928.84163608961</v>
      </c>
      <c r="K95" s="320">
        <v>151766.95400297217</v>
      </c>
      <c r="L95" s="320">
        <v>352839.19659817021</v>
      </c>
      <c r="M95" s="320">
        <v>127245.4829381061</v>
      </c>
      <c r="N95" s="320">
        <v>129366.86321373047</v>
      </c>
      <c r="O95" s="320">
        <v>249173.81902500006</v>
      </c>
      <c r="P95" s="92">
        <v>3624875.4824230531</v>
      </c>
      <c r="Q95" s="320"/>
      <c r="R95" s="319">
        <v>13224.633416492956</v>
      </c>
      <c r="S95" s="320">
        <v>100148.98774196004</v>
      </c>
      <c r="T95" s="320">
        <v>106558.78928836746</v>
      </c>
      <c r="U95" s="320">
        <v>93494.645972720624</v>
      </c>
      <c r="V95" s="320">
        <v>1687442.6274830806</v>
      </c>
      <c r="W95" s="320">
        <v>226319.23764248969</v>
      </c>
      <c r="X95" s="320">
        <v>370928.84163608961</v>
      </c>
      <c r="Y95" s="320">
        <v>70160.264805321814</v>
      </c>
      <c r="Z95" s="320">
        <v>352839.19659817021</v>
      </c>
      <c r="AA95" s="320">
        <v>127245.4829381061</v>
      </c>
      <c r="AB95" s="320">
        <v>129366.86321373047</v>
      </c>
      <c r="AC95" s="320">
        <v>249173.81902500006</v>
      </c>
      <c r="AD95" s="320">
        <v>266291.35333333333</v>
      </c>
      <c r="AE95" s="92">
        <v>3793194.7430948634</v>
      </c>
      <c r="AF95" s="48"/>
      <c r="AG95" s="48"/>
      <c r="AH95" s="48"/>
      <c r="AI95" s="48"/>
      <c r="AJ95" s="48"/>
      <c r="AK95" s="48"/>
      <c r="AL95" s="48"/>
      <c r="AM95" s="48"/>
      <c r="AN95" s="48"/>
      <c r="AO95" s="48"/>
      <c r="AP95" s="226"/>
      <c r="AQ95" s="226"/>
      <c r="AR95" s="226"/>
      <c r="AS95" s="226"/>
    </row>
    <row r="96" spans="1:45" x14ac:dyDescent="0.25">
      <c r="A96" s="303" t="s">
        <v>205</v>
      </c>
      <c r="B96" s="304" t="s">
        <v>206</v>
      </c>
      <c r="C96" s="303"/>
      <c r="D96" s="319">
        <v>2071113.8758018431</v>
      </c>
      <c r="E96" s="320">
        <v>578653.30525687325</v>
      </c>
      <c r="F96" s="320">
        <v>1487385.4130950966</v>
      </c>
      <c r="G96" s="320">
        <v>618245.50124421762</v>
      </c>
      <c r="H96" s="320">
        <v>454280.73117344017</v>
      </c>
      <c r="I96" s="320">
        <v>1180518.7680123588</v>
      </c>
      <c r="J96" s="320">
        <v>833711.90041790123</v>
      </c>
      <c r="K96" s="320">
        <v>1148658.9715434264</v>
      </c>
      <c r="L96" s="320">
        <v>845822.19083594135</v>
      </c>
      <c r="M96" s="320">
        <v>907706.34806510201</v>
      </c>
      <c r="N96" s="320">
        <v>709232.03626082477</v>
      </c>
      <c r="O96" s="320">
        <v>1035987.4165365715</v>
      </c>
      <c r="P96" s="92">
        <v>11871316.458243597</v>
      </c>
      <c r="Q96" s="320"/>
      <c r="R96" s="319">
        <v>2071113.8758018431</v>
      </c>
      <c r="S96" s="320">
        <v>578653.30525687325</v>
      </c>
      <c r="T96" s="320">
        <v>527360.38584680075</v>
      </c>
      <c r="U96" s="320">
        <v>618245.50124421762</v>
      </c>
      <c r="V96" s="320">
        <v>454280.73117344017</v>
      </c>
      <c r="W96" s="320">
        <v>1180518.7680123588</v>
      </c>
      <c r="X96" s="320">
        <v>833711.90041790123</v>
      </c>
      <c r="Y96" s="320">
        <v>997712.34997624578</v>
      </c>
      <c r="Z96" s="320">
        <v>845822.19083594135</v>
      </c>
      <c r="AA96" s="320">
        <v>907706.34806510201</v>
      </c>
      <c r="AB96" s="320">
        <v>709232.03626082477</v>
      </c>
      <c r="AC96" s="320">
        <v>1035987.4165365715</v>
      </c>
      <c r="AD96" s="320">
        <v>679292.37999999989</v>
      </c>
      <c r="AE96" s="92">
        <v>11439637.189428121</v>
      </c>
      <c r="AF96" s="48"/>
      <c r="AG96" s="48"/>
      <c r="AH96" s="48"/>
      <c r="AI96" s="48"/>
      <c r="AJ96" s="48"/>
      <c r="AK96" s="48"/>
      <c r="AL96" s="48"/>
      <c r="AM96" s="48"/>
      <c r="AN96" s="48"/>
      <c r="AO96" s="48"/>
      <c r="AP96" s="226"/>
      <c r="AQ96" s="226"/>
      <c r="AR96" s="226"/>
      <c r="AS96" s="226"/>
    </row>
    <row r="97" spans="1:45" x14ac:dyDescent="0.25">
      <c r="A97" s="303" t="s">
        <v>367</v>
      </c>
      <c r="B97" s="304" t="s">
        <v>208</v>
      </c>
      <c r="C97" s="303"/>
      <c r="D97" s="319">
        <v>1969827.4596953182</v>
      </c>
      <c r="E97" s="320">
        <v>1708466.1707827954</v>
      </c>
      <c r="F97" s="320">
        <v>2029810.6630829603</v>
      </c>
      <c r="G97" s="320">
        <v>2053925.1719449267</v>
      </c>
      <c r="H97" s="320">
        <v>3400760.5786086633</v>
      </c>
      <c r="I97" s="320">
        <v>2194417.7187534948</v>
      </c>
      <c r="J97" s="320">
        <v>2399953.0364916534</v>
      </c>
      <c r="K97" s="320">
        <v>2711606.2283046348</v>
      </c>
      <c r="L97" s="320">
        <v>3029048.0865992242</v>
      </c>
      <c r="M97" s="320">
        <v>3551462.6334838737</v>
      </c>
      <c r="N97" s="320">
        <v>3265336.0947831268</v>
      </c>
      <c r="O97" s="320">
        <v>2538509.1835336667</v>
      </c>
      <c r="P97" s="92">
        <v>30853123.026064336</v>
      </c>
      <c r="Q97" s="320"/>
      <c r="R97" s="319">
        <v>1969827.4596953182</v>
      </c>
      <c r="S97" s="320">
        <v>1708466.1707827954</v>
      </c>
      <c r="T97" s="320">
        <v>1704289.3740327526</v>
      </c>
      <c r="U97" s="320">
        <v>2053925.1719449267</v>
      </c>
      <c r="V97" s="320">
        <v>3400760.5786086633</v>
      </c>
      <c r="W97" s="320">
        <v>2194417.7187534948</v>
      </c>
      <c r="X97" s="320">
        <v>2399953.0364916534</v>
      </c>
      <c r="Y97" s="320">
        <v>2174501.7230859441</v>
      </c>
      <c r="Z97" s="320">
        <v>3029048.0865992242</v>
      </c>
      <c r="AA97" s="320">
        <v>3551462.6334838737</v>
      </c>
      <c r="AB97" s="320">
        <v>3265336.0947831268</v>
      </c>
      <c r="AC97" s="320">
        <v>2538509.1835336667</v>
      </c>
      <c r="AD97" s="320">
        <v>3007920.3566666669</v>
      </c>
      <c r="AE97" s="92">
        <v>32998417.588462103</v>
      </c>
      <c r="AF97" s="48"/>
      <c r="AG97" s="48"/>
      <c r="AH97" s="48"/>
      <c r="AI97" s="48"/>
      <c r="AJ97" s="48"/>
      <c r="AK97" s="48"/>
      <c r="AL97" s="48"/>
      <c r="AM97" s="48"/>
      <c r="AN97" s="48"/>
      <c r="AO97" s="48"/>
      <c r="AP97" s="226"/>
      <c r="AQ97" s="226"/>
      <c r="AR97" s="226"/>
      <c r="AS97" s="226"/>
    </row>
    <row r="98" spans="1:45" x14ac:dyDescent="0.25">
      <c r="A98" s="303" t="s">
        <v>209</v>
      </c>
      <c r="B98" s="304" t="s">
        <v>210</v>
      </c>
      <c r="C98" s="303"/>
      <c r="D98" s="319">
        <v>330505.60439181421</v>
      </c>
      <c r="E98" s="320">
        <v>501532.49550185062</v>
      </c>
      <c r="F98" s="320">
        <v>1006845.03533074</v>
      </c>
      <c r="G98" s="320">
        <v>1559841.7127750698</v>
      </c>
      <c r="H98" s="320">
        <v>2426604.6762358365</v>
      </c>
      <c r="I98" s="320">
        <v>2499724.2803801415</v>
      </c>
      <c r="J98" s="320">
        <v>1203774.6322602089</v>
      </c>
      <c r="K98" s="320">
        <v>826330.7346514113</v>
      </c>
      <c r="L98" s="320">
        <v>1813832.2992675772</v>
      </c>
      <c r="M98" s="320">
        <v>1828054.4550952106</v>
      </c>
      <c r="N98" s="320">
        <v>1154293.2661855612</v>
      </c>
      <c r="O98" s="320">
        <v>1687797.9641500933</v>
      </c>
      <c r="P98" s="92">
        <v>16839137.156225514</v>
      </c>
      <c r="Q98" s="320"/>
      <c r="R98" s="319">
        <v>330505.60439181421</v>
      </c>
      <c r="S98" s="320">
        <v>501532.49550185062</v>
      </c>
      <c r="T98" s="320">
        <v>695828.44393340545</v>
      </c>
      <c r="U98" s="320">
        <v>1559841.7127750698</v>
      </c>
      <c r="V98" s="320">
        <v>2426604.6762358365</v>
      </c>
      <c r="W98" s="320">
        <v>2499724.2803801415</v>
      </c>
      <c r="X98" s="320">
        <v>1203774.6322602089</v>
      </c>
      <c r="Y98" s="320">
        <v>744730.42073276138</v>
      </c>
      <c r="Z98" s="320">
        <v>1813832.2992675772</v>
      </c>
      <c r="AA98" s="320">
        <v>1828054.4550952106</v>
      </c>
      <c r="AB98" s="320">
        <v>1154293.2661855612</v>
      </c>
      <c r="AC98" s="320">
        <v>1687797.9641500933</v>
      </c>
      <c r="AD98" s="320">
        <v>1787772.9005999998</v>
      </c>
      <c r="AE98" s="92">
        <v>18234293.151509531</v>
      </c>
      <c r="AF98" s="48"/>
      <c r="AG98" s="48"/>
      <c r="AH98" s="48"/>
      <c r="AI98" s="48"/>
      <c r="AJ98" s="48"/>
      <c r="AK98" s="48"/>
      <c r="AL98" s="48"/>
      <c r="AM98" s="48"/>
      <c r="AN98" s="48"/>
      <c r="AO98" s="48"/>
      <c r="AP98" s="226"/>
      <c r="AQ98" s="226"/>
      <c r="AR98" s="226"/>
      <c r="AS98" s="226"/>
    </row>
    <row r="99" spans="1:45" x14ac:dyDescent="0.25">
      <c r="A99" s="303" t="s">
        <v>211</v>
      </c>
      <c r="B99" s="304" t="s">
        <v>212</v>
      </c>
      <c r="C99" s="303"/>
      <c r="D99" s="319">
        <v>154629.6367703643</v>
      </c>
      <c r="E99" s="320">
        <v>643163.38393191167</v>
      </c>
      <c r="F99" s="320">
        <v>715188.54675704939</v>
      </c>
      <c r="G99" s="320">
        <v>899427.06455360516</v>
      </c>
      <c r="H99" s="320">
        <v>1340849.1923712259</v>
      </c>
      <c r="I99" s="320">
        <v>1214736.2286503469</v>
      </c>
      <c r="J99" s="320">
        <v>971322.17362074018</v>
      </c>
      <c r="K99" s="320">
        <v>728752.03868766536</v>
      </c>
      <c r="L99" s="320">
        <v>839906.24773248332</v>
      </c>
      <c r="M99" s="320">
        <v>800858.58185886592</v>
      </c>
      <c r="N99" s="320">
        <v>901101.66850527597</v>
      </c>
      <c r="O99" s="320">
        <v>852541.75916250027</v>
      </c>
      <c r="P99" s="92">
        <v>10062476.522602033</v>
      </c>
      <c r="Q99" s="320"/>
      <c r="R99" s="319">
        <v>154629.6367703643</v>
      </c>
      <c r="S99" s="320">
        <v>643163.38393191167</v>
      </c>
      <c r="T99" s="320">
        <v>706276.60819854029</v>
      </c>
      <c r="U99" s="320">
        <v>899427.06455360516</v>
      </c>
      <c r="V99" s="320">
        <v>1340849.1923712259</v>
      </c>
      <c r="W99" s="320">
        <v>1214736.2286503469</v>
      </c>
      <c r="X99" s="320">
        <v>971322.17362074018</v>
      </c>
      <c r="Y99" s="320">
        <v>643410.94677623094</v>
      </c>
      <c r="Z99" s="320">
        <v>839906.24773248332</v>
      </c>
      <c r="AA99" s="320">
        <v>800858.58185886592</v>
      </c>
      <c r="AB99" s="320">
        <v>901101.66850527597</v>
      </c>
      <c r="AC99" s="320">
        <v>852541.75916250027</v>
      </c>
      <c r="AD99" s="320">
        <v>3055652.3956000013</v>
      </c>
      <c r="AE99" s="92">
        <v>13023875.887732092</v>
      </c>
      <c r="AF99" s="48"/>
      <c r="AG99" s="48"/>
      <c r="AH99" s="48"/>
      <c r="AI99" s="48"/>
      <c r="AJ99" s="48"/>
      <c r="AK99" s="48"/>
      <c r="AL99" s="48"/>
      <c r="AM99" s="48"/>
      <c r="AN99" s="48"/>
      <c r="AO99" s="48"/>
      <c r="AP99" s="226"/>
      <c r="AQ99" s="226"/>
      <c r="AR99" s="226"/>
      <c r="AS99" s="226"/>
    </row>
    <row r="100" spans="1:45" x14ac:dyDescent="0.25">
      <c r="A100" s="303" t="s">
        <v>213</v>
      </c>
      <c r="B100" s="304" t="s">
        <v>214</v>
      </c>
      <c r="C100" s="303"/>
      <c r="D100" s="319">
        <v>392573.01468747674</v>
      </c>
      <c r="E100" s="320">
        <v>234490.74840176606</v>
      </c>
      <c r="F100" s="320">
        <v>1687604.1169456544</v>
      </c>
      <c r="G100" s="320">
        <v>819626.69751135039</v>
      </c>
      <c r="H100" s="320">
        <v>1135067.5559429661</v>
      </c>
      <c r="I100" s="320">
        <v>3540789.6374187442</v>
      </c>
      <c r="J100" s="320">
        <v>299450.68395121093</v>
      </c>
      <c r="K100" s="320">
        <v>495861.71103116078</v>
      </c>
      <c r="L100" s="320">
        <v>377128.42769307992</v>
      </c>
      <c r="M100" s="320">
        <v>1098113.3660274893</v>
      </c>
      <c r="N100" s="320">
        <v>1064550.1889408554</v>
      </c>
      <c r="O100" s="320">
        <v>998425.13418883341</v>
      </c>
      <c r="P100" s="92">
        <v>12143681.282740586</v>
      </c>
      <c r="Q100" s="320"/>
      <c r="R100" s="319">
        <v>392573.01468747674</v>
      </c>
      <c r="S100" s="320">
        <v>234490.74840176606</v>
      </c>
      <c r="T100" s="320">
        <v>789863.26196138386</v>
      </c>
      <c r="U100" s="320">
        <v>819626.69751135039</v>
      </c>
      <c r="V100" s="320">
        <v>1135067.5559429661</v>
      </c>
      <c r="W100" s="320">
        <v>3540789.6374187442</v>
      </c>
      <c r="X100" s="320">
        <v>299450.68395121093</v>
      </c>
      <c r="Y100" s="320">
        <v>476146.56252597936</v>
      </c>
      <c r="Z100" s="320">
        <v>377128.42769307992</v>
      </c>
      <c r="AA100" s="320">
        <v>1098113.3660274893</v>
      </c>
      <c r="AB100" s="320">
        <v>1064550.1889408554</v>
      </c>
      <c r="AC100" s="320">
        <v>998425.13418883341</v>
      </c>
      <c r="AD100" s="320">
        <v>1122351.99</v>
      </c>
      <c r="AE100" s="92">
        <v>12348577.269251134</v>
      </c>
      <c r="AF100" s="48"/>
      <c r="AG100" s="48"/>
      <c r="AH100" s="48"/>
      <c r="AI100" s="48"/>
      <c r="AJ100" s="48"/>
      <c r="AK100" s="48"/>
      <c r="AL100" s="48"/>
      <c r="AM100" s="48"/>
      <c r="AN100" s="48"/>
      <c r="AO100" s="48"/>
      <c r="AP100" s="226"/>
      <c r="AQ100" s="226"/>
      <c r="AR100" s="226"/>
      <c r="AS100" s="226"/>
    </row>
    <row r="101" spans="1:45" x14ac:dyDescent="0.25">
      <c r="A101" s="303" t="s">
        <v>368</v>
      </c>
      <c r="B101" s="304" t="s">
        <v>216</v>
      </c>
      <c r="C101" s="303"/>
      <c r="D101" s="319">
        <v>3052611.7770517133</v>
      </c>
      <c r="E101" s="320">
        <v>3147264.5700184461</v>
      </c>
      <c r="F101" s="320">
        <v>3750690.8022876917</v>
      </c>
      <c r="G101" s="320">
        <v>3509632.7259017085</v>
      </c>
      <c r="H101" s="320">
        <v>3941691.4364418536</v>
      </c>
      <c r="I101" s="320">
        <v>4514080.7922550626</v>
      </c>
      <c r="J101" s="320">
        <v>5368503.7038449096</v>
      </c>
      <c r="K101" s="320">
        <v>4046943.5341364793</v>
      </c>
      <c r="L101" s="320">
        <v>4042506.4800456953</v>
      </c>
      <c r="M101" s="320">
        <v>6062729.1293265196</v>
      </c>
      <c r="N101" s="320">
        <v>5064510.7149884608</v>
      </c>
      <c r="O101" s="320">
        <v>3330874.6758463331</v>
      </c>
      <c r="P101" s="92">
        <v>49832040.342144877</v>
      </c>
      <c r="Q101" s="320"/>
      <c r="R101" s="319">
        <v>3052611.7770517133</v>
      </c>
      <c r="S101" s="320">
        <v>3147264.5700184461</v>
      </c>
      <c r="T101" s="320">
        <v>3356789.2539382493</v>
      </c>
      <c r="U101" s="320">
        <v>3509632.7259017085</v>
      </c>
      <c r="V101" s="320">
        <v>3941691.4364418536</v>
      </c>
      <c r="W101" s="320">
        <v>4514080.7922550626</v>
      </c>
      <c r="X101" s="320">
        <v>5368503.7038449096</v>
      </c>
      <c r="Y101" s="320">
        <v>3542145.9363312465</v>
      </c>
      <c r="Z101" s="320">
        <v>4042506.4800456953</v>
      </c>
      <c r="AA101" s="320">
        <v>6062729.1293265196</v>
      </c>
      <c r="AB101" s="320">
        <v>5064510.7149884608</v>
      </c>
      <c r="AC101" s="320">
        <v>3330874.6758463331</v>
      </c>
      <c r="AD101" s="320">
        <v>3312644.9105666657</v>
      </c>
      <c r="AE101" s="92">
        <v>52245986.106556863</v>
      </c>
      <c r="AF101" s="48"/>
      <c r="AG101" s="48"/>
      <c r="AH101" s="48"/>
      <c r="AI101" s="48"/>
      <c r="AJ101" s="48"/>
      <c r="AK101" s="48"/>
      <c r="AL101" s="48"/>
      <c r="AM101" s="48"/>
      <c r="AN101" s="48"/>
      <c r="AO101" s="48"/>
      <c r="AP101" s="226"/>
      <c r="AQ101" s="226"/>
      <c r="AR101" s="226"/>
      <c r="AS101" s="226"/>
    </row>
    <row r="102" spans="1:45" x14ac:dyDescent="0.25">
      <c r="A102" s="303" t="s">
        <v>217</v>
      </c>
      <c r="B102" s="304" t="s">
        <v>218</v>
      </c>
      <c r="C102" s="303"/>
      <c r="D102" s="319">
        <v>4010745.9198473543</v>
      </c>
      <c r="E102" s="320">
        <v>8176840.7458161628</v>
      </c>
      <c r="F102" s="320">
        <v>5078773.2277705995</v>
      </c>
      <c r="G102" s="320">
        <v>4537754.4668311691</v>
      </c>
      <c r="H102" s="320">
        <v>5063274.6863697758</v>
      </c>
      <c r="I102" s="320">
        <v>11656687.955777936</v>
      </c>
      <c r="J102" s="320">
        <v>10720443.413307</v>
      </c>
      <c r="K102" s="320">
        <v>5458664.7067463156</v>
      </c>
      <c r="L102" s="320">
        <v>8068383.6544505563</v>
      </c>
      <c r="M102" s="320">
        <v>7336646.5299291359</v>
      </c>
      <c r="N102" s="320">
        <v>7655380.8441046933</v>
      </c>
      <c r="O102" s="320">
        <v>8087597.9289119998</v>
      </c>
      <c r="P102" s="92">
        <v>85851194.079862699</v>
      </c>
      <c r="Q102" s="320"/>
      <c r="R102" s="319">
        <v>4010745.9198473543</v>
      </c>
      <c r="S102" s="320">
        <v>8176840.7458161628</v>
      </c>
      <c r="T102" s="320">
        <v>4939398.1435415028</v>
      </c>
      <c r="U102" s="320">
        <v>4537754.4668311691</v>
      </c>
      <c r="V102" s="320">
        <v>5063274.6863697758</v>
      </c>
      <c r="W102" s="320">
        <v>11656687.955777936</v>
      </c>
      <c r="X102" s="320">
        <v>10720443.413307</v>
      </c>
      <c r="Y102" s="320">
        <v>3884983.6894238293</v>
      </c>
      <c r="Z102" s="320">
        <v>8068383.6544505563</v>
      </c>
      <c r="AA102" s="320">
        <v>7336646.5299291359</v>
      </c>
      <c r="AB102" s="320">
        <v>7655380.8441046933</v>
      </c>
      <c r="AC102" s="320">
        <v>8087597.9289119998</v>
      </c>
      <c r="AD102" s="320">
        <v>6488423.1366666667</v>
      </c>
      <c r="AE102" s="92">
        <v>90626561.114977792</v>
      </c>
      <c r="AF102" s="48"/>
      <c r="AG102" s="48"/>
      <c r="AH102" s="48"/>
      <c r="AI102" s="48"/>
      <c r="AJ102" s="48"/>
      <c r="AK102" s="48"/>
      <c r="AL102" s="48"/>
      <c r="AM102" s="48"/>
      <c r="AN102" s="48"/>
      <c r="AO102" s="48"/>
      <c r="AP102" s="226"/>
      <c r="AQ102" s="226"/>
      <c r="AR102" s="226"/>
      <c r="AS102" s="226"/>
    </row>
    <row r="103" spans="1:45" x14ac:dyDescent="0.25">
      <c r="A103" s="303" t="s">
        <v>219</v>
      </c>
      <c r="B103" s="304" t="s">
        <v>220</v>
      </c>
      <c r="C103" s="303"/>
      <c r="D103" s="319">
        <v>262446.46912409546</v>
      </c>
      <c r="E103" s="320">
        <v>150472.73031985966</v>
      </c>
      <c r="F103" s="320">
        <v>1871561.8131624437</v>
      </c>
      <c r="G103" s="320">
        <v>707920.73430555756</v>
      </c>
      <c r="H103" s="320">
        <v>95287.907058602417</v>
      </c>
      <c r="I103" s="320">
        <v>594701.79803324083</v>
      </c>
      <c r="J103" s="320">
        <v>559516.96018566214</v>
      </c>
      <c r="K103" s="320">
        <v>755483.86569119862</v>
      </c>
      <c r="L103" s="320">
        <v>999897.84752391384</v>
      </c>
      <c r="M103" s="320">
        <v>382299.30176708213</v>
      </c>
      <c r="N103" s="320">
        <v>221741.28624450602</v>
      </c>
      <c r="O103" s="320">
        <v>122657.03688000003</v>
      </c>
      <c r="P103" s="92">
        <v>6723987.7502961624</v>
      </c>
      <c r="Q103" s="320"/>
      <c r="R103" s="319">
        <v>262446.46912409546</v>
      </c>
      <c r="S103" s="320">
        <v>150472.73031985966</v>
      </c>
      <c r="T103" s="320">
        <v>1652813.2938141404</v>
      </c>
      <c r="U103" s="320">
        <v>707920.73430555756</v>
      </c>
      <c r="V103" s="320">
        <v>95287.907058602417</v>
      </c>
      <c r="W103" s="320">
        <v>594701.79803324083</v>
      </c>
      <c r="X103" s="320">
        <v>559516.96018566214</v>
      </c>
      <c r="Y103" s="320">
        <v>717299.26605323388</v>
      </c>
      <c r="Z103" s="320">
        <v>999897.84752391384</v>
      </c>
      <c r="AA103" s="320">
        <v>382299.30176708213</v>
      </c>
      <c r="AB103" s="320">
        <v>221741.28624450602</v>
      </c>
      <c r="AC103" s="320">
        <v>122657.03688000003</v>
      </c>
      <c r="AD103" s="320">
        <v>125067.76666666668</v>
      </c>
      <c r="AE103" s="92">
        <v>6592122.3979765614</v>
      </c>
      <c r="AF103" s="48"/>
      <c r="AG103" s="48"/>
      <c r="AH103" s="48"/>
      <c r="AI103" s="48"/>
      <c r="AJ103" s="48"/>
      <c r="AK103" s="48"/>
      <c r="AL103" s="48"/>
      <c r="AM103" s="48"/>
      <c r="AN103" s="48"/>
      <c r="AO103" s="48"/>
      <c r="AP103" s="226"/>
      <c r="AQ103" s="226"/>
      <c r="AR103" s="226"/>
      <c r="AS103" s="226"/>
    </row>
    <row r="104" spans="1:45" ht="15.75" thickBot="1" x14ac:dyDescent="0.3">
      <c r="A104" s="321" t="s">
        <v>369</v>
      </c>
      <c r="B104" s="310" t="s">
        <v>222</v>
      </c>
      <c r="C104" s="321"/>
      <c r="D104" s="322">
        <v>32997.756086849709</v>
      </c>
      <c r="E104" s="323">
        <v>153073.64458388722</v>
      </c>
      <c r="F104" s="323">
        <v>43826.678553551232</v>
      </c>
      <c r="G104" s="323">
        <v>213641.15572420039</v>
      </c>
      <c r="H104" s="323">
        <v>54907.90204775137</v>
      </c>
      <c r="I104" s="323">
        <v>856423.09182183852</v>
      </c>
      <c r="J104" s="323">
        <v>2330280.4814861128</v>
      </c>
      <c r="K104" s="323">
        <v>483467.64005998342</v>
      </c>
      <c r="L104" s="323">
        <v>466977.43871608004</v>
      </c>
      <c r="M104" s="323">
        <v>431553.40092778171</v>
      </c>
      <c r="N104" s="323">
        <v>667164.65772440401</v>
      </c>
      <c r="O104" s="323">
        <v>432321.51851500006</v>
      </c>
      <c r="P104" s="102">
        <v>6166635.3662474407</v>
      </c>
      <c r="Q104" s="320"/>
      <c r="R104" s="322">
        <v>32997.756086849709</v>
      </c>
      <c r="S104" s="323">
        <v>153073.64458388722</v>
      </c>
      <c r="T104" s="323">
        <v>43826.678553551232</v>
      </c>
      <c r="U104" s="323">
        <v>213641.15572420039</v>
      </c>
      <c r="V104" s="323">
        <v>54907.90204775137</v>
      </c>
      <c r="W104" s="323">
        <v>856423.09182183852</v>
      </c>
      <c r="X104" s="323">
        <v>2330280.4814861128</v>
      </c>
      <c r="Y104" s="323">
        <v>440913.34919191914</v>
      </c>
      <c r="Z104" s="323">
        <v>466977.43871608004</v>
      </c>
      <c r="AA104" s="323">
        <v>431553.40092778171</v>
      </c>
      <c r="AB104" s="323">
        <v>667164.65772440401</v>
      </c>
      <c r="AC104" s="323">
        <v>432321.51851500006</v>
      </c>
      <c r="AD104" s="323">
        <v>271764.7</v>
      </c>
      <c r="AE104" s="102">
        <v>6395845.7753793765</v>
      </c>
      <c r="AF104" s="48"/>
      <c r="AG104" s="48"/>
      <c r="AH104" s="48"/>
      <c r="AI104" s="48"/>
      <c r="AJ104" s="48"/>
      <c r="AK104" s="48"/>
      <c r="AL104" s="48"/>
      <c r="AM104" s="48"/>
      <c r="AN104" s="48"/>
      <c r="AO104" s="48"/>
      <c r="AP104" s="226"/>
      <c r="AQ104" s="226"/>
      <c r="AR104" s="226"/>
      <c r="AS104" s="226"/>
    </row>
    <row r="105" spans="1:45" x14ac:dyDescent="0.25">
      <c r="A105" s="71"/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3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48"/>
      <c r="AG105" s="48"/>
      <c r="AH105" s="48"/>
      <c r="AI105" s="48"/>
      <c r="AJ105" s="48"/>
      <c r="AK105" s="48"/>
      <c r="AL105" s="48"/>
      <c r="AM105" s="48"/>
      <c r="AN105" s="48"/>
      <c r="AO105" s="48"/>
      <c r="AP105" s="48"/>
      <c r="AQ105" s="48"/>
      <c r="AR105" s="48"/>
      <c r="AS105" s="48"/>
    </row>
    <row r="106" spans="1:45" x14ac:dyDescent="0.25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73"/>
      <c r="R106" s="73"/>
      <c r="S106" s="73"/>
      <c r="T106" s="73"/>
      <c r="U106" s="73"/>
      <c r="V106" s="73"/>
      <c r="W106" s="73"/>
      <c r="X106" s="73"/>
      <c r="Y106" s="324"/>
      <c r="Z106" s="73"/>
      <c r="AA106" s="73"/>
      <c r="AB106" s="73"/>
      <c r="AC106" s="73"/>
      <c r="AD106" s="73"/>
      <c r="AE106" s="73"/>
      <c r="AF106" s="48"/>
      <c r="AG106" s="48"/>
      <c r="AH106" s="48"/>
      <c r="AI106" s="48"/>
      <c r="AJ106" s="48"/>
      <c r="AK106" s="48"/>
      <c r="AL106" s="48"/>
      <c r="AM106" s="48"/>
      <c r="AN106" s="48"/>
      <c r="AO106" s="48"/>
      <c r="AP106" s="48"/>
      <c r="AQ106" s="48"/>
      <c r="AR106" s="48"/>
      <c r="AS106" s="48"/>
    </row>
  </sheetData>
  <mergeCells count="2">
    <mergeCell ref="D1:P1"/>
    <mergeCell ref="R1:A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AD021-482A-4315-96F4-CB63AA08397A}">
  <sheetPr codeName="Ark14"/>
  <dimension ref="A1:B39"/>
  <sheetViews>
    <sheetView zoomScale="85" zoomScaleNormal="85" workbookViewId="0"/>
  </sheetViews>
  <sheetFormatPr defaultRowHeight="15" x14ac:dyDescent="0.25"/>
  <cols>
    <col min="1" max="1" width="18.7109375" bestFit="1" customWidth="1"/>
    <col min="2" max="2" width="97" bestFit="1" customWidth="1"/>
    <col min="4" max="4" width="20.28515625" bestFit="1" customWidth="1"/>
    <col min="5" max="5" width="38.42578125" customWidth="1"/>
  </cols>
  <sheetData>
    <row r="1" spans="1:2" ht="15.75" thickBot="1" x14ac:dyDescent="0.3">
      <c r="A1" s="344" t="s">
        <v>402</v>
      </c>
      <c r="B1" s="344" t="s">
        <v>403</v>
      </c>
    </row>
    <row r="2" spans="1:2" x14ac:dyDescent="0.25">
      <c r="A2" s="345" t="s">
        <v>370</v>
      </c>
      <c r="B2" s="48" t="s">
        <v>404</v>
      </c>
    </row>
    <row r="3" spans="1:2" x14ac:dyDescent="0.25">
      <c r="A3" s="345" t="s">
        <v>371</v>
      </c>
      <c r="B3" s="48" t="s">
        <v>405</v>
      </c>
    </row>
    <row r="4" spans="1:2" x14ac:dyDescent="0.25">
      <c r="A4" s="212" t="s">
        <v>372</v>
      </c>
      <c r="B4" s="48" t="s">
        <v>406</v>
      </c>
    </row>
    <row r="5" spans="1:2" x14ac:dyDescent="0.25">
      <c r="A5" s="212" t="s">
        <v>373</v>
      </c>
      <c r="B5" s="48" t="s">
        <v>407</v>
      </c>
    </row>
    <row r="6" spans="1:2" x14ac:dyDescent="0.25">
      <c r="A6" s="345" t="s">
        <v>374</v>
      </c>
      <c r="B6" s="48" t="s">
        <v>408</v>
      </c>
    </row>
    <row r="7" spans="1:2" x14ac:dyDescent="0.25">
      <c r="A7" s="212" t="s">
        <v>375</v>
      </c>
      <c r="B7" s="48" t="s">
        <v>409</v>
      </c>
    </row>
    <row r="8" spans="1:2" x14ac:dyDescent="0.25">
      <c r="A8" s="212" t="s">
        <v>376</v>
      </c>
      <c r="B8" s="48" t="s">
        <v>410</v>
      </c>
    </row>
    <row r="9" spans="1:2" x14ac:dyDescent="0.25">
      <c r="A9" s="345" t="s">
        <v>377</v>
      </c>
      <c r="B9" s="48" t="s">
        <v>411</v>
      </c>
    </row>
    <row r="10" spans="1:2" x14ac:dyDescent="0.25">
      <c r="A10" s="345" t="s">
        <v>261</v>
      </c>
      <c r="B10" s="48" t="s">
        <v>412</v>
      </c>
    </row>
    <row r="11" spans="1:2" x14ac:dyDescent="0.25">
      <c r="A11" s="212" t="s">
        <v>378</v>
      </c>
      <c r="B11" s="48" t="s">
        <v>413</v>
      </c>
    </row>
    <row r="12" spans="1:2" x14ac:dyDescent="0.25">
      <c r="A12" s="212" t="s">
        <v>379</v>
      </c>
      <c r="B12" s="48" t="s">
        <v>414</v>
      </c>
    </row>
    <row r="13" spans="1:2" x14ac:dyDescent="0.25">
      <c r="A13" s="345" t="s">
        <v>380</v>
      </c>
      <c r="B13" s="48" t="s">
        <v>415</v>
      </c>
    </row>
    <row r="14" spans="1:2" x14ac:dyDescent="0.25">
      <c r="A14" s="345" t="s">
        <v>381</v>
      </c>
      <c r="B14" s="48" t="s">
        <v>416</v>
      </c>
    </row>
    <row r="15" spans="1:2" x14ac:dyDescent="0.25">
      <c r="A15" s="345" t="s">
        <v>382</v>
      </c>
      <c r="B15" s="48" t="s">
        <v>417</v>
      </c>
    </row>
    <row r="16" spans="1:2" x14ac:dyDescent="0.25">
      <c r="A16" s="345" t="s">
        <v>383</v>
      </c>
      <c r="B16" s="48" t="s">
        <v>418</v>
      </c>
    </row>
    <row r="17" spans="1:2" x14ac:dyDescent="0.25">
      <c r="A17" s="345" t="s">
        <v>384</v>
      </c>
      <c r="B17" s="48" t="s">
        <v>419</v>
      </c>
    </row>
    <row r="18" spans="1:2" x14ac:dyDescent="0.25">
      <c r="A18" s="212" t="s">
        <v>385</v>
      </c>
      <c r="B18" s="48" t="s">
        <v>418</v>
      </c>
    </row>
    <row r="19" spans="1:2" ht="17.25" x14ac:dyDescent="0.25">
      <c r="A19" s="345" t="s">
        <v>420</v>
      </c>
      <c r="B19" s="48" t="s">
        <v>421</v>
      </c>
    </row>
    <row r="20" spans="1:2" ht="17.25" x14ac:dyDescent="0.25">
      <c r="A20" s="345" t="s">
        <v>422</v>
      </c>
      <c r="B20" s="48" t="s">
        <v>423</v>
      </c>
    </row>
    <row r="21" spans="1:2" x14ac:dyDescent="0.25">
      <c r="A21" s="345" t="s">
        <v>388</v>
      </c>
      <c r="B21" s="48" t="s">
        <v>424</v>
      </c>
    </row>
    <row r="22" spans="1:2" x14ac:dyDescent="0.25">
      <c r="A22" s="345" t="s">
        <v>389</v>
      </c>
      <c r="B22" s="48" t="s">
        <v>425</v>
      </c>
    </row>
    <row r="23" spans="1:2" x14ac:dyDescent="0.25">
      <c r="A23" s="345" t="s">
        <v>285</v>
      </c>
      <c r="B23" s="48" t="s">
        <v>426</v>
      </c>
    </row>
    <row r="24" spans="1:2" x14ac:dyDescent="0.25">
      <c r="A24" s="345" t="s">
        <v>390</v>
      </c>
      <c r="B24" s="48" t="s">
        <v>427</v>
      </c>
    </row>
    <row r="25" spans="1:2" x14ac:dyDescent="0.25">
      <c r="A25" s="345" t="s">
        <v>391</v>
      </c>
      <c r="B25" s="48" t="s">
        <v>428</v>
      </c>
    </row>
    <row r="26" spans="1:2" x14ac:dyDescent="0.25">
      <c r="A26" s="345" t="s">
        <v>392</v>
      </c>
      <c r="B26" s="73" t="s">
        <v>429</v>
      </c>
    </row>
    <row r="27" spans="1:2" x14ac:dyDescent="0.25">
      <c r="A27" s="345" t="s">
        <v>393</v>
      </c>
      <c r="B27" s="48" t="s">
        <v>430</v>
      </c>
    </row>
    <row r="28" spans="1:2" x14ac:dyDescent="0.25">
      <c r="A28" s="345" t="s">
        <v>394</v>
      </c>
      <c r="B28" s="48" t="s">
        <v>431</v>
      </c>
    </row>
    <row r="29" spans="1:2" x14ac:dyDescent="0.25">
      <c r="A29" s="345" t="s">
        <v>395</v>
      </c>
      <c r="B29" s="48" t="s">
        <v>432</v>
      </c>
    </row>
    <row r="30" spans="1:2" x14ac:dyDescent="0.25">
      <c r="A30" s="345" t="s">
        <v>396</v>
      </c>
      <c r="B30" s="73" t="s">
        <v>433</v>
      </c>
    </row>
    <row r="31" spans="1:2" x14ac:dyDescent="0.25">
      <c r="A31" s="345" t="s">
        <v>286</v>
      </c>
      <c r="B31" s="73" t="s">
        <v>434</v>
      </c>
    </row>
    <row r="32" spans="1:2" x14ac:dyDescent="0.25">
      <c r="A32" s="345" t="s">
        <v>397</v>
      </c>
      <c r="B32" s="73" t="s">
        <v>435</v>
      </c>
    </row>
    <row r="33" spans="1:2" x14ac:dyDescent="0.25">
      <c r="A33" s="345" t="s">
        <v>398</v>
      </c>
      <c r="B33" s="73" t="s">
        <v>436</v>
      </c>
    </row>
    <row r="34" spans="1:2" x14ac:dyDescent="0.25">
      <c r="A34" s="345" t="s">
        <v>399</v>
      </c>
      <c r="B34" s="73" t="s">
        <v>437</v>
      </c>
    </row>
    <row r="35" spans="1:2" x14ac:dyDescent="0.25">
      <c r="A35" s="345" t="s">
        <v>400</v>
      </c>
      <c r="B35" s="48" t="s">
        <v>438</v>
      </c>
    </row>
    <row r="36" spans="1:2" ht="15.75" thickBot="1" x14ac:dyDescent="0.3">
      <c r="A36" s="346" t="s">
        <v>401</v>
      </c>
      <c r="B36" s="347" t="s">
        <v>439</v>
      </c>
    </row>
    <row r="37" spans="1:2" x14ac:dyDescent="0.25">
      <c r="A37" s="195" t="s">
        <v>440</v>
      </c>
      <c r="B37" s="73"/>
    </row>
    <row r="38" spans="1:2" x14ac:dyDescent="0.25">
      <c r="A38" s="348" t="s">
        <v>441</v>
      </c>
      <c r="B38" s="48"/>
    </row>
    <row r="39" spans="1:2" x14ac:dyDescent="0.25">
      <c r="A39" s="348" t="s">
        <v>442</v>
      </c>
      <c r="B39" s="4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9D543-9A8C-4F38-917B-905E354C73C9}">
  <sheetPr codeName="Ark2"/>
  <dimension ref="A1:X131"/>
  <sheetViews>
    <sheetView zoomScale="80" zoomScaleNormal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 x14ac:dyDescent="0.25"/>
  <cols>
    <col min="1" max="1" width="39.42578125" style="25" customWidth="1"/>
    <col min="2" max="2" width="13.7109375" style="25" customWidth="1"/>
    <col min="3" max="3" width="32.85546875" style="25" bestFit="1" customWidth="1"/>
    <col min="4" max="10" width="23.85546875" style="25" customWidth="1"/>
    <col min="11" max="11" width="31.5703125" style="25" bestFit="1" customWidth="1"/>
    <col min="12" max="14" width="23.85546875" style="25" customWidth="1"/>
    <col min="15" max="17" width="19.140625" style="25" customWidth="1"/>
    <col min="18" max="19" width="23.85546875" style="25" customWidth="1"/>
    <col min="20" max="21" width="14.85546875" style="14" bestFit="1" customWidth="1"/>
    <col min="22" max="22" width="11.5703125" bestFit="1" customWidth="1"/>
  </cols>
  <sheetData>
    <row r="1" spans="1:24" ht="60.75" thickBot="1" x14ac:dyDescent="0.3">
      <c r="A1" s="1" t="s">
        <v>0</v>
      </c>
      <c r="B1" s="2" t="s">
        <v>1</v>
      </c>
      <c r="C1" s="196" t="s">
        <v>2</v>
      </c>
      <c r="D1" s="197" t="s">
        <v>3</v>
      </c>
      <c r="E1" s="197" t="s">
        <v>4</v>
      </c>
      <c r="F1" s="197" t="s">
        <v>5</v>
      </c>
      <c r="G1" s="198" t="s">
        <v>6</v>
      </c>
      <c r="H1" s="199" t="s">
        <v>7</v>
      </c>
      <c r="I1" s="198" t="s">
        <v>8</v>
      </c>
      <c r="J1" s="199" t="s">
        <v>9</v>
      </c>
      <c r="K1" s="199" t="s">
        <v>10</v>
      </c>
      <c r="L1" s="38" t="s">
        <v>11</v>
      </c>
      <c r="M1" s="39" t="s">
        <v>12</v>
      </c>
      <c r="N1" s="38" t="s">
        <v>13</v>
      </c>
      <c r="O1" s="200" t="s">
        <v>14</v>
      </c>
      <c r="P1" s="39" t="s">
        <v>15</v>
      </c>
      <c r="Q1" s="201" t="s">
        <v>16</v>
      </c>
      <c r="R1" s="201" t="s">
        <v>17</v>
      </c>
      <c r="S1" s="201" t="s">
        <v>18</v>
      </c>
      <c r="T1" s="3"/>
      <c r="U1" s="3"/>
      <c r="V1" s="48"/>
      <c r="W1" s="4"/>
      <c r="X1" s="4"/>
    </row>
    <row r="2" spans="1:24" x14ac:dyDescent="0.25">
      <c r="A2" s="49" t="s">
        <v>19</v>
      </c>
      <c r="B2" s="202" t="s">
        <v>20</v>
      </c>
      <c r="C2" s="5">
        <v>48325328.265658356</v>
      </c>
      <c r="D2" s="6">
        <f>(VLOOKUP(B2,'Netvolumenmål 2021'!B:S,11,0)+(VLOOKUP(B2,'Netvolumenmål 2022'!B:S,11,0)-E2))/2+E2</f>
        <v>45021128.744843289</v>
      </c>
      <c r="E2" s="7">
        <v>646842.58889999997</v>
      </c>
      <c r="F2" s="7">
        <v>30268.941911617825</v>
      </c>
      <c r="G2" s="8">
        <v>0.89505565811308396</v>
      </c>
      <c r="H2" s="9">
        <v>0.95021981832093005</v>
      </c>
      <c r="I2" s="10">
        <f>IF(B2="S088",0.6376365,MAX(G2:H2))</f>
        <v>0.95021981832093005</v>
      </c>
      <c r="J2" s="9">
        <v>0</v>
      </c>
      <c r="K2" s="9">
        <f>I2+J2</f>
        <v>0.95021981832093005</v>
      </c>
      <c r="L2" s="7">
        <f>K2*D2+F2*K2</f>
        <v>42808730.925012216</v>
      </c>
      <c r="M2" s="7">
        <f>1.0356*L2</f>
        <v>44332721.745942652</v>
      </c>
      <c r="N2" s="7">
        <f t="shared" ref="N2:N65" si="0">IF(C2&gt;M2,C2-M2,0)</f>
        <v>3992606.519715704</v>
      </c>
      <c r="O2" s="11">
        <f t="shared" ref="O2:O65" si="1">N2/C2</f>
        <v>8.2619335719090969E-2</v>
      </c>
      <c r="P2" s="12">
        <f t="shared" ref="P2:P65" si="2">O2/8</f>
        <v>1.0327416964886371E-2</v>
      </c>
      <c r="Q2" s="13">
        <f t="shared" ref="Q2:Q65" si="3">MIN(P2,0.02)</f>
        <v>1.0327416964886371E-2</v>
      </c>
      <c r="R2" s="7">
        <f t="shared" ref="R2:R65" si="4">Q2*C2</f>
        <v>499075.814964463</v>
      </c>
      <c r="S2" s="7">
        <f>R2*1.0808</f>
        <v>539401.14081359166</v>
      </c>
      <c r="V2" s="48"/>
      <c r="W2" s="48"/>
      <c r="X2" s="48"/>
    </row>
    <row r="3" spans="1:24" x14ac:dyDescent="0.25">
      <c r="A3" s="49" t="s">
        <v>21</v>
      </c>
      <c r="B3" s="202" t="s">
        <v>22</v>
      </c>
      <c r="C3" s="5">
        <v>43560264.959372208</v>
      </c>
      <c r="D3" s="7">
        <f>(VLOOKUP(B3,'Netvolumenmål 2021'!B:S,11,0)+(VLOOKUP(B3,'Netvolumenmål 2022'!B:S,11,0)-E3))/2+E3</f>
        <v>51038817.857552633</v>
      </c>
      <c r="E3" s="7">
        <v>1823418.83</v>
      </c>
      <c r="F3" s="7">
        <v>0</v>
      </c>
      <c r="G3" s="8">
        <v>0.78076513416238402</v>
      </c>
      <c r="H3" s="9">
        <v>0.77518127075962195</v>
      </c>
      <c r="I3" s="10">
        <f t="shared" ref="I3:I66" si="5">IF(B3="S088",0.6376365,MAX(G3:H3))</f>
        <v>0.78076513416238402</v>
      </c>
      <c r="J3" s="9">
        <v>0</v>
      </c>
      <c r="K3" s="9">
        <f t="shared" ref="K3:K66" si="6">I3+J3</f>
        <v>0.78076513416238402</v>
      </c>
      <c r="L3" s="7">
        <f t="shared" ref="L3:L66" si="7">K3*D3+F3*K3</f>
        <v>39849329.472041562</v>
      </c>
      <c r="M3" s="7">
        <f>1.0356*L3</f>
        <v>41267965.601246245</v>
      </c>
      <c r="N3" s="7">
        <f>IF(C3&gt;M3,C3-M3,0)</f>
        <v>2292299.3581259623</v>
      </c>
      <c r="O3" s="11">
        <f>N3/C3</f>
        <v>5.2623632116653662E-2</v>
      </c>
      <c r="P3" s="12">
        <f>O3/8</f>
        <v>6.5779540145817078E-3</v>
      </c>
      <c r="Q3" s="13">
        <f>MIN(P3,0.02)</f>
        <v>6.5779540145817078E-3</v>
      </c>
      <c r="R3" s="7">
        <f t="shared" si="4"/>
        <v>286537.41976574529</v>
      </c>
      <c r="S3" s="7">
        <f t="shared" ref="S3:S66" si="8">R3*1.0808</f>
        <v>309689.6432828175</v>
      </c>
      <c r="T3" s="15"/>
      <c r="V3" s="48"/>
      <c r="W3" s="48"/>
      <c r="X3" s="48"/>
    </row>
    <row r="4" spans="1:24" x14ac:dyDescent="0.25">
      <c r="A4" s="49" t="s">
        <v>23</v>
      </c>
      <c r="B4" s="202" t="s">
        <v>24</v>
      </c>
      <c r="C4" s="5">
        <v>78946184.926666975</v>
      </c>
      <c r="D4" s="7">
        <f>(VLOOKUP(B4,'Netvolumenmål 2021'!B:S,11,0)+(VLOOKUP(B4,'Netvolumenmål 2022'!B:S,11,0)-E4))/2+E4</f>
        <v>87461415.468777001</v>
      </c>
      <c r="E4" s="7">
        <v>3775900</v>
      </c>
      <c r="F4" s="7">
        <v>0</v>
      </c>
      <c r="G4" s="8">
        <v>0.88953845900359396</v>
      </c>
      <c r="H4" s="9">
        <v>0.88611762570129005</v>
      </c>
      <c r="I4" s="10">
        <f t="shared" si="5"/>
        <v>0.88953845900359396</v>
      </c>
      <c r="J4" s="9">
        <v>0</v>
      </c>
      <c r="K4" s="9">
        <f t="shared" si="6"/>
        <v>0.88953845900359396</v>
      </c>
      <c r="L4" s="7">
        <f t="shared" si="7"/>
        <v>77800292.738368988</v>
      </c>
      <c r="M4" s="7">
        <f t="shared" ref="M4:M67" si="9">1.0356*L4</f>
        <v>80569983.159854934</v>
      </c>
      <c r="N4" s="7">
        <f t="shared" si="0"/>
        <v>0</v>
      </c>
      <c r="O4" s="11">
        <f t="shared" si="1"/>
        <v>0</v>
      </c>
      <c r="P4" s="12">
        <f t="shared" si="2"/>
        <v>0</v>
      </c>
      <c r="Q4" s="13">
        <f t="shared" si="3"/>
        <v>0</v>
      </c>
      <c r="R4" s="7">
        <f t="shared" si="4"/>
        <v>0</v>
      </c>
      <c r="S4" s="7">
        <f t="shared" si="8"/>
        <v>0</v>
      </c>
      <c r="V4" s="48"/>
      <c r="W4" s="48"/>
      <c r="X4" s="48"/>
    </row>
    <row r="5" spans="1:24" x14ac:dyDescent="0.25">
      <c r="A5" s="49" t="s">
        <v>25</v>
      </c>
      <c r="B5" s="202" t="s">
        <v>26</v>
      </c>
      <c r="C5" s="5">
        <v>132362594.64382689</v>
      </c>
      <c r="D5" s="7">
        <f>(VLOOKUP(B5,'Netvolumenmål 2021'!B:S,11,0)+(VLOOKUP(B5,'Netvolumenmål 2022'!B:S,11,0)-E5))/2+E5</f>
        <v>133086169.99372774</v>
      </c>
      <c r="E5" s="7">
        <v>6542029.9652999993</v>
      </c>
      <c r="F5" s="7">
        <v>118134.66463275901</v>
      </c>
      <c r="G5" s="8">
        <v>0.87241565088098605</v>
      </c>
      <c r="H5" s="9">
        <v>0.86350214211116805</v>
      </c>
      <c r="I5" s="10">
        <f t="shared" si="5"/>
        <v>0.87241565088098605</v>
      </c>
      <c r="J5" s="9">
        <v>0</v>
      </c>
      <c r="K5" s="9">
        <f t="shared" si="6"/>
        <v>0.87241565088098605</v>
      </c>
      <c r="L5" s="7">
        <f t="shared" si="7"/>
        <v>116209520.14867274</v>
      </c>
      <c r="M5" s="7">
        <f t="shared" si="9"/>
        <v>120346579.0659655</v>
      </c>
      <c r="N5" s="7">
        <f t="shared" si="0"/>
        <v>12016015.577861384</v>
      </c>
      <c r="O5" s="11">
        <f t="shared" si="1"/>
        <v>9.0781051929324549E-2</v>
      </c>
      <c r="P5" s="12">
        <f t="shared" si="2"/>
        <v>1.1347631491165569E-2</v>
      </c>
      <c r="Q5" s="13">
        <f t="shared" si="3"/>
        <v>1.1347631491165569E-2</v>
      </c>
      <c r="R5" s="7">
        <f t="shared" si="4"/>
        <v>1502001.9472326729</v>
      </c>
      <c r="S5" s="7">
        <f t="shared" si="8"/>
        <v>1623363.7045690729</v>
      </c>
      <c r="V5" s="203"/>
      <c r="W5" s="48"/>
      <c r="X5" s="48"/>
    </row>
    <row r="6" spans="1:24" x14ac:dyDescent="0.25">
      <c r="A6" s="49" t="s">
        <v>27</v>
      </c>
      <c r="B6" s="202" t="s">
        <v>28</v>
      </c>
      <c r="C6" s="5">
        <v>38481668.312291756</v>
      </c>
      <c r="D6" s="7">
        <f>(VLOOKUP(B6,'Netvolumenmål 2021'!B:S,11,0)+(VLOOKUP(B6,'Netvolumenmål 2022'!B:S,11,0)-E6))/2+E6</f>
        <v>36118752.981182158</v>
      </c>
      <c r="E6" s="7">
        <v>15470090.077816658</v>
      </c>
      <c r="F6" s="7">
        <v>124343.07523587422</v>
      </c>
      <c r="G6" s="8">
        <v>0.92390353051012197</v>
      </c>
      <c r="H6" s="9">
        <v>0.92591792097530001</v>
      </c>
      <c r="I6" s="10">
        <f t="shared" si="5"/>
        <v>0.92591792097530001</v>
      </c>
      <c r="J6" s="9">
        <v>0</v>
      </c>
      <c r="K6" s="9">
        <f t="shared" si="6"/>
        <v>0.92591792097530001</v>
      </c>
      <c r="L6" s="7">
        <f t="shared" si="7"/>
        <v>33558132.150266677</v>
      </c>
      <c r="M6" s="7">
        <f t="shared" si="9"/>
        <v>34752801.654816173</v>
      </c>
      <c r="N6" s="7">
        <f t="shared" si="0"/>
        <v>3728866.6574755833</v>
      </c>
      <c r="O6" s="11">
        <f t="shared" si="1"/>
        <v>9.6899818043608948E-2</v>
      </c>
      <c r="P6" s="12">
        <f t="shared" si="2"/>
        <v>1.2112477255451119E-2</v>
      </c>
      <c r="Q6" s="13">
        <f t="shared" si="3"/>
        <v>1.2112477255451119E-2</v>
      </c>
      <c r="R6" s="7">
        <f t="shared" si="4"/>
        <v>466108.33218444791</v>
      </c>
      <c r="S6" s="7">
        <f t="shared" si="8"/>
        <v>503769.88542495127</v>
      </c>
      <c r="V6" s="48"/>
      <c r="W6" s="48"/>
      <c r="X6" s="48"/>
    </row>
    <row r="7" spans="1:24" x14ac:dyDescent="0.25">
      <c r="A7" s="49" t="s">
        <v>29</v>
      </c>
      <c r="B7" s="202" t="s">
        <v>30</v>
      </c>
      <c r="C7" s="5">
        <v>87817778.837735116</v>
      </c>
      <c r="D7" s="7">
        <f>(VLOOKUP(B7,'Netvolumenmål 2021'!B:S,11,0)+(VLOOKUP(B7,'Netvolumenmål 2022'!B:S,11,0)-E7))/2+E7</f>
        <v>92107581.535345137</v>
      </c>
      <c r="E7" s="7">
        <v>9595220.7874333337</v>
      </c>
      <c r="F7" s="7">
        <v>2250346.0954232761</v>
      </c>
      <c r="G7" s="8">
        <v>0.79265798509874597</v>
      </c>
      <c r="H7" s="9">
        <v>0.79418473574241899</v>
      </c>
      <c r="I7" s="10">
        <f t="shared" si="5"/>
        <v>0.79418473574241899</v>
      </c>
      <c r="J7" s="9">
        <v>0</v>
      </c>
      <c r="K7" s="9">
        <f t="shared" si="6"/>
        <v>0.79418473574241899</v>
      </c>
      <c r="L7" s="7">
        <f t="shared" si="7"/>
        <v>74937625.82064411</v>
      </c>
      <c r="M7" s="7">
        <f t="shared" si="9"/>
        <v>77605405.299859047</v>
      </c>
      <c r="N7" s="7">
        <f t="shared" si="0"/>
        <v>10212373.53787607</v>
      </c>
      <c r="O7" s="11">
        <f t="shared" si="1"/>
        <v>0.11629050145695366</v>
      </c>
      <c r="P7" s="12">
        <f t="shared" si="2"/>
        <v>1.4536312682119207E-2</v>
      </c>
      <c r="Q7" s="13">
        <f t="shared" si="3"/>
        <v>1.4536312682119207E-2</v>
      </c>
      <c r="R7" s="7">
        <f t="shared" si="4"/>
        <v>1276546.6922345087</v>
      </c>
      <c r="S7" s="7">
        <f t="shared" si="8"/>
        <v>1379691.6649670571</v>
      </c>
      <c r="V7" s="203"/>
      <c r="W7" s="48"/>
      <c r="X7" s="48"/>
    </row>
    <row r="8" spans="1:24" x14ac:dyDescent="0.25">
      <c r="A8" s="49" t="s">
        <v>31</v>
      </c>
      <c r="B8" s="202" t="s">
        <v>32</v>
      </c>
      <c r="C8" s="5">
        <v>33680386.371174306</v>
      </c>
      <c r="D8" s="7">
        <f>(VLOOKUP(B8,'Netvolumenmål 2021'!B:S,11,0)+(VLOOKUP(B8,'Netvolumenmål 2022'!B:S,11,0)-E8))/2+E8</f>
        <v>39435513.298309371</v>
      </c>
      <c r="E8" s="7">
        <v>-739262.37190000014</v>
      </c>
      <c r="F8" s="7">
        <v>575701.69038541941</v>
      </c>
      <c r="G8" s="8">
        <v>0.93052970763903298</v>
      </c>
      <c r="H8" s="9">
        <v>0.93762482502908695</v>
      </c>
      <c r="I8" s="10">
        <f t="shared" si="5"/>
        <v>0.93762482502908695</v>
      </c>
      <c r="J8" s="9">
        <v>0</v>
      </c>
      <c r="K8" s="9">
        <f t="shared" si="6"/>
        <v>0.93762482502908695</v>
      </c>
      <c r="L8" s="7">
        <f t="shared" si="7"/>
        <v>37515508.45297613</v>
      </c>
      <c r="M8" s="7">
        <f t="shared" si="9"/>
        <v>38851060.553902082</v>
      </c>
      <c r="N8" s="7">
        <f t="shared" si="0"/>
        <v>0</v>
      </c>
      <c r="O8" s="11">
        <f t="shared" si="1"/>
        <v>0</v>
      </c>
      <c r="P8" s="12">
        <f t="shared" si="2"/>
        <v>0</v>
      </c>
      <c r="Q8" s="13">
        <f t="shared" si="3"/>
        <v>0</v>
      </c>
      <c r="R8" s="7">
        <f t="shared" si="4"/>
        <v>0</v>
      </c>
      <c r="S8" s="7">
        <f t="shared" si="8"/>
        <v>0</v>
      </c>
      <c r="V8" s="204"/>
      <c r="W8" s="48"/>
      <c r="X8" s="48"/>
    </row>
    <row r="9" spans="1:24" x14ac:dyDescent="0.25">
      <c r="A9" s="49" t="s">
        <v>33</v>
      </c>
      <c r="B9" s="202" t="s">
        <v>34</v>
      </c>
      <c r="C9" s="5">
        <v>307951797.65675527</v>
      </c>
      <c r="D9" s="7">
        <f>(VLOOKUP(B9,'Netvolumenmål 2021'!B:S,11,0)+(VLOOKUP(B9,'Netvolumenmål 2022'!B:S,11,0)-E9))/2+E9</f>
        <v>315068043.84631592</v>
      </c>
      <c r="E9" s="7">
        <v>646833</v>
      </c>
      <c r="F9" s="7">
        <v>0</v>
      </c>
      <c r="G9" s="8">
        <v>0.78643235637526399</v>
      </c>
      <c r="H9" s="9">
        <v>0.89875163105358102</v>
      </c>
      <c r="I9" s="10">
        <f t="shared" si="5"/>
        <v>0.89875163105358102</v>
      </c>
      <c r="J9" s="9">
        <v>0</v>
      </c>
      <c r="K9" s="9">
        <f t="shared" si="6"/>
        <v>0.89875163105358102</v>
      </c>
      <c r="L9" s="7">
        <f t="shared" si="7"/>
        <v>283167918.29973763</v>
      </c>
      <c r="M9" s="7">
        <f t="shared" si="9"/>
        <v>293248696.1912083</v>
      </c>
      <c r="N9" s="7">
        <f t="shared" si="0"/>
        <v>14703101.465546966</v>
      </c>
      <c r="O9" s="11">
        <f t="shared" si="1"/>
        <v>4.7744814537290417E-2</v>
      </c>
      <c r="P9" s="12">
        <f t="shared" si="2"/>
        <v>5.9681018171613021E-3</v>
      </c>
      <c r="Q9" s="13">
        <f t="shared" si="3"/>
        <v>5.9681018171613021E-3</v>
      </c>
      <c r="R9" s="7">
        <f t="shared" si="4"/>
        <v>1837887.6831933707</v>
      </c>
      <c r="S9" s="7">
        <f t="shared" si="8"/>
        <v>1986389.007995395</v>
      </c>
      <c r="V9" s="48"/>
      <c r="W9" s="48"/>
      <c r="X9" s="48"/>
    </row>
    <row r="10" spans="1:24" x14ac:dyDescent="0.25">
      <c r="A10" s="49" t="s">
        <v>35</v>
      </c>
      <c r="B10" s="202" t="s">
        <v>36</v>
      </c>
      <c r="C10" s="5">
        <v>112603368.98022686</v>
      </c>
      <c r="D10" s="7">
        <f>(VLOOKUP(B10,'Netvolumenmål 2021'!B:S,11,0)+(VLOOKUP(B10,'Netvolumenmål 2022'!B:S,11,0)-E10))/2+E10</f>
        <v>116459820.41079965</v>
      </c>
      <c r="E10" s="7">
        <v>670690</v>
      </c>
      <c r="F10" s="7">
        <v>0</v>
      </c>
      <c r="G10" s="8">
        <v>0.86886702119821002</v>
      </c>
      <c r="H10" s="9">
        <v>0.92148136054768104</v>
      </c>
      <c r="I10" s="10">
        <f t="shared" si="5"/>
        <v>0.92148136054768104</v>
      </c>
      <c r="J10" s="9">
        <v>0</v>
      </c>
      <c r="K10" s="9">
        <f t="shared" si="6"/>
        <v>0.92148136054768104</v>
      </c>
      <c r="L10" s="7">
        <f t="shared" si="7"/>
        <v>107315553.76128227</v>
      </c>
      <c r="M10" s="7">
        <f t="shared" si="9"/>
        <v>111135987.47518392</v>
      </c>
      <c r="N10" s="7">
        <f t="shared" si="0"/>
        <v>1467381.5050429404</v>
      </c>
      <c r="O10" s="11">
        <f t="shared" si="1"/>
        <v>1.3031417428555023E-2</v>
      </c>
      <c r="P10" s="12">
        <f t="shared" si="2"/>
        <v>1.6289271785693779E-3</v>
      </c>
      <c r="Q10" s="13">
        <f t="shared" si="3"/>
        <v>1.6289271785693779E-3</v>
      </c>
      <c r="R10" s="7">
        <f t="shared" si="4"/>
        <v>183422.68813036755</v>
      </c>
      <c r="S10" s="7">
        <f t="shared" si="8"/>
        <v>198243.24133130125</v>
      </c>
      <c r="V10" s="48"/>
      <c r="W10" s="48"/>
      <c r="X10" s="48"/>
    </row>
    <row r="11" spans="1:24" x14ac:dyDescent="0.25">
      <c r="A11" s="49" t="s">
        <v>37</v>
      </c>
      <c r="B11" s="202" t="s">
        <v>38</v>
      </c>
      <c r="C11" s="5">
        <v>64962450.647953078</v>
      </c>
      <c r="D11" s="7">
        <f>(VLOOKUP(B11,'Netvolumenmål 2021'!B:S,11,0)+(VLOOKUP(B11,'Netvolumenmål 2022'!B:S,11,0)-E11))/2+E11</f>
        <v>73136229.079492629</v>
      </c>
      <c r="E11" s="7">
        <v>509137</v>
      </c>
      <c r="F11" s="7">
        <v>0</v>
      </c>
      <c r="G11" s="8">
        <v>0.906774046547702</v>
      </c>
      <c r="H11" s="9">
        <v>0.90627469985041598</v>
      </c>
      <c r="I11" s="10">
        <f t="shared" si="5"/>
        <v>0.906774046547702</v>
      </c>
      <c r="J11" s="9">
        <v>0</v>
      </c>
      <c r="K11" s="9">
        <f t="shared" si="6"/>
        <v>0.906774046547702</v>
      </c>
      <c r="L11" s="7">
        <f t="shared" si="7"/>
        <v>66318034.391651243</v>
      </c>
      <c r="M11" s="7">
        <f t="shared" si="9"/>
        <v>68678956.415994033</v>
      </c>
      <c r="N11" s="7">
        <f t="shared" si="0"/>
        <v>0</v>
      </c>
      <c r="O11" s="11">
        <f t="shared" si="1"/>
        <v>0</v>
      </c>
      <c r="P11" s="12">
        <f t="shared" si="2"/>
        <v>0</v>
      </c>
      <c r="Q11" s="13">
        <f t="shared" si="3"/>
        <v>0</v>
      </c>
      <c r="R11" s="7">
        <f t="shared" si="4"/>
        <v>0</v>
      </c>
      <c r="S11" s="7">
        <f t="shared" si="8"/>
        <v>0</v>
      </c>
      <c r="V11" s="48"/>
      <c r="W11" s="48"/>
      <c r="X11" s="48"/>
    </row>
    <row r="12" spans="1:24" x14ac:dyDescent="0.25">
      <c r="A12" s="49" t="s">
        <v>39</v>
      </c>
      <c r="B12" s="202" t="s">
        <v>40</v>
      </c>
      <c r="C12" s="5">
        <v>34134627.569564544</v>
      </c>
      <c r="D12" s="7">
        <f>(VLOOKUP(B12,'Netvolumenmål 2021'!B:S,11,0)+(VLOOKUP(B12,'Netvolumenmål 2022'!B:S,11,0)-E12))/2+E12</f>
        <v>41322086.019456409</v>
      </c>
      <c r="E12" s="7">
        <v>986268</v>
      </c>
      <c r="F12" s="7">
        <v>260992.19851261633</v>
      </c>
      <c r="G12" s="8">
        <v>0.61668085025833197</v>
      </c>
      <c r="H12" s="9">
        <v>0.71583155402936105</v>
      </c>
      <c r="I12" s="10">
        <f t="shared" si="5"/>
        <v>0.71583155402936105</v>
      </c>
      <c r="J12" s="9">
        <v>0</v>
      </c>
      <c r="K12" s="9">
        <f t="shared" si="6"/>
        <v>0.71583155402936105</v>
      </c>
      <c r="L12" s="7">
        <f t="shared" si="7"/>
        <v>29766479.502093241</v>
      </c>
      <c r="M12" s="7">
        <f t="shared" si="9"/>
        <v>30826166.172367763</v>
      </c>
      <c r="N12" s="7">
        <f t="shared" si="0"/>
        <v>3308461.3971967809</v>
      </c>
      <c r="O12" s="11">
        <f t="shared" si="1"/>
        <v>9.6923904924824902E-2</v>
      </c>
      <c r="P12" s="12">
        <f t="shared" si="2"/>
        <v>1.2115488115603113E-2</v>
      </c>
      <c r="Q12" s="13">
        <f t="shared" si="3"/>
        <v>1.2115488115603113E-2</v>
      </c>
      <c r="R12" s="7">
        <f t="shared" si="4"/>
        <v>413557.67464959761</v>
      </c>
      <c r="S12" s="7">
        <f t="shared" si="8"/>
        <v>446973.1347612851</v>
      </c>
      <c r="V12" s="48"/>
      <c r="W12" s="48"/>
      <c r="X12" s="48"/>
    </row>
    <row r="13" spans="1:24" x14ac:dyDescent="0.25">
      <c r="A13" s="49" t="s">
        <v>41</v>
      </c>
      <c r="B13" s="202" t="s">
        <v>42</v>
      </c>
      <c r="C13" s="5">
        <v>51810958.955865346</v>
      </c>
      <c r="D13" s="7">
        <f>(VLOOKUP(B13,'Netvolumenmål 2021'!B:S,11,0)+(VLOOKUP(B13,'Netvolumenmål 2022'!B:S,11,0)-E13))/2+E13</f>
        <v>58682429.055652544</v>
      </c>
      <c r="E13" s="7">
        <v>1796799</v>
      </c>
      <c r="F13" s="7">
        <v>0</v>
      </c>
      <c r="G13" s="8">
        <v>0.86549454616430499</v>
      </c>
      <c r="H13" s="9">
        <v>0.86198494027785999</v>
      </c>
      <c r="I13" s="10">
        <f t="shared" si="5"/>
        <v>0.86549454616430499</v>
      </c>
      <c r="J13" s="9">
        <v>0</v>
      </c>
      <c r="K13" s="9">
        <f t="shared" si="6"/>
        <v>0.86549454616430499</v>
      </c>
      <c r="L13" s="7">
        <f t="shared" si="7"/>
        <v>50789322.303341024</v>
      </c>
      <c r="M13" s="7">
        <f t="shared" si="9"/>
        <v>52597422.177339971</v>
      </c>
      <c r="N13" s="7">
        <f t="shared" si="0"/>
        <v>0</v>
      </c>
      <c r="O13" s="11">
        <f t="shared" si="1"/>
        <v>0</v>
      </c>
      <c r="P13" s="12">
        <f t="shared" si="2"/>
        <v>0</v>
      </c>
      <c r="Q13" s="13">
        <f t="shared" si="3"/>
        <v>0</v>
      </c>
      <c r="R13" s="7">
        <f t="shared" si="4"/>
        <v>0</v>
      </c>
      <c r="S13" s="7">
        <f t="shared" si="8"/>
        <v>0</v>
      </c>
      <c r="V13" s="48"/>
      <c r="W13" s="48"/>
      <c r="X13" s="48"/>
    </row>
    <row r="14" spans="1:24" x14ac:dyDescent="0.25">
      <c r="A14" s="49" t="s">
        <v>43</v>
      </c>
      <c r="B14" s="202" t="s">
        <v>44</v>
      </c>
      <c r="C14" s="5">
        <v>64681270.055297032</v>
      </c>
      <c r="D14" s="7">
        <f>(VLOOKUP(B14,'Netvolumenmål 2021'!B:S,11,0)+(VLOOKUP(B14,'Netvolumenmål 2022'!B:S,11,0)-E14))/2+E14</f>
        <v>68373473.071550861</v>
      </c>
      <c r="E14" s="7">
        <v>2217651</v>
      </c>
      <c r="F14" s="7">
        <v>745114.94345885329</v>
      </c>
      <c r="G14" s="8">
        <v>0.88454464643555997</v>
      </c>
      <c r="H14" s="9">
        <v>0.88548951314492896</v>
      </c>
      <c r="I14" s="10">
        <f t="shared" si="5"/>
        <v>0.88548951314492896</v>
      </c>
      <c r="J14" s="9">
        <v>0</v>
      </c>
      <c r="K14" s="9">
        <f t="shared" si="6"/>
        <v>0.88548951314492896</v>
      </c>
      <c r="L14" s="7">
        <f t="shared" si="7"/>
        <v>61203784.850675873</v>
      </c>
      <c r="M14" s="7">
        <f t="shared" si="9"/>
        <v>63382639.591359936</v>
      </c>
      <c r="N14" s="7">
        <f t="shared" si="0"/>
        <v>1298630.4639370963</v>
      </c>
      <c r="O14" s="11">
        <f t="shared" si="1"/>
        <v>2.0077380404356266E-2</v>
      </c>
      <c r="P14" s="12">
        <f t="shared" si="2"/>
        <v>2.5096725505445333E-3</v>
      </c>
      <c r="Q14" s="13">
        <f t="shared" si="3"/>
        <v>2.5096725505445333E-3</v>
      </c>
      <c r="R14" s="7">
        <f t="shared" si="4"/>
        <v>162328.80799213704</v>
      </c>
      <c r="S14" s="7">
        <f t="shared" si="8"/>
        <v>175444.9756779017</v>
      </c>
      <c r="V14" s="48"/>
      <c r="W14" s="48"/>
      <c r="X14" s="48"/>
    </row>
    <row r="15" spans="1:24" x14ac:dyDescent="0.25">
      <c r="A15" s="49" t="s">
        <v>45</v>
      </c>
      <c r="B15" s="202" t="s">
        <v>46</v>
      </c>
      <c r="C15" s="5">
        <v>160041994.8989926</v>
      </c>
      <c r="D15" s="7">
        <f>(VLOOKUP(B15,'Netvolumenmål 2021'!B:S,11,0)+(VLOOKUP(B15,'Netvolumenmål 2022'!B:S,11,0)-E15))/2+E15</f>
        <v>190790342.56090394</v>
      </c>
      <c r="E15" s="7">
        <v>5233271.5518999994</v>
      </c>
      <c r="F15" s="7">
        <v>99489.252537092369</v>
      </c>
      <c r="G15" s="8">
        <v>1</v>
      </c>
      <c r="H15" s="9">
        <v>0.90424044069958698</v>
      </c>
      <c r="I15" s="10">
        <f t="shared" si="5"/>
        <v>1</v>
      </c>
      <c r="J15" s="9">
        <v>0</v>
      </c>
      <c r="K15" s="9">
        <f t="shared" si="6"/>
        <v>1</v>
      </c>
      <c r="L15" s="7">
        <f t="shared" si="7"/>
        <v>190889831.81344104</v>
      </c>
      <c r="M15" s="7">
        <f t="shared" si="9"/>
        <v>197685509.82599956</v>
      </c>
      <c r="N15" s="7">
        <f t="shared" si="0"/>
        <v>0</v>
      </c>
      <c r="O15" s="11">
        <f t="shared" si="1"/>
        <v>0</v>
      </c>
      <c r="P15" s="12">
        <f t="shared" si="2"/>
        <v>0</v>
      </c>
      <c r="Q15" s="13">
        <f t="shared" si="3"/>
        <v>0</v>
      </c>
      <c r="R15" s="7">
        <f t="shared" si="4"/>
        <v>0</v>
      </c>
      <c r="S15" s="7">
        <f t="shared" si="8"/>
        <v>0</v>
      </c>
      <c r="V15" s="48"/>
      <c r="W15" s="48"/>
      <c r="X15" s="48"/>
    </row>
    <row r="16" spans="1:24" x14ac:dyDescent="0.25">
      <c r="A16" s="49" t="s">
        <v>47</v>
      </c>
      <c r="B16" s="202" t="s">
        <v>48</v>
      </c>
      <c r="C16" s="5">
        <v>266495830.51455307</v>
      </c>
      <c r="D16" s="7">
        <f>(VLOOKUP(B16,'Netvolumenmål 2021'!B:S,11,0)+(VLOOKUP(B16,'Netvolumenmål 2022'!B:S,11,0)-E16))/2+E16</f>
        <v>260020451.46863237</v>
      </c>
      <c r="E16" s="7">
        <v>8445783.1493000016</v>
      </c>
      <c r="F16" s="7">
        <v>1817199.8904271817</v>
      </c>
      <c r="G16" s="8">
        <v>0.94260693454111699</v>
      </c>
      <c r="H16" s="9">
        <v>0.96560832270269104</v>
      </c>
      <c r="I16" s="10">
        <f t="shared" si="5"/>
        <v>0.96560832270269104</v>
      </c>
      <c r="J16" s="9">
        <v>0</v>
      </c>
      <c r="K16" s="9">
        <f t="shared" si="6"/>
        <v>0.96560832270269104</v>
      </c>
      <c r="L16" s="7">
        <f t="shared" si="7"/>
        <v>252832615.34923348</v>
      </c>
      <c r="M16" s="7">
        <f t="shared" si="9"/>
        <v>261833456.45566621</v>
      </c>
      <c r="N16" s="7">
        <f t="shared" si="0"/>
        <v>4662374.0588868558</v>
      </c>
      <c r="O16" s="17">
        <f t="shared" si="1"/>
        <v>1.7495110711055754E-2</v>
      </c>
      <c r="P16" s="12">
        <f t="shared" si="2"/>
        <v>2.1868888388819692E-3</v>
      </c>
      <c r="Q16" s="13">
        <f t="shared" si="3"/>
        <v>2.1868888388819692E-3</v>
      </c>
      <c r="R16" s="7">
        <f t="shared" si="4"/>
        <v>582796.75736085698</v>
      </c>
      <c r="S16" s="7">
        <f t="shared" si="8"/>
        <v>629886.73535561422</v>
      </c>
      <c r="V16" s="48"/>
      <c r="W16" s="48"/>
      <c r="X16" s="48"/>
    </row>
    <row r="17" spans="1:24" x14ac:dyDescent="0.25">
      <c r="A17" s="49" t="s">
        <v>49</v>
      </c>
      <c r="B17" s="202" t="s">
        <v>50</v>
      </c>
      <c r="C17" s="5">
        <v>80061052.780087799</v>
      </c>
      <c r="D17" s="7">
        <f>(VLOOKUP(B17,'Netvolumenmål 2021'!B:S,11,0)+(VLOOKUP(B17,'Netvolumenmål 2022'!B:S,11,0)-E17))/2+E17</f>
        <v>93053971.361188307</v>
      </c>
      <c r="E17" s="7">
        <v>2150599</v>
      </c>
      <c r="F17" s="7">
        <v>50178.310472096156</v>
      </c>
      <c r="G17" s="8">
        <v>0.92470471443934898</v>
      </c>
      <c r="H17" s="9">
        <v>0.89868534816317502</v>
      </c>
      <c r="I17" s="10">
        <f t="shared" si="5"/>
        <v>0.92470471443934898</v>
      </c>
      <c r="J17" s="9">
        <v>0</v>
      </c>
      <c r="K17" s="9">
        <f t="shared" si="6"/>
        <v>0.92470471443934898</v>
      </c>
      <c r="L17" s="7">
        <f t="shared" si="7"/>
        <v>86093846.13525115</v>
      </c>
      <c r="M17" s="7">
        <f t="shared" si="9"/>
        <v>89158787.057666093</v>
      </c>
      <c r="N17" s="7">
        <f t="shared" si="0"/>
        <v>0</v>
      </c>
      <c r="O17" s="11">
        <f t="shared" si="1"/>
        <v>0</v>
      </c>
      <c r="P17" s="12">
        <f t="shared" si="2"/>
        <v>0</v>
      </c>
      <c r="Q17" s="13">
        <f t="shared" si="3"/>
        <v>0</v>
      </c>
      <c r="R17" s="7">
        <f t="shared" si="4"/>
        <v>0</v>
      </c>
      <c r="S17" s="7">
        <f t="shared" si="8"/>
        <v>0</v>
      </c>
      <c r="V17" s="48"/>
      <c r="W17" s="48"/>
      <c r="X17" s="48"/>
    </row>
    <row r="18" spans="1:24" x14ac:dyDescent="0.25">
      <c r="A18" s="49" t="s">
        <v>51</v>
      </c>
      <c r="B18" s="202" t="s">
        <v>52</v>
      </c>
      <c r="C18" s="5">
        <v>50839996.026454978</v>
      </c>
      <c r="D18" s="7">
        <f>(VLOOKUP(B18,'Netvolumenmål 2021'!B:S,11,0)+(VLOOKUP(B18,'Netvolumenmål 2022'!B:S,11,0)-E18))/2+E18</f>
        <v>59189896.690391071</v>
      </c>
      <c r="E18" s="7">
        <v>2330100</v>
      </c>
      <c r="F18" s="7">
        <v>78174.591640665923</v>
      </c>
      <c r="G18" s="8">
        <v>0.80941112342724897</v>
      </c>
      <c r="H18" s="9">
        <v>0.80324698776651704</v>
      </c>
      <c r="I18" s="10">
        <f t="shared" si="5"/>
        <v>0.80941112342724897</v>
      </c>
      <c r="J18" s="9">
        <v>0</v>
      </c>
      <c r="K18" s="9">
        <f t="shared" si="6"/>
        <v>0.80941112342724897</v>
      </c>
      <c r="L18" s="7">
        <f t="shared" si="7"/>
        <v>47972236.15975558</v>
      </c>
      <c r="M18" s="7">
        <f t="shared" si="9"/>
        <v>49680047.767042883</v>
      </c>
      <c r="N18" s="7">
        <f t="shared" si="0"/>
        <v>1159948.259412095</v>
      </c>
      <c r="O18" s="11">
        <f t="shared" si="1"/>
        <v>2.2815663848764014E-2</v>
      </c>
      <c r="P18" s="12">
        <f t="shared" si="2"/>
        <v>2.8519579810955017E-3</v>
      </c>
      <c r="Q18" s="13">
        <f t="shared" si="3"/>
        <v>2.8519579810955017E-3</v>
      </c>
      <c r="R18" s="7">
        <f t="shared" si="4"/>
        <v>144993.53242651187</v>
      </c>
      <c r="S18" s="7">
        <f t="shared" si="8"/>
        <v>156709.00984657402</v>
      </c>
      <c r="V18" s="48"/>
      <c r="W18" s="48"/>
      <c r="X18" s="48"/>
    </row>
    <row r="19" spans="1:24" x14ac:dyDescent="0.25">
      <c r="A19" s="49" t="s">
        <v>53</v>
      </c>
      <c r="B19" s="202" t="s">
        <v>54</v>
      </c>
      <c r="C19" s="5">
        <v>38319692.449176602</v>
      </c>
      <c r="D19" s="7">
        <f>(VLOOKUP(B19,'Netvolumenmål 2021'!B:S,11,0)+(VLOOKUP(B19,'Netvolumenmål 2022'!B:S,11,0)-E19))/2+E19</f>
        <v>42405445.56479089</v>
      </c>
      <c r="E19" s="7">
        <v>5625222.4620000003</v>
      </c>
      <c r="F19" s="7">
        <v>470442.15155242541</v>
      </c>
      <c r="G19" s="8">
        <v>1</v>
      </c>
      <c r="H19" s="9">
        <v>0.90692774061380799</v>
      </c>
      <c r="I19" s="10">
        <f t="shared" si="5"/>
        <v>1</v>
      </c>
      <c r="J19" s="9">
        <v>0</v>
      </c>
      <c r="K19" s="9">
        <f t="shared" si="6"/>
        <v>1</v>
      </c>
      <c r="L19" s="7">
        <f t="shared" si="7"/>
        <v>42875887.716343313</v>
      </c>
      <c r="M19" s="7">
        <f t="shared" si="9"/>
        <v>44402269.319045141</v>
      </c>
      <c r="N19" s="7">
        <f t="shared" si="0"/>
        <v>0</v>
      </c>
      <c r="O19" s="11">
        <f t="shared" si="1"/>
        <v>0</v>
      </c>
      <c r="P19" s="12">
        <f t="shared" si="2"/>
        <v>0</v>
      </c>
      <c r="Q19" s="13">
        <f t="shared" si="3"/>
        <v>0</v>
      </c>
      <c r="R19" s="7">
        <f t="shared" si="4"/>
        <v>0</v>
      </c>
      <c r="S19" s="7">
        <f t="shared" si="8"/>
        <v>0</v>
      </c>
      <c r="V19" s="48"/>
      <c r="W19" s="48"/>
      <c r="X19" s="48"/>
    </row>
    <row r="20" spans="1:24" x14ac:dyDescent="0.25">
      <c r="A20" s="49" t="s">
        <v>55</v>
      </c>
      <c r="B20" s="202" t="s">
        <v>56</v>
      </c>
      <c r="C20" s="5">
        <v>108305717.99302749</v>
      </c>
      <c r="D20" s="7">
        <f>(VLOOKUP(B20,'Netvolumenmål 2021'!B:S,11,0)+(VLOOKUP(B20,'Netvolumenmål 2022'!B:S,11,0)-E20))/2+E20</f>
        <v>115404240.0267943</v>
      </c>
      <c r="E20" s="7">
        <v>4668765.2544</v>
      </c>
      <c r="F20" s="7">
        <v>189101.23068363077</v>
      </c>
      <c r="G20" s="8">
        <v>0.94449405282222398</v>
      </c>
      <c r="H20" s="9">
        <v>0.94480475527337004</v>
      </c>
      <c r="I20" s="10">
        <f t="shared" si="5"/>
        <v>0.94480475527337004</v>
      </c>
      <c r="J20" s="9">
        <v>0</v>
      </c>
      <c r="K20" s="9">
        <f t="shared" si="6"/>
        <v>0.94480475527337004</v>
      </c>
      <c r="L20" s="7">
        <f t="shared" si="7"/>
        <v>109213138.49800259</v>
      </c>
      <c r="M20" s="7">
        <f t="shared" si="9"/>
        <v>113101126.22853149</v>
      </c>
      <c r="N20" s="7">
        <f t="shared" si="0"/>
        <v>0</v>
      </c>
      <c r="O20" s="11">
        <f t="shared" si="1"/>
        <v>0</v>
      </c>
      <c r="P20" s="12">
        <f t="shared" si="2"/>
        <v>0</v>
      </c>
      <c r="Q20" s="13">
        <f t="shared" si="3"/>
        <v>0</v>
      </c>
      <c r="R20" s="7">
        <f t="shared" si="4"/>
        <v>0</v>
      </c>
      <c r="S20" s="7">
        <f t="shared" si="8"/>
        <v>0</v>
      </c>
      <c r="V20" s="48"/>
      <c r="W20" s="48"/>
      <c r="X20" s="48"/>
    </row>
    <row r="21" spans="1:24" x14ac:dyDescent="0.25">
      <c r="A21" s="49" t="s">
        <v>57</v>
      </c>
      <c r="B21" s="202" t="s">
        <v>58</v>
      </c>
      <c r="C21" s="5">
        <v>100766541.04589191</v>
      </c>
      <c r="D21" s="7">
        <f>(VLOOKUP(B21,'Netvolumenmål 2021'!B:S,11,0)+(VLOOKUP(B21,'Netvolumenmål 2022'!B:S,11,0)-E21))/2+E21</f>
        <v>110247715.71528643</v>
      </c>
      <c r="E21" s="7">
        <v>3945949</v>
      </c>
      <c r="F21" s="7">
        <v>121498</v>
      </c>
      <c r="G21" s="8">
        <v>0.84643551311535103</v>
      </c>
      <c r="H21" s="9">
        <v>0.85945100313851597</v>
      </c>
      <c r="I21" s="10">
        <f t="shared" si="5"/>
        <v>0.85945100313851597</v>
      </c>
      <c r="J21" s="9">
        <v>0</v>
      </c>
      <c r="K21" s="9">
        <f t="shared" si="6"/>
        <v>0.85945100313851597</v>
      </c>
      <c r="L21" s="7">
        <f t="shared" si="7"/>
        <v>94856931.443212181</v>
      </c>
      <c r="M21" s="7">
        <f t="shared" si="9"/>
        <v>98233838.20259054</v>
      </c>
      <c r="N21" s="7">
        <f t="shared" si="0"/>
        <v>2532702.8433013707</v>
      </c>
      <c r="O21" s="11">
        <f t="shared" si="1"/>
        <v>2.5134363222291282E-2</v>
      </c>
      <c r="P21" s="12">
        <f t="shared" si="2"/>
        <v>3.1417954027864103E-3</v>
      </c>
      <c r="Q21" s="13">
        <f t="shared" si="3"/>
        <v>3.1417954027864103E-3</v>
      </c>
      <c r="R21" s="7">
        <f t="shared" si="4"/>
        <v>316587.85541267134</v>
      </c>
      <c r="S21" s="7">
        <f t="shared" si="8"/>
        <v>342168.15413001517</v>
      </c>
      <c r="V21" s="48"/>
      <c r="W21" s="48"/>
      <c r="X21" s="48"/>
    </row>
    <row r="22" spans="1:24" x14ac:dyDescent="0.25">
      <c r="A22" s="49" t="s">
        <v>59</v>
      </c>
      <c r="B22" s="202" t="s">
        <v>60</v>
      </c>
      <c r="C22" s="5">
        <v>52235792.681443095</v>
      </c>
      <c r="D22" s="7">
        <f>(VLOOKUP(B22,'Netvolumenmål 2021'!B:S,11,0)+(VLOOKUP(B22,'Netvolumenmål 2022'!B:S,11,0)-E22))/2+E22</f>
        <v>57950400.575698085</v>
      </c>
      <c r="E22" s="7">
        <v>0</v>
      </c>
      <c r="F22" s="7">
        <v>0</v>
      </c>
      <c r="G22" s="8">
        <v>0.87678029877138297</v>
      </c>
      <c r="H22" s="9">
        <v>0.87208774730776595</v>
      </c>
      <c r="I22" s="10">
        <f t="shared" si="5"/>
        <v>0.87678029877138297</v>
      </c>
      <c r="J22" s="9">
        <v>0</v>
      </c>
      <c r="K22" s="9">
        <f t="shared" si="6"/>
        <v>0.87678029877138297</v>
      </c>
      <c r="L22" s="7">
        <f t="shared" si="7"/>
        <v>50809769.530681893</v>
      </c>
      <c r="M22" s="7">
        <f t="shared" si="9"/>
        <v>52618597.325974174</v>
      </c>
      <c r="N22" s="7">
        <f t="shared" si="0"/>
        <v>0</v>
      </c>
      <c r="O22" s="11">
        <f t="shared" si="1"/>
        <v>0</v>
      </c>
      <c r="P22" s="12">
        <f t="shared" si="2"/>
        <v>0</v>
      </c>
      <c r="Q22" s="13">
        <f t="shared" si="3"/>
        <v>0</v>
      </c>
      <c r="R22" s="7">
        <f t="shared" si="4"/>
        <v>0</v>
      </c>
      <c r="S22" s="7">
        <f t="shared" si="8"/>
        <v>0</v>
      </c>
      <c r="V22" s="48"/>
      <c r="W22" s="48"/>
      <c r="X22" s="48"/>
    </row>
    <row r="23" spans="1:24" x14ac:dyDescent="0.25">
      <c r="A23" s="49" t="s">
        <v>61</v>
      </c>
      <c r="B23" s="202" t="s">
        <v>62</v>
      </c>
      <c r="C23" s="5">
        <v>119434915.36525197</v>
      </c>
      <c r="D23" s="7">
        <f>(VLOOKUP(B23,'Netvolumenmål 2021'!B:S,11,0)+(VLOOKUP(B23,'Netvolumenmål 2022'!B:S,11,0)-E23))/2+E23</f>
        <v>134431750.47444725</v>
      </c>
      <c r="E23" s="7">
        <v>3343850</v>
      </c>
      <c r="F23" s="7">
        <v>101645.45671921462</v>
      </c>
      <c r="G23" s="8">
        <v>0.89518673698893203</v>
      </c>
      <c r="H23" s="9">
        <v>0.89800344882182703</v>
      </c>
      <c r="I23" s="10">
        <f t="shared" si="5"/>
        <v>0.89800344882182703</v>
      </c>
      <c r="J23" s="9">
        <v>0</v>
      </c>
      <c r="K23" s="9">
        <f t="shared" si="6"/>
        <v>0.89800344882182703</v>
      </c>
      <c r="L23" s="7">
        <f t="shared" si="7"/>
        <v>120811453.52789983</v>
      </c>
      <c r="M23" s="7">
        <f t="shared" si="9"/>
        <v>125112341.27349308</v>
      </c>
      <c r="N23" s="7">
        <f t="shared" si="0"/>
        <v>0</v>
      </c>
      <c r="O23" s="11">
        <f t="shared" si="1"/>
        <v>0</v>
      </c>
      <c r="P23" s="12">
        <f t="shared" si="2"/>
        <v>0</v>
      </c>
      <c r="Q23" s="13">
        <f t="shared" si="3"/>
        <v>0</v>
      </c>
      <c r="R23" s="7">
        <f t="shared" si="4"/>
        <v>0</v>
      </c>
      <c r="S23" s="7">
        <f t="shared" si="8"/>
        <v>0</v>
      </c>
      <c r="V23" s="48"/>
      <c r="W23" s="48"/>
      <c r="X23" s="48"/>
    </row>
    <row r="24" spans="1:24" x14ac:dyDescent="0.25">
      <c r="A24" s="49" t="s">
        <v>63</v>
      </c>
      <c r="B24" s="202" t="s">
        <v>64</v>
      </c>
      <c r="C24" s="5">
        <v>54516418.08901386</v>
      </c>
      <c r="D24" s="7">
        <f>(VLOOKUP(B24,'Netvolumenmål 2021'!B:S,11,0)+(VLOOKUP(B24,'Netvolumenmål 2022'!B:S,11,0)-E24))/2+E24</f>
        <v>58222383.489736415</v>
      </c>
      <c r="E24" s="7">
        <v>2284829.2154000001</v>
      </c>
      <c r="F24" s="7">
        <v>0</v>
      </c>
      <c r="G24" s="8">
        <v>0.98879055003229399</v>
      </c>
      <c r="H24" s="9">
        <v>0.96519976896108695</v>
      </c>
      <c r="I24" s="10">
        <f t="shared" si="5"/>
        <v>0.98879055003229399</v>
      </c>
      <c r="J24" s="9">
        <v>0</v>
      </c>
      <c r="K24" s="9">
        <f t="shared" si="6"/>
        <v>0.98879055003229399</v>
      </c>
      <c r="L24" s="7">
        <f t="shared" si="7"/>
        <v>57569742.595007621</v>
      </c>
      <c r="M24" s="7">
        <f t="shared" si="9"/>
        <v>59619225.431389898</v>
      </c>
      <c r="N24" s="7">
        <f t="shared" si="0"/>
        <v>0</v>
      </c>
      <c r="O24" s="11">
        <f t="shared" si="1"/>
        <v>0</v>
      </c>
      <c r="P24" s="12">
        <f t="shared" si="2"/>
        <v>0</v>
      </c>
      <c r="Q24" s="13">
        <f t="shared" si="3"/>
        <v>0</v>
      </c>
      <c r="R24" s="7">
        <f t="shared" si="4"/>
        <v>0</v>
      </c>
      <c r="S24" s="7">
        <f t="shared" si="8"/>
        <v>0</v>
      </c>
      <c r="V24" s="48"/>
      <c r="W24" s="48"/>
      <c r="X24" s="48"/>
    </row>
    <row r="25" spans="1:24" x14ac:dyDescent="0.25">
      <c r="A25" s="49" t="s">
        <v>65</v>
      </c>
      <c r="B25" s="202" t="s">
        <v>66</v>
      </c>
      <c r="C25" s="5">
        <v>154661780.01173913</v>
      </c>
      <c r="D25" s="7">
        <f>(VLOOKUP(B25,'Netvolumenmål 2021'!B:S,11,0)+(VLOOKUP(B25,'Netvolumenmål 2022'!B:S,11,0)-E25))/2+E25</f>
        <v>171805187.03122956</v>
      </c>
      <c r="E25" s="7">
        <v>1203743</v>
      </c>
      <c r="F25" s="7">
        <v>0</v>
      </c>
      <c r="G25" s="8">
        <v>0.95004890977020695</v>
      </c>
      <c r="H25" s="9">
        <v>0.98133958879911198</v>
      </c>
      <c r="I25" s="10">
        <f t="shared" si="5"/>
        <v>0.98133958879911198</v>
      </c>
      <c r="J25" s="9">
        <v>0</v>
      </c>
      <c r="K25" s="9">
        <f t="shared" si="6"/>
        <v>0.98133958879911198</v>
      </c>
      <c r="L25" s="7">
        <f t="shared" si="7"/>
        <v>168599231.59478134</v>
      </c>
      <c r="M25" s="7">
        <f t="shared" si="9"/>
        <v>174601364.23955557</v>
      </c>
      <c r="N25" s="7">
        <f t="shared" si="0"/>
        <v>0</v>
      </c>
      <c r="O25" s="11">
        <f t="shared" si="1"/>
        <v>0</v>
      </c>
      <c r="P25" s="12">
        <f t="shared" si="2"/>
        <v>0</v>
      </c>
      <c r="Q25" s="13">
        <f t="shared" si="3"/>
        <v>0</v>
      </c>
      <c r="R25" s="7">
        <f t="shared" si="4"/>
        <v>0</v>
      </c>
      <c r="S25" s="7">
        <f t="shared" si="8"/>
        <v>0</v>
      </c>
      <c r="V25" s="48"/>
      <c r="W25" s="48"/>
      <c r="X25" s="48"/>
    </row>
    <row r="26" spans="1:24" x14ac:dyDescent="0.25">
      <c r="A26" s="49" t="s">
        <v>67</v>
      </c>
      <c r="B26" s="202" t="s">
        <v>68</v>
      </c>
      <c r="C26" s="5">
        <v>84064360.432752907</v>
      </c>
      <c r="D26" s="7">
        <f>(VLOOKUP(B26,'Netvolumenmål 2021'!B:S,11,0)+(VLOOKUP(B26,'Netvolumenmål 2022'!B:S,11,0)-E26))/2+E26</f>
        <v>85136257.522902861</v>
      </c>
      <c r="E26" s="7">
        <v>59398.735199999996</v>
      </c>
      <c r="F26" s="7">
        <v>402640.2246301886</v>
      </c>
      <c r="G26" s="8">
        <v>0.965055151831965</v>
      </c>
      <c r="H26" s="9">
        <v>0.97998096436141402</v>
      </c>
      <c r="I26" s="10">
        <f t="shared" si="5"/>
        <v>0.97998096436141402</v>
      </c>
      <c r="J26" s="9">
        <v>0</v>
      </c>
      <c r="K26" s="9">
        <f t="shared" si="6"/>
        <v>0.97998096436141402</v>
      </c>
      <c r="L26" s="7">
        <f t="shared" si="7"/>
        <v>83826491.505039826</v>
      </c>
      <c r="M26" s="7">
        <f t="shared" si="9"/>
        <v>86810714.602619246</v>
      </c>
      <c r="N26" s="7">
        <f t="shared" si="0"/>
        <v>0</v>
      </c>
      <c r="O26" s="11">
        <f t="shared" si="1"/>
        <v>0</v>
      </c>
      <c r="P26" s="12">
        <f t="shared" si="2"/>
        <v>0</v>
      </c>
      <c r="Q26" s="13">
        <f t="shared" si="3"/>
        <v>0</v>
      </c>
      <c r="R26" s="7">
        <f t="shared" si="4"/>
        <v>0</v>
      </c>
      <c r="S26" s="7">
        <f t="shared" si="8"/>
        <v>0</v>
      </c>
      <c r="V26" s="48"/>
      <c r="W26" s="48"/>
      <c r="X26" s="48"/>
    </row>
    <row r="27" spans="1:24" x14ac:dyDescent="0.25">
      <c r="A27" s="49" t="s">
        <v>69</v>
      </c>
      <c r="B27" s="202" t="s">
        <v>70</v>
      </c>
      <c r="C27" s="5">
        <v>55005435.077917255</v>
      </c>
      <c r="D27" s="7">
        <f>(VLOOKUP(B27,'Netvolumenmål 2021'!B:S,11,0)+(VLOOKUP(B27,'Netvolumenmål 2022'!B:S,11,0)-E27))/2+E27</f>
        <v>54218099.434280813</v>
      </c>
      <c r="E27" s="7">
        <v>3606836</v>
      </c>
      <c r="F27" s="7">
        <v>114409.14468155435</v>
      </c>
      <c r="G27" s="8">
        <v>0.99832493876862005</v>
      </c>
      <c r="H27" s="9">
        <v>0.99568341793039195</v>
      </c>
      <c r="I27" s="10">
        <f t="shared" si="5"/>
        <v>0.99832493876862005</v>
      </c>
      <c r="J27" s="9">
        <v>0</v>
      </c>
      <c r="K27" s="9">
        <f t="shared" si="6"/>
        <v>0.99832493876862005</v>
      </c>
      <c r="L27" s="7">
        <f t="shared" si="7"/>
        <v>54241498.300238125</v>
      </c>
      <c r="M27" s="7">
        <f t="shared" si="9"/>
        <v>56172495.639726609</v>
      </c>
      <c r="N27" s="7">
        <f t="shared" si="0"/>
        <v>0</v>
      </c>
      <c r="O27" s="11">
        <f t="shared" si="1"/>
        <v>0</v>
      </c>
      <c r="P27" s="12">
        <f t="shared" si="2"/>
        <v>0</v>
      </c>
      <c r="Q27" s="13">
        <f t="shared" si="3"/>
        <v>0</v>
      </c>
      <c r="R27" s="7">
        <f t="shared" si="4"/>
        <v>0</v>
      </c>
      <c r="S27" s="7">
        <f t="shared" si="8"/>
        <v>0</v>
      </c>
      <c r="V27" s="48"/>
      <c r="W27" s="48"/>
      <c r="X27" s="48"/>
    </row>
    <row r="28" spans="1:24" x14ac:dyDescent="0.25">
      <c r="A28" s="49" t="s">
        <v>71</v>
      </c>
      <c r="B28" s="202" t="s">
        <v>72</v>
      </c>
      <c r="C28" s="5">
        <v>89819509.904263318</v>
      </c>
      <c r="D28" s="7">
        <f>(VLOOKUP(B28,'Netvolumenmål 2021'!B:S,11,0)+(VLOOKUP(B28,'Netvolumenmål 2022'!B:S,11,0)-E28))/2+E28</f>
        <v>86891953.424843043</v>
      </c>
      <c r="E28" s="7">
        <v>715768</v>
      </c>
      <c r="F28" s="7">
        <v>0</v>
      </c>
      <c r="G28" s="8">
        <v>0.79316472126688597</v>
      </c>
      <c r="H28" s="9">
        <v>0.78312634008327497</v>
      </c>
      <c r="I28" s="10">
        <f t="shared" si="5"/>
        <v>0.79316472126688597</v>
      </c>
      <c r="J28" s="9">
        <v>0</v>
      </c>
      <c r="K28" s="9">
        <f t="shared" si="6"/>
        <v>0.79316472126688597</v>
      </c>
      <c r="L28" s="7">
        <f t="shared" si="7"/>
        <v>68919632.018550873</v>
      </c>
      <c r="M28" s="7">
        <f t="shared" si="9"/>
        <v>71373170.918411285</v>
      </c>
      <c r="N28" s="7">
        <f t="shared" si="0"/>
        <v>18446338.985852033</v>
      </c>
      <c r="O28" s="11">
        <f t="shared" si="1"/>
        <v>0.20537118278104155</v>
      </c>
      <c r="P28" s="12">
        <f t="shared" si="2"/>
        <v>2.5671397847630194E-2</v>
      </c>
      <c r="Q28" s="13">
        <f t="shared" si="3"/>
        <v>0.02</v>
      </c>
      <c r="R28" s="7">
        <f t="shared" si="4"/>
        <v>1796390.1980852664</v>
      </c>
      <c r="S28" s="7">
        <f t="shared" si="8"/>
        <v>1941538.5260905558</v>
      </c>
      <c r="V28" s="48"/>
      <c r="W28" s="48"/>
      <c r="X28" s="48"/>
    </row>
    <row r="29" spans="1:24" x14ac:dyDescent="0.25">
      <c r="A29" s="49" t="s">
        <v>73</v>
      </c>
      <c r="B29" s="202" t="s">
        <v>74</v>
      </c>
      <c r="C29" s="5">
        <v>60517003.267958619</v>
      </c>
      <c r="D29" s="7">
        <f>(VLOOKUP(B29,'Netvolumenmål 2021'!B:S,11,0)+(VLOOKUP(B29,'Netvolumenmål 2022'!B:S,11,0)-E29))/2+E29</f>
        <v>64658582.899353981</v>
      </c>
      <c r="E29" s="7">
        <v>-2763161.5799000002</v>
      </c>
      <c r="F29" s="7">
        <v>266905.98263399152</v>
      </c>
      <c r="G29" s="8">
        <v>0.84896193168530099</v>
      </c>
      <c r="H29" s="9">
        <v>0.86776373759741898</v>
      </c>
      <c r="I29" s="10">
        <f t="shared" si="5"/>
        <v>0.86776373759741898</v>
      </c>
      <c r="J29" s="9">
        <v>0</v>
      </c>
      <c r="K29" s="9">
        <f t="shared" si="6"/>
        <v>0.86776373759741898</v>
      </c>
      <c r="L29" s="7">
        <f t="shared" si="7"/>
        <v>56339984.89757356</v>
      </c>
      <c r="M29" s="7">
        <f t="shared" si="9"/>
        <v>58345688.359927185</v>
      </c>
      <c r="N29" s="7">
        <f t="shared" si="0"/>
        <v>2171314.9080314338</v>
      </c>
      <c r="O29" s="11">
        <f t="shared" si="1"/>
        <v>3.5879418853858876E-2</v>
      </c>
      <c r="P29" s="12">
        <f t="shared" si="2"/>
        <v>4.4849273567323595E-3</v>
      </c>
      <c r="Q29" s="13">
        <f t="shared" si="3"/>
        <v>4.4849273567323595E-3</v>
      </c>
      <c r="R29" s="7">
        <f t="shared" si="4"/>
        <v>271414.36350392923</v>
      </c>
      <c r="S29" s="7">
        <f t="shared" si="8"/>
        <v>293344.6440750467</v>
      </c>
      <c r="V29" s="48"/>
      <c r="W29" s="48"/>
      <c r="X29" s="48"/>
    </row>
    <row r="30" spans="1:24" x14ac:dyDescent="0.25">
      <c r="A30" s="49" t="s">
        <v>75</v>
      </c>
      <c r="B30" s="202" t="s">
        <v>76</v>
      </c>
      <c r="C30" s="5">
        <v>23496712.919899371</v>
      </c>
      <c r="D30" s="7">
        <f>(VLOOKUP(B30,'Netvolumenmål 2021'!B:S,11,0)+(VLOOKUP(B30,'Netvolumenmål 2022'!B:S,11,0)-E30))/2+E30</f>
        <v>24142355.691574693</v>
      </c>
      <c r="E30" s="7">
        <v>-1553097.2583000003</v>
      </c>
      <c r="F30" s="7">
        <v>114566.0436519241</v>
      </c>
      <c r="G30" s="8">
        <v>0.90438747966379396</v>
      </c>
      <c r="H30" s="9">
        <v>0.96972509605986901</v>
      </c>
      <c r="I30" s="10">
        <f t="shared" si="5"/>
        <v>0.96972509605986901</v>
      </c>
      <c r="J30" s="9">
        <v>0</v>
      </c>
      <c r="K30" s="9">
        <f t="shared" si="6"/>
        <v>0.96972509605986901</v>
      </c>
      <c r="L30" s="7">
        <f t="shared" si="7"/>
        <v>23522545.759809352</v>
      </c>
      <c r="M30" s="7">
        <f t="shared" si="9"/>
        <v>24359948.388858568</v>
      </c>
      <c r="N30" s="7">
        <f t="shared" si="0"/>
        <v>0</v>
      </c>
      <c r="O30" s="11">
        <f t="shared" si="1"/>
        <v>0</v>
      </c>
      <c r="P30" s="12">
        <f t="shared" si="2"/>
        <v>0</v>
      </c>
      <c r="Q30" s="13">
        <f t="shared" si="3"/>
        <v>0</v>
      </c>
      <c r="R30" s="7">
        <f t="shared" si="4"/>
        <v>0</v>
      </c>
      <c r="S30" s="7">
        <f t="shared" si="8"/>
        <v>0</v>
      </c>
      <c r="V30" s="48"/>
      <c r="W30" s="48"/>
      <c r="X30" s="48"/>
    </row>
    <row r="31" spans="1:24" x14ac:dyDescent="0.25">
      <c r="A31" s="49" t="s">
        <v>77</v>
      </c>
      <c r="B31" s="202" t="s">
        <v>78</v>
      </c>
      <c r="C31" s="5">
        <v>69262267.133983627</v>
      </c>
      <c r="D31" s="7">
        <f>(VLOOKUP(B31,'Netvolumenmål 2021'!B:S,11,0)+(VLOOKUP(B31,'Netvolumenmål 2022'!B:S,11,0)-E31))/2+E31</f>
        <v>73591544.98967658</v>
      </c>
      <c r="E31" s="7">
        <v>777010</v>
      </c>
      <c r="F31" s="7">
        <v>0</v>
      </c>
      <c r="G31" s="8">
        <v>0.93169471295204098</v>
      </c>
      <c r="H31" s="9">
        <v>0.92670217164266999</v>
      </c>
      <c r="I31" s="10">
        <f t="shared" si="5"/>
        <v>0.93169471295204098</v>
      </c>
      <c r="J31" s="9">
        <v>0</v>
      </c>
      <c r="K31" s="9">
        <f t="shared" si="6"/>
        <v>0.93169471295204098</v>
      </c>
      <c r="L31" s="7">
        <f t="shared" si="7"/>
        <v>68564853.384853929</v>
      </c>
      <c r="M31" s="7">
        <f t="shared" si="9"/>
        <v>71005762.165354729</v>
      </c>
      <c r="N31" s="7">
        <f t="shared" si="0"/>
        <v>0</v>
      </c>
      <c r="O31" s="11">
        <f t="shared" si="1"/>
        <v>0</v>
      </c>
      <c r="P31" s="12">
        <f t="shared" si="2"/>
        <v>0</v>
      </c>
      <c r="Q31" s="13">
        <f t="shared" si="3"/>
        <v>0</v>
      </c>
      <c r="R31" s="7">
        <f t="shared" si="4"/>
        <v>0</v>
      </c>
      <c r="S31" s="7">
        <f t="shared" si="8"/>
        <v>0</v>
      </c>
      <c r="V31" s="48"/>
      <c r="W31" s="48"/>
      <c r="X31" s="48"/>
    </row>
    <row r="32" spans="1:24" x14ac:dyDescent="0.25">
      <c r="A32" s="49" t="s">
        <v>79</v>
      </c>
      <c r="B32" s="202" t="s">
        <v>80</v>
      </c>
      <c r="C32" s="5">
        <v>100466403.51733261</v>
      </c>
      <c r="D32" s="7">
        <f>(VLOOKUP(B32,'Netvolumenmål 2021'!B:S,11,0)+(VLOOKUP(B32,'Netvolumenmål 2022'!B:S,11,0)-E32))/2+E32</f>
        <v>103848244.43653937</v>
      </c>
      <c r="E32" s="7">
        <v>1874793</v>
      </c>
      <c r="F32" s="7">
        <v>0</v>
      </c>
      <c r="G32" s="8">
        <v>0.82426240450724897</v>
      </c>
      <c r="H32" s="9">
        <v>0.83189409390732705</v>
      </c>
      <c r="I32" s="10">
        <f t="shared" si="5"/>
        <v>0.83189409390732705</v>
      </c>
      <c r="J32" s="9">
        <v>0</v>
      </c>
      <c r="K32" s="9">
        <f t="shared" si="6"/>
        <v>0.83189409390732705</v>
      </c>
      <c r="L32" s="7">
        <f t="shared" si="7"/>
        <v>86390741.209401533</v>
      </c>
      <c r="M32" s="7">
        <f t="shared" si="9"/>
        <v>89466251.59645623</v>
      </c>
      <c r="N32" s="7">
        <f t="shared" si="0"/>
        <v>11000151.920876384</v>
      </c>
      <c r="O32" s="11">
        <f t="shared" si="1"/>
        <v>0.10949085003305231</v>
      </c>
      <c r="P32" s="12">
        <f t="shared" si="2"/>
        <v>1.3686356254131539E-2</v>
      </c>
      <c r="Q32" s="13">
        <f t="shared" si="3"/>
        <v>1.3686356254131539E-2</v>
      </c>
      <c r="R32" s="7">
        <f t="shared" si="4"/>
        <v>1375018.990109548</v>
      </c>
      <c r="S32" s="7">
        <f t="shared" si="8"/>
        <v>1486120.5245103994</v>
      </c>
      <c r="V32" s="48"/>
      <c r="W32" s="48"/>
      <c r="X32" s="48"/>
    </row>
    <row r="33" spans="1:24" x14ac:dyDescent="0.25">
      <c r="A33" s="49" t="s">
        <v>81</v>
      </c>
      <c r="B33" s="202" t="s">
        <v>82</v>
      </c>
      <c r="C33" s="5">
        <v>131576493.40299566</v>
      </c>
      <c r="D33" s="7">
        <f>(VLOOKUP(B33,'Netvolumenmål 2021'!B:S,11,0)+(VLOOKUP(B33,'Netvolumenmål 2022'!B:S,11,0)-E33))/2+E33</f>
        <v>141557492.79723901</v>
      </c>
      <c r="E33" s="7">
        <v>6846977</v>
      </c>
      <c r="F33" s="7">
        <v>75712.255587616761</v>
      </c>
      <c r="G33" s="8">
        <v>0.858528561475983</v>
      </c>
      <c r="H33" s="9">
        <v>0.85303361240882902</v>
      </c>
      <c r="I33" s="10">
        <f t="shared" si="5"/>
        <v>0.858528561475983</v>
      </c>
      <c r="J33" s="9">
        <v>0</v>
      </c>
      <c r="K33" s="9">
        <f t="shared" si="6"/>
        <v>0.858528561475983</v>
      </c>
      <c r="L33" s="7">
        <f t="shared" si="7"/>
        <v>121596151.79123618</v>
      </c>
      <c r="M33" s="7">
        <f t="shared" si="9"/>
        <v>125924974.79500419</v>
      </c>
      <c r="N33" s="7">
        <f t="shared" si="0"/>
        <v>5651518.6079914719</v>
      </c>
      <c r="O33" s="11">
        <f t="shared" si="1"/>
        <v>4.2952342487817062E-2</v>
      </c>
      <c r="P33" s="12">
        <f t="shared" si="2"/>
        <v>5.3690428109771328E-3</v>
      </c>
      <c r="Q33" s="13">
        <f t="shared" si="3"/>
        <v>5.3690428109771328E-3</v>
      </c>
      <c r="R33" s="7">
        <f t="shared" si="4"/>
        <v>706439.82599893399</v>
      </c>
      <c r="S33" s="7">
        <f t="shared" si="8"/>
        <v>763520.16393964784</v>
      </c>
      <c r="V33" s="48"/>
      <c r="W33" s="48"/>
      <c r="X33" s="48"/>
    </row>
    <row r="34" spans="1:24" x14ac:dyDescent="0.25">
      <c r="A34" s="49" t="s">
        <v>83</v>
      </c>
      <c r="B34" s="202" t="s">
        <v>84</v>
      </c>
      <c r="C34" s="5">
        <v>112017092.93596898</v>
      </c>
      <c r="D34" s="7">
        <f>(VLOOKUP(B34,'Netvolumenmål 2021'!B:S,11,0)+(VLOOKUP(B34,'Netvolumenmål 2022'!B:S,11,0)-E34))/2+E34</f>
        <v>129943573.65107188</v>
      </c>
      <c r="E34" s="7">
        <v>5703771</v>
      </c>
      <c r="F34" s="7">
        <v>0</v>
      </c>
      <c r="G34" s="8">
        <v>0.81204301388142197</v>
      </c>
      <c r="H34" s="9">
        <v>0.81005245554536398</v>
      </c>
      <c r="I34" s="10">
        <f t="shared" si="5"/>
        <v>0.81204301388142197</v>
      </c>
      <c r="J34" s="9">
        <v>0</v>
      </c>
      <c r="K34" s="9">
        <f t="shared" si="6"/>
        <v>0.81204301388142197</v>
      </c>
      <c r="L34" s="7">
        <f t="shared" si="7"/>
        <v>105519771.18213893</v>
      </c>
      <c r="M34" s="7">
        <f t="shared" si="9"/>
        <v>109276275.03622308</v>
      </c>
      <c r="N34" s="7">
        <f t="shared" si="0"/>
        <v>2740817.8997458965</v>
      </c>
      <c r="O34" s="11">
        <f t="shared" si="1"/>
        <v>2.4467854216789917E-2</v>
      </c>
      <c r="P34" s="12">
        <f t="shared" si="2"/>
        <v>3.0584817770987396E-3</v>
      </c>
      <c r="Q34" s="13">
        <f t="shared" si="3"/>
        <v>3.0584817770987396E-3</v>
      </c>
      <c r="R34" s="7">
        <f t="shared" si="4"/>
        <v>342602.23746823706</v>
      </c>
      <c r="S34" s="7">
        <f t="shared" si="8"/>
        <v>370284.49825567059</v>
      </c>
      <c r="V34" s="48"/>
      <c r="W34" s="48"/>
      <c r="X34" s="48"/>
    </row>
    <row r="35" spans="1:24" x14ac:dyDescent="0.25">
      <c r="A35" s="49" t="s">
        <v>85</v>
      </c>
      <c r="B35" s="202" t="s">
        <v>86</v>
      </c>
      <c r="C35" s="5">
        <v>63653450.912039638</v>
      </c>
      <c r="D35" s="7">
        <f>(VLOOKUP(B35,'Netvolumenmål 2021'!B:S,11,0)+(VLOOKUP(B35,'Netvolumenmål 2022'!B:S,11,0)-E35))/2+E35</f>
        <v>78039108.183694974</v>
      </c>
      <c r="E35" s="7">
        <v>210572</v>
      </c>
      <c r="F35" s="7">
        <v>0</v>
      </c>
      <c r="G35" s="8">
        <v>0.75758863092117901</v>
      </c>
      <c r="H35" s="9">
        <v>0.75557134015048399</v>
      </c>
      <c r="I35" s="10">
        <f t="shared" si="5"/>
        <v>0.75758863092117901</v>
      </c>
      <c r="J35" s="9">
        <v>0</v>
      </c>
      <c r="K35" s="9">
        <f t="shared" si="6"/>
        <v>0.75758863092117901</v>
      </c>
      <c r="L35" s="7">
        <f t="shared" si="7"/>
        <v>59121541.127195254</v>
      </c>
      <c r="M35" s="7">
        <f t="shared" si="9"/>
        <v>61226267.991323411</v>
      </c>
      <c r="N35" s="7">
        <f t="shared" si="0"/>
        <v>2427182.9207162261</v>
      </c>
      <c r="O35" s="11">
        <f t="shared" si="1"/>
        <v>3.8131207121358764E-2</v>
      </c>
      <c r="P35" s="12">
        <f t="shared" si="2"/>
        <v>4.7664008901698455E-3</v>
      </c>
      <c r="Q35" s="13">
        <f t="shared" si="3"/>
        <v>4.7664008901698455E-3</v>
      </c>
      <c r="R35" s="7">
        <f t="shared" si="4"/>
        <v>303397.86508952826</v>
      </c>
      <c r="S35" s="7">
        <f t="shared" si="8"/>
        <v>327912.41258876212</v>
      </c>
      <c r="V35" s="48"/>
      <c r="W35" s="48"/>
      <c r="X35" s="48"/>
    </row>
    <row r="36" spans="1:24" x14ac:dyDescent="0.25">
      <c r="A36" s="49" t="s">
        <v>87</v>
      </c>
      <c r="B36" s="202" t="s">
        <v>88</v>
      </c>
      <c r="C36" s="5">
        <v>101585553.65619667</v>
      </c>
      <c r="D36" s="7">
        <f>(VLOOKUP(B36,'Netvolumenmål 2021'!B:S,11,0)+(VLOOKUP(B36,'Netvolumenmål 2022'!B:S,11,0)-E36))/2+E36</f>
        <v>112996655.66572085</v>
      </c>
      <c r="E36" s="7">
        <v>7377423</v>
      </c>
      <c r="F36" s="7">
        <v>465035.64810294873</v>
      </c>
      <c r="G36" s="8">
        <v>0.95043483489393998</v>
      </c>
      <c r="H36" s="9">
        <v>0.94152555691137796</v>
      </c>
      <c r="I36" s="10">
        <f t="shared" si="5"/>
        <v>0.95043483489393998</v>
      </c>
      <c r="J36" s="9">
        <v>0</v>
      </c>
      <c r="K36" s="9">
        <f t="shared" si="6"/>
        <v>0.95043483489393998</v>
      </c>
      <c r="L36" s="7">
        <f t="shared" si="7"/>
        <v>107837943.8506413</v>
      </c>
      <c r="M36" s="7">
        <f t="shared" si="9"/>
        <v>111676974.65172413</v>
      </c>
      <c r="N36" s="7">
        <f t="shared" si="0"/>
        <v>0</v>
      </c>
      <c r="O36" s="11">
        <f t="shared" si="1"/>
        <v>0</v>
      </c>
      <c r="P36" s="12">
        <f t="shared" si="2"/>
        <v>0</v>
      </c>
      <c r="Q36" s="13">
        <f t="shared" si="3"/>
        <v>0</v>
      </c>
      <c r="R36" s="7">
        <f t="shared" si="4"/>
        <v>0</v>
      </c>
      <c r="S36" s="7">
        <f t="shared" si="8"/>
        <v>0</v>
      </c>
      <c r="V36" s="48"/>
      <c r="W36" s="48"/>
      <c r="X36" s="48"/>
    </row>
    <row r="37" spans="1:24" x14ac:dyDescent="0.25">
      <c r="A37" s="49" t="s">
        <v>89</v>
      </c>
      <c r="B37" s="202" t="s">
        <v>90</v>
      </c>
      <c r="C37" s="5">
        <v>36518041.570370682</v>
      </c>
      <c r="D37" s="7">
        <f>(VLOOKUP(B37,'Netvolumenmål 2021'!B:S,11,0)+(VLOOKUP(B37,'Netvolumenmål 2022'!B:S,11,0)-E37))/2+E37</f>
        <v>42610107.322686359</v>
      </c>
      <c r="E37" s="7">
        <v>0</v>
      </c>
      <c r="F37" s="7">
        <v>0</v>
      </c>
      <c r="G37" s="8">
        <v>0.90342720024523704</v>
      </c>
      <c r="H37" s="9">
        <v>0.832353076158173</v>
      </c>
      <c r="I37" s="10">
        <f t="shared" si="5"/>
        <v>0.90342720024523704</v>
      </c>
      <c r="J37" s="9">
        <v>0</v>
      </c>
      <c r="K37" s="9">
        <f t="shared" si="6"/>
        <v>0.90342720024523704</v>
      </c>
      <c r="L37" s="7">
        <f t="shared" si="7"/>
        <v>38495129.960683614</v>
      </c>
      <c r="M37" s="7">
        <f t="shared" si="9"/>
        <v>39865556.587283954</v>
      </c>
      <c r="N37" s="7">
        <f t="shared" si="0"/>
        <v>0</v>
      </c>
      <c r="O37" s="11">
        <f t="shared" si="1"/>
        <v>0</v>
      </c>
      <c r="P37" s="12">
        <f t="shared" si="2"/>
        <v>0</v>
      </c>
      <c r="Q37" s="13">
        <f t="shared" si="3"/>
        <v>0</v>
      </c>
      <c r="R37" s="7">
        <f t="shared" si="4"/>
        <v>0</v>
      </c>
      <c r="S37" s="7">
        <f t="shared" si="8"/>
        <v>0</v>
      </c>
      <c r="V37" s="48"/>
      <c r="W37" s="48"/>
      <c r="X37" s="48"/>
    </row>
    <row r="38" spans="1:24" x14ac:dyDescent="0.25">
      <c r="A38" s="49" t="s">
        <v>91</v>
      </c>
      <c r="B38" s="202" t="s">
        <v>92</v>
      </c>
      <c r="C38" s="5">
        <v>120456614.14095341</v>
      </c>
      <c r="D38" s="7">
        <f>(VLOOKUP(B38,'Netvolumenmål 2021'!B:S,11,0)+(VLOOKUP(B38,'Netvolumenmål 2022'!B:S,11,0)-E38))/2+E38</f>
        <v>127458991.10393095</v>
      </c>
      <c r="E38" s="7">
        <v>2891405.1536999997</v>
      </c>
      <c r="F38" s="7">
        <v>436980.3101448408</v>
      </c>
      <c r="G38" s="8">
        <v>0.96000232772050298</v>
      </c>
      <c r="H38" s="9">
        <v>0.87959423717199603</v>
      </c>
      <c r="I38" s="10">
        <f t="shared" si="5"/>
        <v>0.96000232772050298</v>
      </c>
      <c r="J38" s="9">
        <v>0</v>
      </c>
      <c r="K38" s="9">
        <f t="shared" si="6"/>
        <v>0.96000232772050298</v>
      </c>
      <c r="L38" s="7">
        <f t="shared" si="7"/>
        <v>122780430.26358767</v>
      </c>
      <c r="M38" s="7">
        <f t="shared" si="9"/>
        <v>127151413.5809714</v>
      </c>
      <c r="N38" s="7">
        <f t="shared" si="0"/>
        <v>0</v>
      </c>
      <c r="O38" s="11">
        <f t="shared" si="1"/>
        <v>0</v>
      </c>
      <c r="P38" s="12">
        <f t="shared" si="2"/>
        <v>0</v>
      </c>
      <c r="Q38" s="13">
        <f t="shared" si="3"/>
        <v>0</v>
      </c>
      <c r="R38" s="7">
        <f t="shared" si="4"/>
        <v>0</v>
      </c>
      <c r="S38" s="7">
        <f t="shared" si="8"/>
        <v>0</v>
      </c>
      <c r="V38" s="48"/>
      <c r="W38" s="48"/>
      <c r="X38" s="48"/>
    </row>
    <row r="39" spans="1:24" ht="15.75" customHeight="1" x14ac:dyDescent="0.25">
      <c r="A39" s="49" t="s">
        <v>93</v>
      </c>
      <c r="B39" s="202" t="s">
        <v>94</v>
      </c>
      <c r="C39" s="5">
        <v>111352877.86112109</v>
      </c>
      <c r="D39" s="7">
        <f>(VLOOKUP(B39,'Netvolumenmål 2021'!B:S,11,0)+(VLOOKUP(B39,'Netvolumenmål 2022'!B:S,11,0)-E39))/2+E39</f>
        <v>130588087.79140623</v>
      </c>
      <c r="E39" s="7">
        <v>2548258</v>
      </c>
      <c r="F39" s="7">
        <v>0</v>
      </c>
      <c r="G39" s="8">
        <v>0.82206662032338995</v>
      </c>
      <c r="H39" s="9">
        <v>0.82047810819549905</v>
      </c>
      <c r="I39" s="10">
        <f t="shared" si="5"/>
        <v>0.82206662032338995</v>
      </c>
      <c r="J39" s="9">
        <v>0</v>
      </c>
      <c r="K39" s="9">
        <f t="shared" si="6"/>
        <v>0.82206662032338995</v>
      </c>
      <c r="L39" s="7">
        <f t="shared" si="7"/>
        <v>107352107.98517546</v>
      </c>
      <c r="M39" s="7">
        <f t="shared" si="9"/>
        <v>111173843.02944772</v>
      </c>
      <c r="N39" s="7">
        <f t="shared" si="0"/>
        <v>179034.83167336881</v>
      </c>
      <c r="O39" s="11">
        <f t="shared" si="1"/>
        <v>1.6078150391107126E-3</v>
      </c>
      <c r="P39" s="12">
        <f t="shared" si="2"/>
        <v>2.0097687988883907E-4</v>
      </c>
      <c r="Q39" s="13">
        <f t="shared" si="3"/>
        <v>2.0097687988883907E-4</v>
      </c>
      <c r="R39" s="7">
        <f t="shared" si="4"/>
        <v>22379.353959171101</v>
      </c>
      <c r="S39" s="7">
        <f t="shared" si="8"/>
        <v>24187.605759072125</v>
      </c>
      <c r="V39" s="48"/>
      <c r="W39" s="48"/>
      <c r="X39" s="48"/>
    </row>
    <row r="40" spans="1:24" x14ac:dyDescent="0.25">
      <c r="A40" s="49" t="s">
        <v>95</v>
      </c>
      <c r="B40" s="202" t="s">
        <v>96</v>
      </c>
      <c r="C40" s="5">
        <v>136350017.31834084</v>
      </c>
      <c r="D40" s="7">
        <f>(VLOOKUP(B40,'Netvolumenmål 2021'!B:S,11,0)+(VLOOKUP(B40,'Netvolumenmål 2022'!B:S,11,0)-E40))/2+E40</f>
        <v>154550872.78581476</v>
      </c>
      <c r="E40" s="7">
        <v>1472092</v>
      </c>
      <c r="F40" s="7">
        <v>0</v>
      </c>
      <c r="G40" s="8">
        <v>0.88446562172667298</v>
      </c>
      <c r="H40" s="9">
        <v>0.87467680789365498</v>
      </c>
      <c r="I40" s="10">
        <f t="shared" si="5"/>
        <v>0.88446562172667298</v>
      </c>
      <c r="J40" s="9">
        <v>0</v>
      </c>
      <c r="K40" s="9">
        <f t="shared" si="6"/>
        <v>0.88446562172667298</v>
      </c>
      <c r="L40" s="7">
        <f t="shared" si="7"/>
        <v>136694933.78690559</v>
      </c>
      <c r="M40" s="7">
        <f t="shared" si="9"/>
        <v>141561273.42971945</v>
      </c>
      <c r="N40" s="7">
        <f t="shared" si="0"/>
        <v>0</v>
      </c>
      <c r="O40" s="11">
        <f t="shared" si="1"/>
        <v>0</v>
      </c>
      <c r="P40" s="12">
        <f t="shared" si="2"/>
        <v>0</v>
      </c>
      <c r="Q40" s="13">
        <f t="shared" si="3"/>
        <v>0</v>
      </c>
      <c r="R40" s="7">
        <f t="shared" si="4"/>
        <v>0</v>
      </c>
      <c r="S40" s="7">
        <f t="shared" si="8"/>
        <v>0</v>
      </c>
      <c r="V40" s="48"/>
      <c r="W40" s="48"/>
      <c r="X40" s="48"/>
    </row>
    <row r="41" spans="1:24" x14ac:dyDescent="0.25">
      <c r="A41" s="49" t="s">
        <v>97</v>
      </c>
      <c r="B41" s="202" t="s">
        <v>98</v>
      </c>
      <c r="C41" s="5">
        <v>37980125.087030694</v>
      </c>
      <c r="D41" s="7">
        <f>(VLOOKUP(B41,'Netvolumenmål 2021'!B:S,11,0)+(VLOOKUP(B41,'Netvolumenmål 2022'!B:S,11,0)-E41))/2+E41</f>
        <v>41386628.950159565</v>
      </c>
      <c r="E41" s="7">
        <v>1673050</v>
      </c>
      <c r="F41" s="7">
        <v>1381435.1154764278</v>
      </c>
      <c r="G41" s="8">
        <v>1</v>
      </c>
      <c r="H41" s="9">
        <v>0.96713672549131202</v>
      </c>
      <c r="I41" s="10">
        <f t="shared" si="5"/>
        <v>1</v>
      </c>
      <c r="J41" s="9">
        <v>0</v>
      </c>
      <c r="K41" s="9">
        <f t="shared" si="6"/>
        <v>1</v>
      </c>
      <c r="L41" s="7">
        <f t="shared" si="7"/>
        <v>42768064.065635994</v>
      </c>
      <c r="M41" s="7">
        <f t="shared" si="9"/>
        <v>44290607.146372639</v>
      </c>
      <c r="N41" s="7">
        <f t="shared" si="0"/>
        <v>0</v>
      </c>
      <c r="O41" s="11">
        <f t="shared" si="1"/>
        <v>0</v>
      </c>
      <c r="P41" s="12">
        <f t="shared" si="2"/>
        <v>0</v>
      </c>
      <c r="Q41" s="13">
        <f t="shared" si="3"/>
        <v>0</v>
      </c>
      <c r="R41" s="7">
        <f t="shared" si="4"/>
        <v>0</v>
      </c>
      <c r="S41" s="7">
        <f t="shared" si="8"/>
        <v>0</v>
      </c>
      <c r="V41" s="48"/>
      <c r="W41" s="48"/>
      <c r="X41" s="48"/>
    </row>
    <row r="42" spans="1:24" x14ac:dyDescent="0.25">
      <c r="A42" s="49" t="s">
        <v>99</v>
      </c>
      <c r="B42" s="202" t="s">
        <v>100</v>
      </c>
      <c r="C42" s="5">
        <v>29798448.668305013</v>
      </c>
      <c r="D42" s="7">
        <f>(VLOOKUP(B42,'Netvolumenmål 2021'!B:S,11,0)+(VLOOKUP(B42,'Netvolumenmål 2022'!B:S,11,0)-E42))/2+E42</f>
        <v>37745502.497041956</v>
      </c>
      <c r="E42" s="7">
        <v>2649865.9597</v>
      </c>
      <c r="F42" s="7">
        <v>159585.71534565228</v>
      </c>
      <c r="G42" s="8">
        <v>0.66928320612529901</v>
      </c>
      <c r="H42" s="9">
        <v>0.77823502078444395</v>
      </c>
      <c r="I42" s="10">
        <f t="shared" si="5"/>
        <v>0.77823502078444395</v>
      </c>
      <c r="J42" s="9">
        <v>0</v>
      </c>
      <c r="K42" s="9">
        <f t="shared" si="6"/>
        <v>0.77823502078444395</v>
      </c>
      <c r="L42" s="7">
        <f t="shared" si="7"/>
        <v>29499067.112803649</v>
      </c>
      <c r="M42" s="7">
        <f t="shared" si="9"/>
        <v>30549233.90201946</v>
      </c>
      <c r="N42" s="7">
        <f t="shared" si="0"/>
        <v>0</v>
      </c>
      <c r="O42" s="11">
        <f t="shared" si="1"/>
        <v>0</v>
      </c>
      <c r="P42" s="12">
        <f t="shared" si="2"/>
        <v>0</v>
      </c>
      <c r="Q42" s="13">
        <f t="shared" si="3"/>
        <v>0</v>
      </c>
      <c r="R42" s="7">
        <f t="shared" si="4"/>
        <v>0</v>
      </c>
      <c r="S42" s="7">
        <f t="shared" si="8"/>
        <v>0</v>
      </c>
      <c r="V42" s="48"/>
      <c r="W42" s="48"/>
      <c r="X42" s="48"/>
    </row>
    <row r="43" spans="1:24" x14ac:dyDescent="0.25">
      <c r="A43" s="49" t="s">
        <v>101</v>
      </c>
      <c r="B43" s="202" t="s">
        <v>102</v>
      </c>
      <c r="C43" s="5">
        <v>63216642.171628773</v>
      </c>
      <c r="D43" s="7">
        <f>(VLOOKUP(B43,'Netvolumenmål 2021'!B:S,11,0)+(VLOOKUP(B43,'Netvolumenmål 2022'!B:S,11,0)-E43))/2+E43</f>
        <v>75084838.637066633</v>
      </c>
      <c r="E43" s="7">
        <v>433139</v>
      </c>
      <c r="F43" s="7">
        <v>119446.55633906492</v>
      </c>
      <c r="G43" s="8">
        <v>0.70582779162429199</v>
      </c>
      <c r="H43" s="9">
        <v>0.78153971666204203</v>
      </c>
      <c r="I43" s="10">
        <f t="shared" si="5"/>
        <v>0.78153971666204203</v>
      </c>
      <c r="J43" s="9">
        <v>0</v>
      </c>
      <c r="K43" s="9">
        <f t="shared" si="6"/>
        <v>0.78153971666204203</v>
      </c>
      <c r="L43" s="7">
        <f t="shared" si="7"/>
        <v>58775135.741825685</v>
      </c>
      <c r="M43" s="7">
        <f t="shared" si="9"/>
        <v>60867530.574234687</v>
      </c>
      <c r="N43" s="7">
        <f t="shared" si="0"/>
        <v>2349111.5973940864</v>
      </c>
      <c r="O43" s="11">
        <f t="shared" si="1"/>
        <v>3.7159702203359873E-2</v>
      </c>
      <c r="P43" s="12">
        <f t="shared" si="2"/>
        <v>4.6449627754199842E-3</v>
      </c>
      <c r="Q43" s="13">
        <f t="shared" si="3"/>
        <v>4.6449627754199842E-3</v>
      </c>
      <c r="R43" s="7">
        <f t="shared" si="4"/>
        <v>293638.9496742608</v>
      </c>
      <c r="S43" s="7">
        <f t="shared" si="8"/>
        <v>317364.97680794104</v>
      </c>
      <c r="V43" s="48"/>
      <c r="W43" s="48"/>
      <c r="X43" s="48"/>
    </row>
    <row r="44" spans="1:24" x14ac:dyDescent="0.25">
      <c r="A44" s="49" t="s">
        <v>103</v>
      </c>
      <c r="B44" s="202" t="s">
        <v>104</v>
      </c>
      <c r="C44" s="5">
        <v>294514934.20946252</v>
      </c>
      <c r="D44" s="7">
        <f>(VLOOKUP(B44,'Netvolumenmål 2021'!B:S,11,0)+(VLOOKUP(B44,'Netvolumenmål 2022'!B:S,11,0)-E44))/2+E44</f>
        <v>298690908.24623823</v>
      </c>
      <c r="E44" s="7">
        <v>6901638.0948000001</v>
      </c>
      <c r="F44" s="7">
        <v>5437921.4340146007</v>
      </c>
      <c r="G44" s="8">
        <v>1</v>
      </c>
      <c r="H44" s="9">
        <v>0.97957939847326303</v>
      </c>
      <c r="I44" s="10">
        <f t="shared" si="5"/>
        <v>1</v>
      </c>
      <c r="J44" s="9">
        <v>0</v>
      </c>
      <c r="K44" s="9">
        <f t="shared" si="6"/>
        <v>1</v>
      </c>
      <c r="L44" s="7">
        <f t="shared" si="7"/>
        <v>304128829.68025285</v>
      </c>
      <c r="M44" s="7">
        <f t="shared" si="9"/>
        <v>314955816.0168699</v>
      </c>
      <c r="N44" s="7">
        <f t="shared" si="0"/>
        <v>0</v>
      </c>
      <c r="O44" s="11">
        <f t="shared" si="1"/>
        <v>0</v>
      </c>
      <c r="P44" s="12">
        <f t="shared" si="2"/>
        <v>0</v>
      </c>
      <c r="Q44" s="13">
        <f t="shared" si="3"/>
        <v>0</v>
      </c>
      <c r="R44" s="7">
        <f t="shared" si="4"/>
        <v>0</v>
      </c>
      <c r="S44" s="7">
        <f t="shared" si="8"/>
        <v>0</v>
      </c>
      <c r="V44" s="48"/>
      <c r="W44" s="48"/>
      <c r="X44" s="48"/>
    </row>
    <row r="45" spans="1:24" x14ac:dyDescent="0.25">
      <c r="A45" s="49" t="s">
        <v>105</v>
      </c>
      <c r="B45" s="202" t="s">
        <v>106</v>
      </c>
      <c r="C45" s="5">
        <v>26753345.916741084</v>
      </c>
      <c r="D45" s="7">
        <f>(VLOOKUP(B45,'Netvolumenmål 2021'!B:S,11,0)+(VLOOKUP(B45,'Netvolumenmål 2022'!B:S,11,0)-E45))/2+E45</f>
        <v>27734608.616188176</v>
      </c>
      <c r="E45" s="7">
        <v>919901</v>
      </c>
      <c r="F45" s="7">
        <v>470340.04410472413</v>
      </c>
      <c r="G45" s="8">
        <v>0.86831107272058605</v>
      </c>
      <c r="H45" s="9">
        <v>0.97036168102799703</v>
      </c>
      <c r="I45" s="10">
        <f t="shared" si="5"/>
        <v>0.97036168102799703</v>
      </c>
      <c r="J45" s="9">
        <v>0</v>
      </c>
      <c r="K45" s="9">
        <f t="shared" si="6"/>
        <v>0.97036168102799703</v>
      </c>
      <c r="L45" s="7">
        <f t="shared" si="7"/>
        <v>27369001.395310175</v>
      </c>
      <c r="M45" s="7">
        <f t="shared" si="9"/>
        <v>28343337.84498322</v>
      </c>
      <c r="N45" s="7">
        <f t="shared" si="0"/>
        <v>0</v>
      </c>
      <c r="O45" s="11">
        <f t="shared" si="1"/>
        <v>0</v>
      </c>
      <c r="P45" s="12">
        <f t="shared" si="2"/>
        <v>0</v>
      </c>
      <c r="Q45" s="13">
        <f t="shared" si="3"/>
        <v>0</v>
      </c>
      <c r="R45" s="7">
        <f t="shared" si="4"/>
        <v>0</v>
      </c>
      <c r="S45" s="7">
        <f t="shared" si="8"/>
        <v>0</v>
      </c>
      <c r="V45" s="48"/>
      <c r="W45" s="48"/>
      <c r="X45" s="48"/>
    </row>
    <row r="46" spans="1:24" x14ac:dyDescent="0.25">
      <c r="A46" s="49" t="s">
        <v>107</v>
      </c>
      <c r="B46" s="202" t="s">
        <v>108</v>
      </c>
      <c r="C46" s="5">
        <v>106243829.89432983</v>
      </c>
      <c r="D46" s="7">
        <f>(VLOOKUP(B46,'Netvolumenmål 2021'!B:S,11,0)+(VLOOKUP(B46,'Netvolumenmål 2022'!B:S,11,0)-E46))/2+E46</f>
        <v>142419696.20376569</v>
      </c>
      <c r="E46" s="7">
        <v>675144.26399999997</v>
      </c>
      <c r="F46" s="7">
        <v>1813310.4034802623</v>
      </c>
      <c r="G46" s="8">
        <v>0.72073560957419802</v>
      </c>
      <c r="H46" s="9">
        <v>0.71707890497858895</v>
      </c>
      <c r="I46" s="10">
        <f t="shared" si="5"/>
        <v>0.72073560957419802</v>
      </c>
      <c r="J46" s="9">
        <v>0</v>
      </c>
      <c r="K46" s="9">
        <f t="shared" si="6"/>
        <v>0.72073560957419802</v>
      </c>
      <c r="L46" s="7">
        <f t="shared" si="7"/>
        <v>103953863.93779273</v>
      </c>
      <c r="M46" s="7">
        <f t="shared" si="9"/>
        <v>107654621.49397816</v>
      </c>
      <c r="N46" s="7">
        <f t="shared" si="0"/>
        <v>0</v>
      </c>
      <c r="O46" s="11">
        <f t="shared" si="1"/>
        <v>0</v>
      </c>
      <c r="P46" s="12">
        <f t="shared" si="2"/>
        <v>0</v>
      </c>
      <c r="Q46" s="13">
        <f t="shared" si="3"/>
        <v>0</v>
      </c>
      <c r="R46" s="7">
        <f t="shared" si="4"/>
        <v>0</v>
      </c>
      <c r="S46" s="7">
        <f t="shared" si="8"/>
        <v>0</v>
      </c>
      <c r="V46" s="48"/>
      <c r="W46" s="48"/>
      <c r="X46" s="48"/>
    </row>
    <row r="47" spans="1:24" x14ac:dyDescent="0.25">
      <c r="A47" s="49" t="s">
        <v>109</v>
      </c>
      <c r="B47" s="202" t="s">
        <v>110</v>
      </c>
      <c r="C47" s="5">
        <v>156858835.0340389</v>
      </c>
      <c r="D47" s="7">
        <f>(VLOOKUP(B47,'Netvolumenmål 2021'!B:S,11,0)+(VLOOKUP(B47,'Netvolumenmål 2022'!B:S,11,0)-E47))/2+E47</f>
        <v>160473816.42811343</v>
      </c>
      <c r="E47" s="7">
        <v>3152539</v>
      </c>
      <c r="F47" s="7">
        <v>0</v>
      </c>
      <c r="G47" s="8">
        <v>0.92322770098302498</v>
      </c>
      <c r="H47" s="9">
        <v>0.961377823959497</v>
      </c>
      <c r="I47" s="10">
        <f t="shared" si="5"/>
        <v>0.961377823959497</v>
      </c>
      <c r="J47" s="9">
        <v>0</v>
      </c>
      <c r="K47" s="9">
        <f t="shared" si="6"/>
        <v>0.961377823959497</v>
      </c>
      <c r="L47" s="7">
        <f t="shared" si="7"/>
        <v>154275968.44013548</v>
      </c>
      <c r="M47" s="7">
        <f t="shared" si="9"/>
        <v>159768192.91660431</v>
      </c>
      <c r="N47" s="7">
        <f t="shared" si="0"/>
        <v>0</v>
      </c>
      <c r="O47" s="11">
        <f t="shared" si="1"/>
        <v>0</v>
      </c>
      <c r="P47" s="12">
        <f t="shared" si="2"/>
        <v>0</v>
      </c>
      <c r="Q47" s="13">
        <f t="shared" si="3"/>
        <v>0</v>
      </c>
      <c r="R47" s="7">
        <f t="shared" si="4"/>
        <v>0</v>
      </c>
      <c r="S47" s="7">
        <f t="shared" si="8"/>
        <v>0</v>
      </c>
      <c r="V47" s="48"/>
      <c r="W47" s="48"/>
      <c r="X47" s="48"/>
    </row>
    <row r="48" spans="1:24" x14ac:dyDescent="0.25">
      <c r="A48" s="49" t="s">
        <v>111</v>
      </c>
      <c r="B48" s="202" t="s">
        <v>112</v>
      </c>
      <c r="C48" s="5">
        <v>47867406.642102368</v>
      </c>
      <c r="D48" s="7">
        <f>(VLOOKUP(B48,'Netvolumenmål 2021'!B:S,11,0)+(VLOOKUP(B48,'Netvolumenmål 2022'!B:S,11,0)-E48))/2+E48</f>
        <v>56659788.358318657</v>
      </c>
      <c r="E48" s="7">
        <v>0</v>
      </c>
      <c r="F48" s="7">
        <v>115802.02248846258</v>
      </c>
      <c r="G48" s="8">
        <v>0.92577514911950498</v>
      </c>
      <c r="H48" s="9">
        <v>0.92878346472686502</v>
      </c>
      <c r="I48" s="10">
        <f t="shared" si="5"/>
        <v>0.92878346472686502</v>
      </c>
      <c r="J48" s="9">
        <v>0</v>
      </c>
      <c r="K48" s="9">
        <f t="shared" si="6"/>
        <v>0.92878346472686502</v>
      </c>
      <c r="L48" s="7">
        <f t="shared" si="7"/>
        <v>52732229.5457993</v>
      </c>
      <c r="M48" s="7">
        <f t="shared" si="9"/>
        <v>54609496.917629756</v>
      </c>
      <c r="N48" s="7">
        <f t="shared" si="0"/>
        <v>0</v>
      </c>
      <c r="O48" s="11">
        <f t="shared" si="1"/>
        <v>0</v>
      </c>
      <c r="P48" s="12">
        <f t="shared" si="2"/>
        <v>0</v>
      </c>
      <c r="Q48" s="13">
        <f t="shared" si="3"/>
        <v>0</v>
      </c>
      <c r="R48" s="7">
        <f t="shared" si="4"/>
        <v>0</v>
      </c>
      <c r="S48" s="7">
        <f t="shared" si="8"/>
        <v>0</v>
      </c>
      <c r="V48" s="48"/>
      <c r="W48" s="48"/>
      <c r="X48" s="48"/>
    </row>
    <row r="49" spans="1:24" x14ac:dyDescent="0.25">
      <c r="A49" s="49" t="s">
        <v>113</v>
      </c>
      <c r="B49" s="202" t="s">
        <v>114</v>
      </c>
      <c r="C49" s="5">
        <v>41425226.206143305</v>
      </c>
      <c r="D49" s="7">
        <f>(VLOOKUP(B49,'Netvolumenmål 2021'!B:S,11,0)+(VLOOKUP(B49,'Netvolumenmål 2022'!B:S,11,0)-E49))/2+E49</f>
        <v>46654698.461601786</v>
      </c>
      <c r="E49" s="7">
        <v>2374726</v>
      </c>
      <c r="F49" s="7">
        <v>0</v>
      </c>
      <c r="G49" s="8">
        <v>0.94768025476431395</v>
      </c>
      <c r="H49" s="9">
        <v>0.90597859617696797</v>
      </c>
      <c r="I49" s="10">
        <f t="shared" si="5"/>
        <v>0.94768025476431395</v>
      </c>
      <c r="J49" s="9">
        <v>0</v>
      </c>
      <c r="K49" s="9">
        <f t="shared" si="6"/>
        <v>0.94768025476431395</v>
      </c>
      <c r="L49" s="7">
        <f t="shared" si="7"/>
        <v>44213736.524043024</v>
      </c>
      <c r="M49" s="7">
        <f t="shared" si="9"/>
        <v>45787745.544298962</v>
      </c>
      <c r="N49" s="7">
        <f t="shared" si="0"/>
        <v>0</v>
      </c>
      <c r="O49" s="11">
        <f t="shared" si="1"/>
        <v>0</v>
      </c>
      <c r="P49" s="12">
        <f t="shared" si="2"/>
        <v>0</v>
      </c>
      <c r="Q49" s="13">
        <f t="shared" si="3"/>
        <v>0</v>
      </c>
      <c r="R49" s="7">
        <f t="shared" si="4"/>
        <v>0</v>
      </c>
      <c r="S49" s="7">
        <f t="shared" si="8"/>
        <v>0</v>
      </c>
      <c r="V49" s="48"/>
      <c r="W49" s="48"/>
      <c r="X49" s="48"/>
    </row>
    <row r="50" spans="1:24" x14ac:dyDescent="0.25">
      <c r="A50" s="49" t="s">
        <v>115</v>
      </c>
      <c r="B50" s="202" t="s">
        <v>116</v>
      </c>
      <c r="C50" s="5">
        <v>68239231.235257551</v>
      </c>
      <c r="D50" s="7">
        <f>(VLOOKUP(B50,'Netvolumenmål 2021'!B:S,11,0)+(VLOOKUP(B50,'Netvolumenmål 2022'!B:S,11,0)-E50))/2+E50</f>
        <v>75115210.421013132</v>
      </c>
      <c r="E50" s="7">
        <v>1901465</v>
      </c>
      <c r="F50" s="7">
        <v>108508.32006085443</v>
      </c>
      <c r="G50" s="8">
        <v>0.89734683613197996</v>
      </c>
      <c r="H50" s="9">
        <v>0.89503642320556998</v>
      </c>
      <c r="I50" s="10">
        <f t="shared" si="5"/>
        <v>0.89734683613197996</v>
      </c>
      <c r="J50" s="9">
        <v>0</v>
      </c>
      <c r="K50" s="9">
        <f t="shared" si="6"/>
        <v>0.89734683613197996</v>
      </c>
      <c r="L50" s="7">
        <f t="shared" si="7"/>
        <v>67501766.014384672</v>
      </c>
      <c r="M50" s="7">
        <f t="shared" si="9"/>
        <v>69904828.884496778</v>
      </c>
      <c r="N50" s="7">
        <f t="shared" si="0"/>
        <v>0</v>
      </c>
      <c r="O50" s="11">
        <f t="shared" si="1"/>
        <v>0</v>
      </c>
      <c r="P50" s="12">
        <f t="shared" si="2"/>
        <v>0</v>
      </c>
      <c r="Q50" s="13">
        <f t="shared" si="3"/>
        <v>0</v>
      </c>
      <c r="R50" s="7">
        <f t="shared" si="4"/>
        <v>0</v>
      </c>
      <c r="S50" s="7">
        <f t="shared" si="8"/>
        <v>0</v>
      </c>
      <c r="V50" s="48"/>
      <c r="W50" s="48"/>
      <c r="X50" s="48"/>
    </row>
    <row r="51" spans="1:24" x14ac:dyDescent="0.25">
      <c r="A51" s="49" t="s">
        <v>117</v>
      </c>
      <c r="B51" s="202" t="s">
        <v>118</v>
      </c>
      <c r="C51" s="5">
        <v>21048842.332312096</v>
      </c>
      <c r="D51" s="7">
        <f>(VLOOKUP(B51,'Netvolumenmål 2021'!B:S,11,0)+(VLOOKUP(B51,'Netvolumenmål 2022'!B:S,11,0)-E51))/2+E51</f>
        <v>25551475.325639669</v>
      </c>
      <c r="E51" s="7">
        <v>822295</v>
      </c>
      <c r="F51" s="7">
        <v>0</v>
      </c>
      <c r="G51" s="8">
        <v>0.58792990949133195</v>
      </c>
      <c r="H51" s="9">
        <v>0.72968405761354005</v>
      </c>
      <c r="I51" s="10">
        <f t="shared" si="5"/>
        <v>0.72968405761354005</v>
      </c>
      <c r="J51" s="9">
        <v>0</v>
      </c>
      <c r="K51" s="9">
        <f t="shared" si="6"/>
        <v>0.72968405761354005</v>
      </c>
      <c r="L51" s="7">
        <f t="shared" si="7"/>
        <v>18644504.193625003</v>
      </c>
      <c r="M51" s="7">
        <f t="shared" si="9"/>
        <v>19308248.542918056</v>
      </c>
      <c r="N51" s="7">
        <f t="shared" si="0"/>
        <v>1740593.7893940397</v>
      </c>
      <c r="O51" s="11">
        <f t="shared" si="1"/>
        <v>8.2693088860381292E-2</v>
      </c>
      <c r="P51" s="12">
        <f t="shared" si="2"/>
        <v>1.0336636107547661E-2</v>
      </c>
      <c r="Q51" s="13">
        <f t="shared" si="3"/>
        <v>1.0336636107547661E-2</v>
      </c>
      <c r="R51" s="7">
        <f t="shared" si="4"/>
        <v>217574.22367425496</v>
      </c>
      <c r="S51" s="7">
        <f t="shared" si="8"/>
        <v>235154.22094713475</v>
      </c>
      <c r="V51" s="48"/>
      <c r="W51" s="48"/>
      <c r="X51" s="48"/>
    </row>
    <row r="52" spans="1:24" x14ac:dyDescent="0.25">
      <c r="A52" s="49" t="s">
        <v>119</v>
      </c>
      <c r="B52" s="202" t="s">
        <v>120</v>
      </c>
      <c r="C52" s="5">
        <v>68558682.341438696</v>
      </c>
      <c r="D52" s="7">
        <f>(VLOOKUP(B52,'Netvolumenmål 2021'!B:S,11,0)+(VLOOKUP(B52,'Netvolumenmål 2022'!B:S,11,0)-E52))/2+E52</f>
        <v>83049418.09945406</v>
      </c>
      <c r="E52" s="7">
        <v>0</v>
      </c>
      <c r="F52" s="7">
        <v>0</v>
      </c>
      <c r="G52" s="8">
        <v>0.88643954775143796</v>
      </c>
      <c r="H52" s="9">
        <v>0.88123759232735999</v>
      </c>
      <c r="I52" s="10">
        <f t="shared" si="5"/>
        <v>0.88643954775143796</v>
      </c>
      <c r="J52" s="9">
        <v>0</v>
      </c>
      <c r="K52" s="9">
        <f t="shared" si="6"/>
        <v>0.88643954775143796</v>
      </c>
      <c r="L52" s="7">
        <f t="shared" si="7"/>
        <v>73618288.621100143</v>
      </c>
      <c r="M52" s="7">
        <f t="shared" si="9"/>
        <v>76239099.69601132</v>
      </c>
      <c r="N52" s="7">
        <f t="shared" si="0"/>
        <v>0</v>
      </c>
      <c r="O52" s="11">
        <f t="shared" si="1"/>
        <v>0</v>
      </c>
      <c r="P52" s="12">
        <f t="shared" si="2"/>
        <v>0</v>
      </c>
      <c r="Q52" s="13">
        <f t="shared" si="3"/>
        <v>0</v>
      </c>
      <c r="R52" s="7">
        <f t="shared" si="4"/>
        <v>0</v>
      </c>
      <c r="S52" s="7">
        <f t="shared" si="8"/>
        <v>0</v>
      </c>
      <c r="V52" s="48"/>
      <c r="W52" s="48"/>
      <c r="X52" s="48"/>
    </row>
    <row r="53" spans="1:24" x14ac:dyDescent="0.25">
      <c r="A53" s="49" t="s">
        <v>121</v>
      </c>
      <c r="B53" s="202" t="s">
        <v>122</v>
      </c>
      <c r="C53" s="5">
        <v>42924594.649266414</v>
      </c>
      <c r="D53" s="7">
        <f>(VLOOKUP(B53,'Netvolumenmål 2021'!B:S,11,0)+(VLOOKUP(B53,'Netvolumenmål 2022'!B:S,11,0)-E53))/2+E53</f>
        <v>47796734.849206492</v>
      </c>
      <c r="E53" s="7">
        <v>3681440</v>
      </c>
      <c r="F53" s="7">
        <v>279595.21916468238</v>
      </c>
      <c r="G53" s="8">
        <v>0.59264416502954598</v>
      </c>
      <c r="H53" s="9">
        <v>0.66129745298391696</v>
      </c>
      <c r="I53" s="10">
        <f t="shared" si="5"/>
        <v>0.66129745298391696</v>
      </c>
      <c r="J53" s="9">
        <v>0</v>
      </c>
      <c r="K53" s="9">
        <f t="shared" si="6"/>
        <v>0.66129745298391696</v>
      </c>
      <c r="L53" s="7">
        <f t="shared" si="7"/>
        <v>31792754.623027962</v>
      </c>
      <c r="M53" s="7">
        <f t="shared" si="9"/>
        <v>32924576.687607758</v>
      </c>
      <c r="N53" s="7">
        <f t="shared" si="0"/>
        <v>10000017.961658657</v>
      </c>
      <c r="O53" s="11">
        <f t="shared" si="1"/>
        <v>0.23296709132300583</v>
      </c>
      <c r="P53" s="12">
        <f t="shared" si="2"/>
        <v>2.9120886415375729E-2</v>
      </c>
      <c r="Q53" s="13">
        <f t="shared" si="3"/>
        <v>0.02</v>
      </c>
      <c r="R53" s="7">
        <f t="shared" si="4"/>
        <v>858491.89298532833</v>
      </c>
      <c r="S53" s="7">
        <f t="shared" si="8"/>
        <v>927858.0379385429</v>
      </c>
      <c r="V53" s="48"/>
      <c r="W53" s="48"/>
      <c r="X53" s="48"/>
    </row>
    <row r="54" spans="1:24" x14ac:dyDescent="0.25">
      <c r="A54" s="49" t="s">
        <v>123</v>
      </c>
      <c r="B54" s="202" t="s">
        <v>124</v>
      </c>
      <c r="C54" s="5">
        <v>69059352.919931188</v>
      </c>
      <c r="D54" s="7">
        <f>(VLOOKUP(B54,'Netvolumenmål 2021'!B:S,11,0)+(VLOOKUP(B54,'Netvolumenmål 2022'!B:S,11,0)-E54))/2+E54</f>
        <v>76556651.448276639</v>
      </c>
      <c r="E54" s="7">
        <v>2755740.7907999996</v>
      </c>
      <c r="F54" s="7">
        <v>923056.42598629952</v>
      </c>
      <c r="G54" s="8">
        <v>0.92389196599888401</v>
      </c>
      <c r="H54" s="9">
        <v>0.95155052853975897</v>
      </c>
      <c r="I54" s="10">
        <f t="shared" si="5"/>
        <v>0.95155052853975897</v>
      </c>
      <c r="J54" s="9">
        <v>0</v>
      </c>
      <c r="K54" s="9">
        <f t="shared" si="6"/>
        <v>0.95155052853975897</v>
      </c>
      <c r="L54" s="7">
        <f t="shared" si="7"/>
        <v>73725856.978861019</v>
      </c>
      <c r="M54" s="7">
        <f t="shared" si="9"/>
        <v>76350497.487308472</v>
      </c>
      <c r="N54" s="7">
        <f t="shared" si="0"/>
        <v>0</v>
      </c>
      <c r="O54" s="11">
        <f t="shared" si="1"/>
        <v>0</v>
      </c>
      <c r="P54" s="12">
        <f t="shared" si="2"/>
        <v>0</v>
      </c>
      <c r="Q54" s="13">
        <f t="shared" si="3"/>
        <v>0</v>
      </c>
      <c r="R54" s="7">
        <f t="shared" si="4"/>
        <v>0</v>
      </c>
      <c r="S54" s="7">
        <f t="shared" si="8"/>
        <v>0</v>
      </c>
      <c r="V54" s="48"/>
      <c r="W54" s="48"/>
      <c r="X54" s="48"/>
    </row>
    <row r="55" spans="1:24" x14ac:dyDescent="0.25">
      <c r="A55" s="49" t="s">
        <v>125</v>
      </c>
      <c r="B55" s="202" t="s">
        <v>126</v>
      </c>
      <c r="C55" s="5">
        <v>41048205.095120743</v>
      </c>
      <c r="D55" s="7">
        <f>(VLOOKUP(B55,'Netvolumenmål 2021'!B:S,11,0)+(VLOOKUP(B55,'Netvolumenmål 2022'!B:S,11,0)-E55))/2+E55</f>
        <v>43809832.627889246</v>
      </c>
      <c r="E55" s="7">
        <v>1737576</v>
      </c>
      <c r="F55" s="7">
        <v>0</v>
      </c>
      <c r="G55" s="8">
        <v>1</v>
      </c>
      <c r="H55" s="9">
        <v>0.99750857442068497</v>
      </c>
      <c r="I55" s="10">
        <f t="shared" si="5"/>
        <v>1</v>
      </c>
      <c r="J55" s="9">
        <v>0</v>
      </c>
      <c r="K55" s="9">
        <f t="shared" si="6"/>
        <v>1</v>
      </c>
      <c r="L55" s="7">
        <f t="shared" si="7"/>
        <v>43809832.627889246</v>
      </c>
      <c r="M55" s="7">
        <f t="shared" si="9"/>
        <v>45369462.66944211</v>
      </c>
      <c r="N55" s="7">
        <f t="shared" si="0"/>
        <v>0</v>
      </c>
      <c r="O55" s="11">
        <f t="shared" si="1"/>
        <v>0</v>
      </c>
      <c r="P55" s="12">
        <f t="shared" si="2"/>
        <v>0</v>
      </c>
      <c r="Q55" s="13">
        <f t="shared" si="3"/>
        <v>0</v>
      </c>
      <c r="R55" s="7">
        <f t="shared" si="4"/>
        <v>0</v>
      </c>
      <c r="S55" s="7">
        <f t="shared" si="8"/>
        <v>0</v>
      </c>
      <c r="V55" s="48"/>
      <c r="W55" s="48"/>
      <c r="X55" s="48"/>
    </row>
    <row r="56" spans="1:24" x14ac:dyDescent="0.25">
      <c r="A56" s="49" t="s">
        <v>127</v>
      </c>
      <c r="B56" s="202" t="s">
        <v>128</v>
      </c>
      <c r="C56" s="5">
        <v>172054094.96320868</v>
      </c>
      <c r="D56" s="7">
        <f>(VLOOKUP(B56,'Netvolumenmål 2021'!B:S,11,0)+(VLOOKUP(B56,'Netvolumenmål 2022'!B:S,11,0)-E56))/2+E56</f>
        <v>196316473.94460762</v>
      </c>
      <c r="E56" s="7">
        <v>3071765</v>
      </c>
      <c r="F56" s="7">
        <v>10155.402600000001</v>
      </c>
      <c r="G56" s="8">
        <v>0.81630094029774702</v>
      </c>
      <c r="H56" s="9">
        <v>0.80671691317690897</v>
      </c>
      <c r="I56" s="10">
        <f t="shared" si="5"/>
        <v>0.81630094029774702</v>
      </c>
      <c r="J56" s="9">
        <v>0</v>
      </c>
      <c r="K56" s="9">
        <f t="shared" si="6"/>
        <v>0.81630094029774702</v>
      </c>
      <c r="L56" s="7">
        <f t="shared" si="7"/>
        <v>160261612.14161286</v>
      </c>
      <c r="M56" s="7">
        <f t="shared" si="9"/>
        <v>165966925.53385428</v>
      </c>
      <c r="N56" s="7">
        <f t="shared" si="0"/>
        <v>6087169.4293543994</v>
      </c>
      <c r="O56" s="11">
        <f t="shared" si="1"/>
        <v>3.5379392920906964E-2</v>
      </c>
      <c r="P56" s="12">
        <f t="shared" si="2"/>
        <v>4.4224241151133705E-3</v>
      </c>
      <c r="Q56" s="13">
        <f t="shared" si="3"/>
        <v>4.4224241151133705E-3</v>
      </c>
      <c r="R56" s="7">
        <f t="shared" si="4"/>
        <v>760896.17866929993</v>
      </c>
      <c r="S56" s="7">
        <f t="shared" si="8"/>
        <v>822376.58990577934</v>
      </c>
      <c r="V56" s="48"/>
      <c r="W56" s="48"/>
      <c r="X56" s="48"/>
    </row>
    <row r="57" spans="1:24" x14ac:dyDescent="0.25">
      <c r="A57" s="49" t="s">
        <v>129</v>
      </c>
      <c r="B57" s="202" t="s">
        <v>130</v>
      </c>
      <c r="C57" s="5">
        <v>99665845.442406103</v>
      </c>
      <c r="D57" s="7">
        <f>(VLOOKUP(B57,'Netvolumenmål 2021'!B:S,11,0)+(VLOOKUP(B57,'Netvolumenmål 2022'!B:S,11,0)-E57))/2+E57</f>
        <v>115227978.72434273</v>
      </c>
      <c r="E57" s="7">
        <v>633738</v>
      </c>
      <c r="F57" s="7">
        <v>0</v>
      </c>
      <c r="G57" s="8">
        <v>0.81148800868572302</v>
      </c>
      <c r="H57" s="9">
        <v>0.82905250479210302</v>
      </c>
      <c r="I57" s="10">
        <f t="shared" si="5"/>
        <v>0.82905250479210302</v>
      </c>
      <c r="J57" s="9">
        <v>0</v>
      </c>
      <c r="K57" s="9">
        <f t="shared" si="6"/>
        <v>0.82905250479210302</v>
      </c>
      <c r="L57" s="7">
        <f t="shared" si="7"/>
        <v>95530044.3835475</v>
      </c>
      <c r="M57" s="7">
        <f t="shared" si="9"/>
        <v>98930913.963601798</v>
      </c>
      <c r="N57" s="7">
        <f t="shared" si="0"/>
        <v>734931.4788043052</v>
      </c>
      <c r="O57" s="11">
        <f t="shared" si="1"/>
        <v>7.3739551954034241E-3</v>
      </c>
      <c r="P57" s="12">
        <f t="shared" si="2"/>
        <v>9.2174439942542801E-4</v>
      </c>
      <c r="Q57" s="13">
        <f t="shared" si="3"/>
        <v>9.2174439942542801E-4</v>
      </c>
      <c r="R57" s="7">
        <f t="shared" si="4"/>
        <v>91866.434850538149</v>
      </c>
      <c r="S57" s="7">
        <f t="shared" si="8"/>
        <v>99289.242786461633</v>
      </c>
      <c r="V57" s="48"/>
      <c r="W57" s="48"/>
      <c r="X57" s="48"/>
    </row>
    <row r="58" spans="1:24" x14ac:dyDescent="0.25">
      <c r="A58" s="49" t="s">
        <v>131</v>
      </c>
      <c r="B58" s="202" t="s">
        <v>132</v>
      </c>
      <c r="C58" s="5">
        <v>50349885.396097466</v>
      </c>
      <c r="D58" s="7">
        <f>(VLOOKUP(B58,'Netvolumenmål 2021'!B:S,11,0)+(VLOOKUP(B58,'Netvolumenmål 2022'!B:S,11,0)-E58))/2+E58</f>
        <v>70350068.23200877</v>
      </c>
      <c r="E58" s="7">
        <v>1213118.8</v>
      </c>
      <c r="F58" s="7">
        <v>150584.32403729879</v>
      </c>
      <c r="G58" s="8">
        <v>0.64487002225676404</v>
      </c>
      <c r="H58" s="9">
        <v>0.64079022802132501</v>
      </c>
      <c r="I58" s="10">
        <f t="shared" si="5"/>
        <v>0.64487002225676404</v>
      </c>
      <c r="J58" s="9">
        <v>0</v>
      </c>
      <c r="K58" s="9">
        <f t="shared" si="6"/>
        <v>0.64487002225676404</v>
      </c>
      <c r="L58" s="7">
        <f t="shared" si="7"/>
        <v>45463757.382933818</v>
      </c>
      <c r="M58" s="7">
        <f t="shared" si="9"/>
        <v>47082267.145766266</v>
      </c>
      <c r="N58" s="7">
        <f t="shared" si="0"/>
        <v>3267618.2503312007</v>
      </c>
      <c r="O58" s="11">
        <f t="shared" si="1"/>
        <v>6.4898226175197374E-2</v>
      </c>
      <c r="P58" s="12">
        <f t="shared" si="2"/>
        <v>8.1122782718996717E-3</v>
      </c>
      <c r="Q58" s="13">
        <f t="shared" si="3"/>
        <v>8.1122782718996717E-3</v>
      </c>
      <c r="R58" s="7">
        <f t="shared" si="4"/>
        <v>408452.28129140008</v>
      </c>
      <c r="S58" s="7">
        <f t="shared" si="8"/>
        <v>441455.22561974521</v>
      </c>
      <c r="V58" s="48"/>
      <c r="W58" s="48"/>
      <c r="X58" s="48"/>
    </row>
    <row r="59" spans="1:24" x14ac:dyDescent="0.25">
      <c r="A59" s="49" t="s">
        <v>133</v>
      </c>
      <c r="B59" s="202" t="s">
        <v>134</v>
      </c>
      <c r="C59" s="5">
        <v>55909385.411212124</v>
      </c>
      <c r="D59" s="7">
        <f>(VLOOKUP(B59,'Netvolumenmål 2021'!B:S,11,0)+(VLOOKUP(B59,'Netvolumenmål 2022'!B:S,11,0)-E59))/2+E59</f>
        <v>59487667.404348955</v>
      </c>
      <c r="E59" s="7">
        <v>0</v>
      </c>
      <c r="F59" s="7">
        <v>209554.44400906921</v>
      </c>
      <c r="G59" s="8">
        <v>0.98541809195367702</v>
      </c>
      <c r="H59" s="9">
        <v>0.96424476704599404</v>
      </c>
      <c r="I59" s="10">
        <f t="shared" si="5"/>
        <v>0.98541809195367702</v>
      </c>
      <c r="J59" s="9">
        <v>0</v>
      </c>
      <c r="K59" s="9">
        <f t="shared" si="6"/>
        <v>0.98541809195367702</v>
      </c>
      <c r="L59" s="7">
        <f t="shared" si="7"/>
        <v>58826722.448744327</v>
      </c>
      <c r="M59" s="7">
        <f t="shared" si="9"/>
        <v>60920953.76791963</v>
      </c>
      <c r="N59" s="7">
        <f t="shared" si="0"/>
        <v>0</v>
      </c>
      <c r="O59" s="11">
        <f t="shared" si="1"/>
        <v>0</v>
      </c>
      <c r="P59" s="12">
        <f t="shared" si="2"/>
        <v>0</v>
      </c>
      <c r="Q59" s="13">
        <f t="shared" si="3"/>
        <v>0</v>
      </c>
      <c r="R59" s="7">
        <f t="shared" si="4"/>
        <v>0</v>
      </c>
      <c r="S59" s="7">
        <f t="shared" si="8"/>
        <v>0</v>
      </c>
      <c r="V59" s="48"/>
      <c r="W59" s="48"/>
      <c r="X59" s="48"/>
    </row>
    <row r="60" spans="1:24" x14ac:dyDescent="0.25">
      <c r="A60" s="49" t="s">
        <v>135</v>
      </c>
      <c r="B60" s="202" t="s">
        <v>136</v>
      </c>
      <c r="C60" s="5">
        <v>108240602.56702557</v>
      </c>
      <c r="D60" s="7">
        <f>(VLOOKUP(B60,'Netvolumenmål 2021'!B:S,11,0)+(VLOOKUP(B60,'Netvolumenmål 2022'!B:S,11,0)-E60))/2+E60</f>
        <v>119964633.86460027</v>
      </c>
      <c r="E60" s="7">
        <v>639539</v>
      </c>
      <c r="F60" s="7">
        <v>0</v>
      </c>
      <c r="G60" s="8">
        <v>0.82259463676567302</v>
      </c>
      <c r="H60" s="9">
        <v>0.83136596283822195</v>
      </c>
      <c r="I60" s="10">
        <f t="shared" si="5"/>
        <v>0.83136596283822195</v>
      </c>
      <c r="J60" s="9">
        <v>0</v>
      </c>
      <c r="K60" s="9">
        <f t="shared" si="6"/>
        <v>0.83136596283822195</v>
      </c>
      <c r="L60" s="7">
        <f t="shared" si="7"/>
        <v>99734513.339378178</v>
      </c>
      <c r="M60" s="7">
        <f t="shared" si="9"/>
        <v>103285062.01426005</v>
      </c>
      <c r="N60" s="7">
        <f t="shared" si="0"/>
        <v>4955540.5527655184</v>
      </c>
      <c r="O60" s="11">
        <f t="shared" si="1"/>
        <v>4.5782640111384366E-2</v>
      </c>
      <c r="P60" s="12">
        <f t="shared" si="2"/>
        <v>5.7228300139230458E-3</v>
      </c>
      <c r="Q60" s="13">
        <f t="shared" si="3"/>
        <v>5.7228300139230458E-3</v>
      </c>
      <c r="R60" s="7">
        <f t="shared" si="4"/>
        <v>619442.5690956898</v>
      </c>
      <c r="S60" s="7">
        <f t="shared" si="8"/>
        <v>669493.52867862151</v>
      </c>
      <c r="V60" s="203"/>
      <c r="W60" s="48"/>
      <c r="X60" s="48"/>
    </row>
    <row r="61" spans="1:24" x14ac:dyDescent="0.25">
      <c r="A61" s="49" t="s">
        <v>137</v>
      </c>
      <c r="B61" s="202" t="s">
        <v>138</v>
      </c>
      <c r="C61" s="5">
        <v>72850139.319988936</v>
      </c>
      <c r="D61" s="7">
        <f>(VLOOKUP(B61,'Netvolumenmål 2021'!B:S,11,0)+(VLOOKUP(B61,'Netvolumenmål 2022'!B:S,11,0)-E61))/2+E61</f>
        <v>58778647.953143686</v>
      </c>
      <c r="E61" s="7">
        <v>5900437</v>
      </c>
      <c r="F61" s="7">
        <v>0</v>
      </c>
      <c r="G61" s="8">
        <v>0.72836353380139696</v>
      </c>
      <c r="H61" s="9">
        <v>0.77567469628963204</v>
      </c>
      <c r="I61" s="10">
        <f t="shared" si="5"/>
        <v>0.77567469628963204</v>
      </c>
      <c r="J61" s="9">
        <v>0</v>
      </c>
      <c r="K61" s="9">
        <f t="shared" si="6"/>
        <v>0.77567469628963204</v>
      </c>
      <c r="L61" s="7">
        <f t="shared" si="7"/>
        <v>45593109.899369933</v>
      </c>
      <c r="M61" s="7">
        <f t="shared" si="9"/>
        <v>47216224.611787505</v>
      </c>
      <c r="N61" s="7">
        <f t="shared" si="0"/>
        <v>25633914.708201431</v>
      </c>
      <c r="O61" s="11">
        <f t="shared" si="1"/>
        <v>0.35187186939487275</v>
      </c>
      <c r="P61" s="12">
        <f t="shared" si="2"/>
        <v>4.3983983674359094E-2</v>
      </c>
      <c r="Q61" s="13">
        <f t="shared" si="3"/>
        <v>0.02</v>
      </c>
      <c r="R61" s="7">
        <f t="shared" si="4"/>
        <v>1457002.7863997787</v>
      </c>
      <c r="S61" s="7">
        <f t="shared" si="8"/>
        <v>1574728.6115408808</v>
      </c>
      <c r="V61" s="48"/>
      <c r="W61" s="48"/>
      <c r="X61" s="48"/>
    </row>
    <row r="62" spans="1:24" x14ac:dyDescent="0.25">
      <c r="A62" s="49" t="s">
        <v>139</v>
      </c>
      <c r="B62" s="202" t="s">
        <v>140</v>
      </c>
      <c r="C62" s="5">
        <v>98697747.770774364</v>
      </c>
      <c r="D62" s="7">
        <f>(VLOOKUP(B62,'Netvolumenmål 2021'!B:S,11,0)+(VLOOKUP(B62,'Netvolumenmål 2022'!B:S,11,0)-E62))/2+E62</f>
        <v>128789172.82126167</v>
      </c>
      <c r="E62" s="7">
        <v>0</v>
      </c>
      <c r="F62" s="7">
        <v>0</v>
      </c>
      <c r="G62" s="8">
        <v>0.72234768114398396</v>
      </c>
      <c r="H62" s="9">
        <v>0.70306970229572197</v>
      </c>
      <c r="I62" s="10">
        <f t="shared" si="5"/>
        <v>0.72234768114398396</v>
      </c>
      <c r="J62" s="9">
        <v>0</v>
      </c>
      <c r="K62" s="9">
        <f t="shared" si="6"/>
        <v>0.72234768114398396</v>
      </c>
      <c r="L62" s="7">
        <f t="shared" si="7"/>
        <v>93030560.343890175</v>
      </c>
      <c r="M62" s="7">
        <f t="shared" si="9"/>
        <v>96342448.292132676</v>
      </c>
      <c r="N62" s="7">
        <f t="shared" si="0"/>
        <v>2355299.4786416888</v>
      </c>
      <c r="O62" s="11">
        <f t="shared" si="1"/>
        <v>2.3863761147943058E-2</v>
      </c>
      <c r="P62" s="12">
        <f t="shared" si="2"/>
        <v>2.9829701434928822E-3</v>
      </c>
      <c r="Q62" s="13">
        <f t="shared" si="3"/>
        <v>2.9829701434928822E-3</v>
      </c>
      <c r="R62" s="7">
        <f t="shared" si="4"/>
        <v>294412.4348302111</v>
      </c>
      <c r="S62" s="7">
        <f t="shared" si="8"/>
        <v>318200.95956449216</v>
      </c>
      <c r="V62" s="48"/>
      <c r="W62" s="48"/>
      <c r="X62" s="48"/>
    </row>
    <row r="63" spans="1:24" x14ac:dyDescent="0.25">
      <c r="A63" s="49" t="s">
        <v>141</v>
      </c>
      <c r="B63" s="202" t="s">
        <v>142</v>
      </c>
      <c r="C63" s="5">
        <v>71273167.68277806</v>
      </c>
      <c r="D63" s="7">
        <f>(VLOOKUP(B63,'Netvolumenmål 2021'!B:S,11,0)+(VLOOKUP(B63,'Netvolumenmål 2022'!B:S,11,0)-E63))/2+E63</f>
        <v>84182278.717838481</v>
      </c>
      <c r="E63" s="7">
        <v>2124962</v>
      </c>
      <c r="F63" s="7">
        <v>0</v>
      </c>
      <c r="G63" s="8">
        <v>0.993309146143456</v>
      </c>
      <c r="H63" s="9">
        <v>0.95898501631695299</v>
      </c>
      <c r="I63" s="10">
        <f t="shared" si="5"/>
        <v>0.993309146143456</v>
      </c>
      <c r="J63" s="9">
        <v>0</v>
      </c>
      <c r="K63" s="9">
        <f t="shared" si="6"/>
        <v>0.993309146143456</v>
      </c>
      <c r="L63" s="7">
        <f t="shared" si="7"/>
        <v>83619027.393626571</v>
      </c>
      <c r="M63" s="7">
        <f t="shared" si="9"/>
        <v>86595864.768839687</v>
      </c>
      <c r="N63" s="7">
        <f t="shared" si="0"/>
        <v>0</v>
      </c>
      <c r="O63" s="11">
        <f t="shared" si="1"/>
        <v>0</v>
      </c>
      <c r="P63" s="12">
        <f t="shared" si="2"/>
        <v>0</v>
      </c>
      <c r="Q63" s="13">
        <f t="shared" si="3"/>
        <v>0</v>
      </c>
      <c r="R63" s="7">
        <f t="shared" si="4"/>
        <v>0</v>
      </c>
      <c r="S63" s="7">
        <f t="shared" si="8"/>
        <v>0</v>
      </c>
      <c r="V63" s="48"/>
      <c r="W63" s="48"/>
      <c r="X63" s="48"/>
    </row>
    <row r="64" spans="1:24" x14ac:dyDescent="0.25">
      <c r="A64" s="49" t="s">
        <v>143</v>
      </c>
      <c r="B64" s="202" t="s">
        <v>144</v>
      </c>
      <c r="C64" s="5">
        <v>54514311.331836008</v>
      </c>
      <c r="D64" s="7">
        <f>(VLOOKUP(B64,'Netvolumenmål 2021'!B:S,11,0)+(VLOOKUP(B64,'Netvolumenmål 2022'!B:S,11,0)-E64))/2+E64</f>
        <v>62064914.78108862</v>
      </c>
      <c r="E64" s="7">
        <v>0</v>
      </c>
      <c r="F64" s="7">
        <v>0</v>
      </c>
      <c r="G64" s="8">
        <v>1</v>
      </c>
      <c r="H64" s="9">
        <v>0.99993409950141998</v>
      </c>
      <c r="I64" s="10">
        <f t="shared" si="5"/>
        <v>1</v>
      </c>
      <c r="J64" s="9">
        <v>0</v>
      </c>
      <c r="K64" s="9">
        <f t="shared" si="6"/>
        <v>1</v>
      </c>
      <c r="L64" s="7">
        <f t="shared" si="7"/>
        <v>62064914.78108862</v>
      </c>
      <c r="M64" s="7">
        <f t="shared" si="9"/>
        <v>64274425.74729538</v>
      </c>
      <c r="N64" s="7">
        <f t="shared" si="0"/>
        <v>0</v>
      </c>
      <c r="O64" s="11">
        <f t="shared" si="1"/>
        <v>0</v>
      </c>
      <c r="P64" s="12">
        <f t="shared" si="2"/>
        <v>0</v>
      </c>
      <c r="Q64" s="13">
        <f t="shared" si="3"/>
        <v>0</v>
      </c>
      <c r="R64" s="7">
        <f t="shared" si="4"/>
        <v>0</v>
      </c>
      <c r="S64" s="7">
        <f t="shared" si="8"/>
        <v>0</v>
      </c>
      <c r="V64" s="48"/>
      <c r="W64" s="48"/>
      <c r="X64" s="48"/>
    </row>
    <row r="65" spans="1:24" x14ac:dyDescent="0.25">
      <c r="A65" s="49" t="s">
        <v>145</v>
      </c>
      <c r="B65" s="202" t="s">
        <v>146</v>
      </c>
      <c r="C65" s="5">
        <v>52982319.388229355</v>
      </c>
      <c r="D65" s="7">
        <f>(VLOOKUP(B65,'Netvolumenmål 2021'!B:S,11,0)+(VLOOKUP(B65,'Netvolumenmål 2022'!B:S,11,0)-E65))/2+E65</f>
        <v>58612389.939628884</v>
      </c>
      <c r="E65" s="7">
        <v>223783</v>
      </c>
      <c r="F65" s="7">
        <v>0</v>
      </c>
      <c r="G65" s="8">
        <v>0.72657034112901897</v>
      </c>
      <c r="H65" s="9">
        <v>0.76204235689159605</v>
      </c>
      <c r="I65" s="10">
        <f t="shared" si="5"/>
        <v>0.76204235689159605</v>
      </c>
      <c r="J65" s="9">
        <v>0</v>
      </c>
      <c r="K65" s="9">
        <f t="shared" si="6"/>
        <v>0.76204235689159605</v>
      </c>
      <c r="L65" s="7">
        <f t="shared" si="7"/>
        <v>44665123.772644065</v>
      </c>
      <c r="M65" s="7">
        <f t="shared" si="9"/>
        <v>46255202.178950198</v>
      </c>
      <c r="N65" s="7">
        <f t="shared" si="0"/>
        <v>6727117.2092791572</v>
      </c>
      <c r="O65" s="11">
        <f t="shared" si="1"/>
        <v>0.1269690962372943</v>
      </c>
      <c r="P65" s="12">
        <f t="shared" si="2"/>
        <v>1.5871137029661787E-2</v>
      </c>
      <c r="Q65" s="13">
        <f t="shared" si="3"/>
        <v>1.5871137029661787E-2</v>
      </c>
      <c r="R65" s="7">
        <f t="shared" si="4"/>
        <v>840889.65115989454</v>
      </c>
      <c r="S65" s="7">
        <f t="shared" si="8"/>
        <v>908833.53497361403</v>
      </c>
      <c r="V65" s="48"/>
      <c r="W65" s="48"/>
      <c r="X65" s="48"/>
    </row>
    <row r="66" spans="1:24" x14ac:dyDescent="0.25">
      <c r="A66" s="49" t="s">
        <v>147</v>
      </c>
      <c r="B66" s="202" t="s">
        <v>148</v>
      </c>
      <c r="C66" s="5">
        <v>18115111.501539309</v>
      </c>
      <c r="D66" s="7">
        <f>(VLOOKUP(B66,'Netvolumenmål 2021'!B:S,11,0)+(VLOOKUP(B66,'Netvolumenmål 2022'!B:S,11,0)-E66))/2+E66</f>
        <v>21682671.629786711</v>
      </c>
      <c r="E66" s="7">
        <v>104636</v>
      </c>
      <c r="F66" s="7">
        <v>0</v>
      </c>
      <c r="G66" s="8">
        <v>0.92198944405592198</v>
      </c>
      <c r="H66" s="9">
        <v>0.71556402610501701</v>
      </c>
      <c r="I66" s="10">
        <f t="shared" si="5"/>
        <v>0.92198944405592198</v>
      </c>
      <c r="J66" s="9">
        <v>0</v>
      </c>
      <c r="K66" s="9">
        <f t="shared" si="6"/>
        <v>0.92198944405592198</v>
      </c>
      <c r="L66" s="7">
        <f t="shared" si="7"/>
        <v>19991194.361594163</v>
      </c>
      <c r="M66" s="7">
        <f t="shared" si="9"/>
        <v>20702880.880866915</v>
      </c>
      <c r="N66" s="7">
        <f t="shared" ref="N66:N103" si="10">IF(C66&gt;M66,C66-M66,0)</f>
        <v>0</v>
      </c>
      <c r="O66" s="11">
        <f t="shared" ref="O66:O103" si="11">N66/C66</f>
        <v>0</v>
      </c>
      <c r="P66" s="12">
        <f t="shared" ref="P66:P103" si="12">O66/8</f>
        <v>0</v>
      </c>
      <c r="Q66" s="13">
        <f t="shared" ref="Q66:Q103" si="13">MIN(P66,0.02)</f>
        <v>0</v>
      </c>
      <c r="R66" s="7">
        <f t="shared" ref="R66:R103" si="14">Q66*C66</f>
        <v>0</v>
      </c>
      <c r="S66" s="7">
        <f t="shared" si="8"/>
        <v>0</v>
      </c>
      <c r="V66" s="48"/>
      <c r="W66" s="48"/>
      <c r="X66" s="48"/>
    </row>
    <row r="67" spans="1:24" x14ac:dyDescent="0.25">
      <c r="A67" s="49" t="s">
        <v>149</v>
      </c>
      <c r="B67" s="202" t="s">
        <v>150</v>
      </c>
      <c r="C67" s="5">
        <v>61436464.440411441</v>
      </c>
      <c r="D67" s="7">
        <f>(VLOOKUP(B67,'Netvolumenmål 2021'!B:S,11,0)+(VLOOKUP(B67,'Netvolumenmål 2022'!B:S,11,0)-E67))/2+E67</f>
        <v>67284243.251692891</v>
      </c>
      <c r="E67" s="7">
        <v>96045</v>
      </c>
      <c r="F67" s="7">
        <v>1695880.3561133137</v>
      </c>
      <c r="G67" s="8">
        <v>0.98096576607140396</v>
      </c>
      <c r="H67" s="9">
        <v>0.97043525158190802</v>
      </c>
      <c r="I67" s="10">
        <f t="shared" ref="I67:I103" si="15">IF(B67="S088",0.6376365,MAX(G67:H67))</f>
        <v>0.98096576607140396</v>
      </c>
      <c r="J67" s="9">
        <v>0</v>
      </c>
      <c r="K67" s="9">
        <f t="shared" ref="K67:K103" si="16">I67+J67</f>
        <v>0.98096576607140396</v>
      </c>
      <c r="L67" s="7">
        <f t="shared" ref="L67:L103" si="17">K67*D67+F67*K67</f>
        <v>67667139.798631743</v>
      </c>
      <c r="M67" s="7">
        <f t="shared" si="9"/>
        <v>70076089.975463033</v>
      </c>
      <c r="N67" s="7">
        <f t="shared" si="10"/>
        <v>0</v>
      </c>
      <c r="O67" s="11">
        <f t="shared" si="11"/>
        <v>0</v>
      </c>
      <c r="P67" s="12">
        <f t="shared" si="12"/>
        <v>0</v>
      </c>
      <c r="Q67" s="13">
        <f t="shared" si="13"/>
        <v>0</v>
      </c>
      <c r="R67" s="7">
        <f t="shared" si="14"/>
        <v>0</v>
      </c>
      <c r="S67" s="7">
        <f t="shared" ref="S67:S103" si="18">R67*1.0808</f>
        <v>0</v>
      </c>
      <c r="V67" s="48"/>
      <c r="W67" s="48"/>
      <c r="X67" s="48"/>
    </row>
    <row r="68" spans="1:24" x14ac:dyDescent="0.25">
      <c r="A68" s="49" t="s">
        <v>151</v>
      </c>
      <c r="B68" s="202" t="s">
        <v>152</v>
      </c>
      <c r="C68" s="5">
        <v>145807304.86184591</v>
      </c>
      <c r="D68" s="7">
        <f>(VLOOKUP(B68,'Netvolumenmål 2021'!B:S,11,0)+(VLOOKUP(B68,'Netvolumenmål 2022'!B:S,11,0)-E68))/2+E68</f>
        <v>162784639.88008523</v>
      </c>
      <c r="E68" s="7">
        <v>1044112</v>
      </c>
      <c r="F68" s="7">
        <v>580292.05312735145</v>
      </c>
      <c r="G68" s="8">
        <v>0.86636827765271396</v>
      </c>
      <c r="H68" s="9">
        <v>0.85386401089735298</v>
      </c>
      <c r="I68" s="10">
        <f t="shared" si="15"/>
        <v>0.86636827765271396</v>
      </c>
      <c r="J68" s="9">
        <v>0</v>
      </c>
      <c r="K68" s="9">
        <f t="shared" si="16"/>
        <v>0.86636827765271396</v>
      </c>
      <c r="L68" s="7">
        <f t="shared" si="17"/>
        <v>141534194.70783025</v>
      </c>
      <c r="M68" s="7">
        <f t="shared" ref="M68:M103" si="19">1.0356*L68</f>
        <v>146572812.03942901</v>
      </c>
      <c r="N68" s="7">
        <f t="shared" si="10"/>
        <v>0</v>
      </c>
      <c r="O68" s="11">
        <f t="shared" si="11"/>
        <v>0</v>
      </c>
      <c r="P68" s="12">
        <f t="shared" si="12"/>
        <v>0</v>
      </c>
      <c r="Q68" s="13">
        <f t="shared" si="13"/>
        <v>0</v>
      </c>
      <c r="R68" s="7">
        <f t="shared" si="14"/>
        <v>0</v>
      </c>
      <c r="S68" s="7">
        <f t="shared" si="18"/>
        <v>0</v>
      </c>
      <c r="V68" s="48"/>
      <c r="W68" s="48"/>
      <c r="X68" s="48"/>
    </row>
    <row r="69" spans="1:24" x14ac:dyDescent="0.25">
      <c r="A69" s="49" t="s">
        <v>153</v>
      </c>
      <c r="B69" s="202" t="s">
        <v>154</v>
      </c>
      <c r="C69" s="5">
        <v>31920170.565577216</v>
      </c>
      <c r="D69" s="7">
        <f>(VLOOKUP(B69,'Netvolumenmål 2021'!B:S,11,0)+(VLOOKUP(B69,'Netvolumenmål 2022'!B:S,11,0)-E69))/2+E69</f>
        <v>37422581.038865</v>
      </c>
      <c r="E69" s="7">
        <v>0</v>
      </c>
      <c r="F69" s="7">
        <v>0</v>
      </c>
      <c r="G69" s="8">
        <v>0.87145597445536305</v>
      </c>
      <c r="H69" s="9">
        <v>0.86305581093073003</v>
      </c>
      <c r="I69" s="10">
        <f t="shared" si="15"/>
        <v>0.87145597445536305</v>
      </c>
      <c r="J69" s="9">
        <v>0</v>
      </c>
      <c r="K69" s="9">
        <f t="shared" si="16"/>
        <v>0.87145597445536305</v>
      </c>
      <c r="L69" s="7">
        <f t="shared" si="17"/>
        <v>32612131.825858891</v>
      </c>
      <c r="M69" s="7">
        <f t="shared" si="19"/>
        <v>33773123.718859471</v>
      </c>
      <c r="N69" s="7">
        <f t="shared" si="10"/>
        <v>0</v>
      </c>
      <c r="O69" s="11">
        <f t="shared" si="11"/>
        <v>0</v>
      </c>
      <c r="P69" s="12">
        <f t="shared" si="12"/>
        <v>0</v>
      </c>
      <c r="Q69" s="13">
        <f t="shared" si="13"/>
        <v>0</v>
      </c>
      <c r="R69" s="7">
        <f t="shared" si="14"/>
        <v>0</v>
      </c>
      <c r="S69" s="7">
        <f t="shared" si="18"/>
        <v>0</v>
      </c>
      <c r="V69" s="48"/>
      <c r="W69" s="48"/>
      <c r="X69" s="48"/>
    </row>
    <row r="70" spans="1:24" x14ac:dyDescent="0.25">
      <c r="A70" s="49" t="s">
        <v>155</v>
      </c>
      <c r="B70" s="202" t="s">
        <v>156</v>
      </c>
      <c r="C70" s="5">
        <v>65665826.085027047</v>
      </c>
      <c r="D70" s="7">
        <f>(VLOOKUP(B70,'Netvolumenmål 2021'!B:S,11,0)+(VLOOKUP(B70,'Netvolumenmål 2022'!B:S,11,0)-E70))/2+E70</f>
        <v>73496813.825569063</v>
      </c>
      <c r="E70" s="7">
        <v>2446249</v>
      </c>
      <c r="F70" s="7">
        <v>171339.20899315726</v>
      </c>
      <c r="G70" s="8">
        <v>0.75529952414053803</v>
      </c>
      <c r="H70" s="9">
        <v>0.75588613361606305</v>
      </c>
      <c r="I70" s="10">
        <f t="shared" si="15"/>
        <v>0.75588613361606305</v>
      </c>
      <c r="J70" s="9">
        <v>0</v>
      </c>
      <c r="K70" s="9">
        <f t="shared" si="16"/>
        <v>0.75588613361606305</v>
      </c>
      <c r="L70" s="7">
        <f t="shared" si="17"/>
        <v>55684735.367931679</v>
      </c>
      <c r="M70" s="7">
        <f t="shared" si="19"/>
        <v>57667111.947030053</v>
      </c>
      <c r="N70" s="7">
        <f t="shared" si="10"/>
        <v>7998714.137996994</v>
      </c>
      <c r="O70" s="11">
        <f t="shared" si="11"/>
        <v>0.12180938876242722</v>
      </c>
      <c r="P70" s="12">
        <f t="shared" si="12"/>
        <v>1.5226173595303403E-2</v>
      </c>
      <c r="Q70" s="13">
        <f t="shared" si="13"/>
        <v>1.5226173595303403E-2</v>
      </c>
      <c r="R70" s="7">
        <f t="shared" si="14"/>
        <v>999839.26724962424</v>
      </c>
      <c r="S70" s="7">
        <f t="shared" si="18"/>
        <v>1080626.2800433938</v>
      </c>
      <c r="V70" s="48"/>
      <c r="W70" s="48"/>
      <c r="X70" s="48"/>
    </row>
    <row r="71" spans="1:24" x14ac:dyDescent="0.25">
      <c r="A71" s="49" t="s">
        <v>157</v>
      </c>
      <c r="B71" s="202" t="s">
        <v>158</v>
      </c>
      <c r="C71" s="5">
        <v>149984904.16167855</v>
      </c>
      <c r="D71" s="7">
        <f>(VLOOKUP(B71,'Netvolumenmål 2021'!B:S,11,0)+(VLOOKUP(B71,'Netvolumenmål 2022'!B:S,11,0)-E71))/2+E71</f>
        <v>172210414.72571474</v>
      </c>
      <c r="E71" s="7">
        <v>-312447.01190000004</v>
      </c>
      <c r="F71" s="7">
        <v>103892.97921535248</v>
      </c>
      <c r="G71" s="8">
        <v>0.92115330322224798</v>
      </c>
      <c r="H71" s="9">
        <v>0.90627268401745498</v>
      </c>
      <c r="I71" s="10">
        <f t="shared" si="15"/>
        <v>0.92115330322224798</v>
      </c>
      <c r="J71" s="9">
        <v>0</v>
      </c>
      <c r="K71" s="9">
        <f t="shared" si="16"/>
        <v>0.92115330322224798</v>
      </c>
      <c r="L71" s="7">
        <f t="shared" si="17"/>
        <v>158727893.73485121</v>
      </c>
      <c r="M71" s="7">
        <f t="shared" si="19"/>
        <v>164378606.75181192</v>
      </c>
      <c r="N71" s="7">
        <f t="shared" si="10"/>
        <v>0</v>
      </c>
      <c r="O71" s="11">
        <f t="shared" si="11"/>
        <v>0</v>
      </c>
      <c r="P71" s="12">
        <f t="shared" si="12"/>
        <v>0</v>
      </c>
      <c r="Q71" s="13">
        <f t="shared" si="13"/>
        <v>0</v>
      </c>
      <c r="R71" s="7">
        <f t="shared" si="14"/>
        <v>0</v>
      </c>
      <c r="S71" s="7">
        <f t="shared" si="18"/>
        <v>0</v>
      </c>
      <c r="V71" s="48"/>
      <c r="W71" s="48"/>
      <c r="X71" s="48"/>
    </row>
    <row r="72" spans="1:24" x14ac:dyDescent="0.25">
      <c r="A72" s="49" t="s">
        <v>159</v>
      </c>
      <c r="B72" s="202" t="s">
        <v>160</v>
      </c>
      <c r="C72" s="5">
        <v>52760266.432066396</v>
      </c>
      <c r="D72" s="7">
        <f>(VLOOKUP(B72,'Netvolumenmål 2021'!B:S,11,0)+(VLOOKUP(B72,'Netvolumenmål 2022'!B:S,11,0)-E72))/2+E72</f>
        <v>59424080.379569948</v>
      </c>
      <c r="E72" s="7">
        <v>1260110</v>
      </c>
      <c r="F72" s="7">
        <v>0</v>
      </c>
      <c r="G72" s="8">
        <v>0.83906280650592802</v>
      </c>
      <c r="H72" s="9">
        <v>0.80181294236325895</v>
      </c>
      <c r="I72" s="10">
        <f t="shared" si="15"/>
        <v>0.83906280650592802</v>
      </c>
      <c r="J72" s="9">
        <v>0</v>
      </c>
      <c r="K72" s="9">
        <f t="shared" si="16"/>
        <v>0.83906280650592802</v>
      </c>
      <c r="L72" s="7">
        <f t="shared" si="17"/>
        <v>49860535.657315813</v>
      </c>
      <c r="M72" s="7">
        <f t="shared" si="19"/>
        <v>51635570.726716258</v>
      </c>
      <c r="N72" s="7">
        <f t="shared" si="10"/>
        <v>1124695.7053501382</v>
      </c>
      <c r="O72" s="11">
        <f t="shared" si="11"/>
        <v>2.1317096773919544E-2</v>
      </c>
      <c r="P72" s="12">
        <f t="shared" si="12"/>
        <v>2.664637096739943E-3</v>
      </c>
      <c r="Q72" s="13">
        <f t="shared" si="13"/>
        <v>2.664637096739943E-3</v>
      </c>
      <c r="R72" s="7">
        <f t="shared" si="14"/>
        <v>140586.96316876728</v>
      </c>
      <c r="S72" s="7">
        <f t="shared" si="18"/>
        <v>151946.38979280367</v>
      </c>
      <c r="V72" s="48"/>
      <c r="W72" s="48"/>
      <c r="X72" s="48"/>
    </row>
    <row r="73" spans="1:24" x14ac:dyDescent="0.25">
      <c r="A73" s="49" t="s">
        <v>161</v>
      </c>
      <c r="B73" s="202" t="s">
        <v>162</v>
      </c>
      <c r="C73" s="5">
        <v>73157542.708249107</v>
      </c>
      <c r="D73" s="7">
        <f>(VLOOKUP(B73,'Netvolumenmål 2021'!B:S,11,0)+(VLOOKUP(B73,'Netvolumenmål 2022'!B:S,11,0)-E73))/2+E73</f>
        <v>85773178.205375254</v>
      </c>
      <c r="E73" s="7">
        <v>699845</v>
      </c>
      <c r="F73" s="7">
        <v>0</v>
      </c>
      <c r="G73" s="8">
        <v>0.90731189106593002</v>
      </c>
      <c r="H73" s="9">
        <v>0.86269254712586996</v>
      </c>
      <c r="I73" s="10">
        <f t="shared" si="15"/>
        <v>0.90731189106593002</v>
      </c>
      <c r="J73" s="9">
        <v>0</v>
      </c>
      <c r="K73" s="9">
        <f t="shared" si="16"/>
        <v>0.90731189106593002</v>
      </c>
      <c r="L73" s="7">
        <f t="shared" si="17"/>
        <v>77823024.520254031</v>
      </c>
      <c r="M73" s="7">
        <f t="shared" si="19"/>
        <v>80593524.193175077</v>
      </c>
      <c r="N73" s="7">
        <f t="shared" si="10"/>
        <v>0</v>
      </c>
      <c r="O73" s="11">
        <f t="shared" si="11"/>
        <v>0</v>
      </c>
      <c r="P73" s="12">
        <f t="shared" si="12"/>
        <v>0</v>
      </c>
      <c r="Q73" s="13">
        <f t="shared" si="13"/>
        <v>0</v>
      </c>
      <c r="R73" s="7">
        <f t="shared" si="14"/>
        <v>0</v>
      </c>
      <c r="S73" s="7">
        <f t="shared" si="18"/>
        <v>0</v>
      </c>
      <c r="V73" s="48"/>
      <c r="W73" s="48"/>
      <c r="X73" s="48"/>
    </row>
    <row r="74" spans="1:24" x14ac:dyDescent="0.25">
      <c r="A74" s="49" t="s">
        <v>163</v>
      </c>
      <c r="B74" s="202" t="s">
        <v>164</v>
      </c>
      <c r="C74" s="5">
        <v>16983462.692229878</v>
      </c>
      <c r="D74" s="7">
        <f>(VLOOKUP(B74,'Netvolumenmål 2021'!B:S,11,0)+(VLOOKUP(B74,'Netvolumenmål 2022'!B:S,11,0)-E74))/2+E74</f>
        <v>18396328.592023026</v>
      </c>
      <c r="E74" s="7">
        <v>197351</v>
      </c>
      <c r="F74" s="7">
        <v>0</v>
      </c>
      <c r="G74" s="8">
        <v>1</v>
      </c>
      <c r="H74" s="9">
        <v>0.97683058387517796</v>
      </c>
      <c r="I74" s="10">
        <f t="shared" si="15"/>
        <v>1</v>
      </c>
      <c r="J74" s="9">
        <v>0</v>
      </c>
      <c r="K74" s="9">
        <f t="shared" si="16"/>
        <v>1</v>
      </c>
      <c r="L74" s="7">
        <f t="shared" si="17"/>
        <v>18396328.592023026</v>
      </c>
      <c r="M74" s="7">
        <f t="shared" si="19"/>
        <v>19051237.889899049</v>
      </c>
      <c r="N74" s="7">
        <f t="shared" si="10"/>
        <v>0</v>
      </c>
      <c r="O74" s="11">
        <f t="shared" si="11"/>
        <v>0</v>
      </c>
      <c r="P74" s="12">
        <f t="shared" si="12"/>
        <v>0</v>
      </c>
      <c r="Q74" s="13">
        <f t="shared" si="13"/>
        <v>0</v>
      </c>
      <c r="R74" s="7">
        <f t="shared" si="14"/>
        <v>0</v>
      </c>
      <c r="S74" s="7">
        <f t="shared" si="18"/>
        <v>0</v>
      </c>
      <c r="V74" s="48"/>
      <c r="W74" s="48"/>
      <c r="X74" s="48"/>
    </row>
    <row r="75" spans="1:24" x14ac:dyDescent="0.25">
      <c r="A75" s="49" t="s">
        <v>165</v>
      </c>
      <c r="B75" s="202" t="s">
        <v>166</v>
      </c>
      <c r="C75" s="5">
        <v>62989399.94682277</v>
      </c>
      <c r="D75" s="7">
        <f>(VLOOKUP(B75,'Netvolumenmål 2021'!B:S,11,0)+(VLOOKUP(B75,'Netvolumenmål 2022'!B:S,11,0)-E75))/2+E75</f>
        <v>70877867.828878999</v>
      </c>
      <c r="E75" s="7">
        <v>394034.43499999982</v>
      </c>
      <c r="F75" s="7">
        <v>606702.18215464137</v>
      </c>
      <c r="G75" s="8">
        <v>0.76859689086952199</v>
      </c>
      <c r="H75" s="9">
        <v>0.773168080485922</v>
      </c>
      <c r="I75" s="10">
        <f t="shared" si="15"/>
        <v>0.773168080485922</v>
      </c>
      <c r="J75" s="9">
        <v>0</v>
      </c>
      <c r="K75" s="9">
        <f t="shared" si="16"/>
        <v>0.773168080485922</v>
      </c>
      <c r="L75" s="7">
        <f t="shared" si="17"/>
        <v>55269587.779792383</v>
      </c>
      <c r="M75" s="7">
        <f t="shared" si="19"/>
        <v>57237185.104752995</v>
      </c>
      <c r="N75" s="7">
        <f t="shared" si="10"/>
        <v>5752214.8420697749</v>
      </c>
      <c r="O75" s="11">
        <f t="shared" si="11"/>
        <v>9.1320362583640083E-2</v>
      </c>
      <c r="P75" s="12">
        <f t="shared" si="12"/>
        <v>1.141504532295501E-2</v>
      </c>
      <c r="Q75" s="13">
        <f t="shared" si="13"/>
        <v>1.141504532295501E-2</v>
      </c>
      <c r="R75" s="7">
        <f t="shared" si="14"/>
        <v>719026.85525872186</v>
      </c>
      <c r="S75" s="7">
        <f t="shared" si="18"/>
        <v>777124.2251636266</v>
      </c>
      <c r="V75" s="48"/>
      <c r="W75" s="48"/>
      <c r="X75" s="48"/>
    </row>
    <row r="76" spans="1:24" x14ac:dyDescent="0.25">
      <c r="A76" s="49" t="s">
        <v>167</v>
      </c>
      <c r="B76" s="202" t="s">
        <v>168</v>
      </c>
      <c r="C76" s="5">
        <v>124010818.26015157</v>
      </c>
      <c r="D76" s="7">
        <f>(VLOOKUP(B76,'Netvolumenmål 2021'!B:S,11,0)+(VLOOKUP(B76,'Netvolumenmål 2022'!B:S,11,0)-E76))/2+E76</f>
        <v>158404480.2657069</v>
      </c>
      <c r="E76" s="7">
        <v>184213</v>
      </c>
      <c r="F76" s="7">
        <v>1982087.5439933855</v>
      </c>
      <c r="G76" s="8">
        <v>0.72279054238229401</v>
      </c>
      <c r="H76" s="9">
        <v>0.72888174583380005</v>
      </c>
      <c r="I76" s="10">
        <f t="shared" si="15"/>
        <v>0.72888174583380005</v>
      </c>
      <c r="J76" s="9">
        <v>0</v>
      </c>
      <c r="K76" s="9">
        <f t="shared" si="16"/>
        <v>0.72888174583380005</v>
      </c>
      <c r="L76" s="7">
        <f t="shared" si="17"/>
        <v>116902841.55342551</v>
      </c>
      <c r="M76" s="7">
        <f t="shared" si="19"/>
        <v>121064582.71272746</v>
      </c>
      <c r="N76" s="7">
        <f t="shared" si="10"/>
        <v>2946235.5474241078</v>
      </c>
      <c r="O76" s="11">
        <f t="shared" si="11"/>
        <v>2.3757891357860852E-2</v>
      </c>
      <c r="P76" s="12">
        <f t="shared" si="12"/>
        <v>2.9697364197326065E-3</v>
      </c>
      <c r="Q76" s="13">
        <f t="shared" si="13"/>
        <v>2.9697364197326065E-3</v>
      </c>
      <c r="R76" s="7">
        <f t="shared" si="14"/>
        <v>368279.44342801347</v>
      </c>
      <c r="S76" s="7">
        <f t="shared" si="18"/>
        <v>398036.42245699698</v>
      </c>
      <c r="V76" s="48"/>
      <c r="W76" s="48"/>
      <c r="X76" s="48"/>
    </row>
    <row r="77" spans="1:24" x14ac:dyDescent="0.25">
      <c r="A77" s="49" t="s">
        <v>169</v>
      </c>
      <c r="B77" s="202" t="s">
        <v>170</v>
      </c>
      <c r="C77" s="5">
        <v>59707019.214424036</v>
      </c>
      <c r="D77" s="7">
        <f>(VLOOKUP(B77,'Netvolumenmål 2021'!B:S,11,0)+(VLOOKUP(B77,'Netvolumenmål 2022'!B:S,11,0)-E77))/2+E77</f>
        <v>64168476.872999705</v>
      </c>
      <c r="E77" s="7">
        <v>1785780.6157</v>
      </c>
      <c r="F77" s="7">
        <v>0</v>
      </c>
      <c r="G77" s="8">
        <v>0.93995636242356695</v>
      </c>
      <c r="H77" s="9">
        <v>0.93549104366056501</v>
      </c>
      <c r="I77" s="10">
        <f t="shared" si="15"/>
        <v>0.93995636242356695</v>
      </c>
      <c r="J77" s="9">
        <v>0</v>
      </c>
      <c r="K77" s="9">
        <f t="shared" si="16"/>
        <v>0.93995636242356695</v>
      </c>
      <c r="L77" s="7">
        <f t="shared" si="17"/>
        <v>60315568.103805587</v>
      </c>
      <c r="M77" s="7">
        <f t="shared" si="19"/>
        <v>62462802.328301072</v>
      </c>
      <c r="N77" s="7">
        <f t="shared" si="10"/>
        <v>0</v>
      </c>
      <c r="O77" s="11">
        <f t="shared" si="11"/>
        <v>0</v>
      </c>
      <c r="P77" s="12">
        <f t="shared" si="12"/>
        <v>0</v>
      </c>
      <c r="Q77" s="13">
        <f t="shared" si="13"/>
        <v>0</v>
      </c>
      <c r="R77" s="7">
        <f t="shared" si="14"/>
        <v>0</v>
      </c>
      <c r="S77" s="7">
        <f t="shared" si="18"/>
        <v>0</v>
      </c>
      <c r="V77" s="48"/>
      <c r="W77" s="48"/>
      <c r="X77" s="48"/>
    </row>
    <row r="78" spans="1:24" x14ac:dyDescent="0.25">
      <c r="A78" s="49" t="s">
        <v>171</v>
      </c>
      <c r="B78" s="202" t="s">
        <v>172</v>
      </c>
      <c r="C78" s="5">
        <v>143245228.45107713</v>
      </c>
      <c r="D78" s="7">
        <f>(VLOOKUP(B78,'Netvolumenmål 2021'!B:S,11,0)+(VLOOKUP(B78,'Netvolumenmål 2022'!B:S,11,0)-E78))/2+E78</f>
        <v>163791285.78724325</v>
      </c>
      <c r="E78" s="7">
        <v>2659377</v>
      </c>
      <c r="F78" s="7">
        <v>0</v>
      </c>
      <c r="G78" s="8">
        <v>0.89353727306852704</v>
      </c>
      <c r="H78" s="9">
        <v>0.87881144489996099</v>
      </c>
      <c r="I78" s="10">
        <f t="shared" si="15"/>
        <v>0.89353727306852704</v>
      </c>
      <c r="J78" s="9">
        <v>0</v>
      </c>
      <c r="K78" s="9">
        <f t="shared" si="16"/>
        <v>0.89353727306852704</v>
      </c>
      <c r="L78" s="7">
        <f t="shared" si="17"/>
        <v>146353618.85472113</v>
      </c>
      <c r="M78" s="7">
        <f t="shared" si="19"/>
        <v>151563807.68594921</v>
      </c>
      <c r="N78" s="7">
        <f t="shared" si="10"/>
        <v>0</v>
      </c>
      <c r="O78" s="11">
        <f t="shared" si="11"/>
        <v>0</v>
      </c>
      <c r="P78" s="12">
        <f t="shared" si="12"/>
        <v>0</v>
      </c>
      <c r="Q78" s="13">
        <f t="shared" si="13"/>
        <v>0</v>
      </c>
      <c r="R78" s="7">
        <f t="shared" si="14"/>
        <v>0</v>
      </c>
      <c r="S78" s="7">
        <f t="shared" si="18"/>
        <v>0</v>
      </c>
      <c r="V78" s="48"/>
      <c r="W78" s="48"/>
      <c r="X78" s="48"/>
    </row>
    <row r="79" spans="1:24" x14ac:dyDescent="0.25">
      <c r="A79" s="49" t="s">
        <v>173</v>
      </c>
      <c r="B79" s="202" t="s">
        <v>174</v>
      </c>
      <c r="C79" s="5">
        <v>139141996.07074994</v>
      </c>
      <c r="D79" s="7">
        <f>(VLOOKUP(B79,'Netvolumenmål 2021'!B:S,11,0)+(VLOOKUP(B79,'Netvolumenmål 2022'!B:S,11,0)-E79))/2+E79</f>
        <v>157851554.37188882</v>
      </c>
      <c r="E79" s="7">
        <v>4225117.68</v>
      </c>
      <c r="F79" s="7">
        <v>0</v>
      </c>
      <c r="G79" s="8">
        <v>0.98486984100349795</v>
      </c>
      <c r="H79" s="9">
        <v>0.97385906243420695</v>
      </c>
      <c r="I79" s="10">
        <f t="shared" si="15"/>
        <v>0.98486984100349795</v>
      </c>
      <c r="J79" s="9">
        <v>0</v>
      </c>
      <c r="K79" s="9">
        <f t="shared" si="16"/>
        <v>0.98486984100349795</v>
      </c>
      <c r="L79" s="7">
        <f t="shared" si="17"/>
        <v>155463235.25639716</v>
      </c>
      <c r="M79" s="7">
        <f t="shared" si="19"/>
        <v>160997726.4315249</v>
      </c>
      <c r="N79" s="7">
        <f t="shared" si="10"/>
        <v>0</v>
      </c>
      <c r="O79" s="11">
        <f t="shared" si="11"/>
        <v>0</v>
      </c>
      <c r="P79" s="12">
        <f t="shared" si="12"/>
        <v>0</v>
      </c>
      <c r="Q79" s="13">
        <f t="shared" si="13"/>
        <v>0</v>
      </c>
      <c r="R79" s="7">
        <f t="shared" si="14"/>
        <v>0</v>
      </c>
      <c r="S79" s="7">
        <f t="shared" si="18"/>
        <v>0</v>
      </c>
      <c r="V79" s="48"/>
      <c r="W79" s="48"/>
      <c r="X79" s="48"/>
    </row>
    <row r="80" spans="1:24" x14ac:dyDescent="0.25">
      <c r="A80" s="49" t="s">
        <v>175</v>
      </c>
      <c r="B80" s="202" t="s">
        <v>176</v>
      </c>
      <c r="C80" s="5">
        <v>110092640.11947823</v>
      </c>
      <c r="D80" s="7">
        <f>(VLOOKUP(B80,'Netvolumenmål 2021'!B:S,11,0)+(VLOOKUP(B80,'Netvolumenmål 2022'!B:S,11,0)-E80))/2+E80</f>
        <v>125655751.24811871</v>
      </c>
      <c r="E80" s="7">
        <v>7051192.5407999996</v>
      </c>
      <c r="F80" s="7">
        <v>589114.68358511338</v>
      </c>
      <c r="G80" s="8">
        <v>0.72913974208521304</v>
      </c>
      <c r="H80" s="9">
        <v>0.72362289958016002</v>
      </c>
      <c r="I80" s="10">
        <f t="shared" si="15"/>
        <v>0.72913974208521304</v>
      </c>
      <c r="J80" s="9">
        <v>0</v>
      </c>
      <c r="K80" s="9">
        <f t="shared" si="16"/>
        <v>0.72913974208521304</v>
      </c>
      <c r="L80" s="7">
        <f t="shared" si="17"/>
        <v>92050148.985024825</v>
      </c>
      <c r="M80" s="7">
        <f t="shared" si="19"/>
        <v>95327134.288891718</v>
      </c>
      <c r="N80" s="7">
        <f t="shared" si="10"/>
        <v>14765505.830586508</v>
      </c>
      <c r="O80" s="11">
        <f t="shared" si="11"/>
        <v>0.1341189185268172</v>
      </c>
      <c r="P80" s="12">
        <f t="shared" si="12"/>
        <v>1.6764864815852151E-2</v>
      </c>
      <c r="Q80" s="13">
        <f t="shared" si="13"/>
        <v>1.6764864815852151E-2</v>
      </c>
      <c r="R80" s="7">
        <f t="shared" si="14"/>
        <v>1845688.2288233135</v>
      </c>
      <c r="S80" s="7">
        <f t="shared" si="18"/>
        <v>1994819.8377122371</v>
      </c>
      <c r="V80" s="48"/>
      <c r="W80" s="48"/>
      <c r="X80" s="48"/>
    </row>
    <row r="81" spans="1:24" x14ac:dyDescent="0.25">
      <c r="A81" s="49" t="s">
        <v>177</v>
      </c>
      <c r="B81" s="202" t="s">
        <v>178</v>
      </c>
      <c r="C81" s="5">
        <v>74066287.74204503</v>
      </c>
      <c r="D81" s="7">
        <f>(VLOOKUP(B81,'Netvolumenmål 2021'!B:S,11,0)+(VLOOKUP(B81,'Netvolumenmål 2022'!B:S,11,0)-E81))/2+E81</f>
        <v>91428219.058497876</v>
      </c>
      <c r="E81" s="7">
        <v>-656412.26620000019</v>
      </c>
      <c r="F81" s="7">
        <v>162820.6436864</v>
      </c>
      <c r="G81" s="8">
        <v>0.81408663840756301</v>
      </c>
      <c r="H81" s="9">
        <v>0.80813037917387298</v>
      </c>
      <c r="I81" s="10">
        <f t="shared" si="15"/>
        <v>0.81408663840756301</v>
      </c>
      <c r="J81" s="9">
        <v>0</v>
      </c>
      <c r="K81" s="9">
        <f t="shared" si="16"/>
        <v>0.81408663840756301</v>
      </c>
      <c r="L81" s="7">
        <f t="shared" si="17"/>
        <v>74563041.619404837</v>
      </c>
      <c r="M81" s="7">
        <f t="shared" si="19"/>
        <v>77217485.901055649</v>
      </c>
      <c r="N81" s="7">
        <f t="shared" si="10"/>
        <v>0</v>
      </c>
      <c r="O81" s="11">
        <f t="shared" si="11"/>
        <v>0</v>
      </c>
      <c r="P81" s="12">
        <f t="shared" si="12"/>
        <v>0</v>
      </c>
      <c r="Q81" s="13">
        <f t="shared" si="13"/>
        <v>0</v>
      </c>
      <c r="R81" s="7">
        <f t="shared" si="14"/>
        <v>0</v>
      </c>
      <c r="S81" s="7">
        <f t="shared" si="18"/>
        <v>0</v>
      </c>
      <c r="V81" s="48"/>
      <c r="W81" s="48"/>
      <c r="X81" s="48"/>
    </row>
    <row r="82" spans="1:24" x14ac:dyDescent="0.25">
      <c r="A82" s="49" t="s">
        <v>179</v>
      </c>
      <c r="B82" s="202" t="s">
        <v>180</v>
      </c>
      <c r="C82" s="5">
        <v>31292307.570132248</v>
      </c>
      <c r="D82" s="7">
        <f>(VLOOKUP(B82,'Netvolumenmål 2021'!B:S,11,0)+(VLOOKUP(B82,'Netvolumenmål 2022'!B:S,11,0)-E82))/2+E82</f>
        <v>35971516.236430354</v>
      </c>
      <c r="E82" s="7">
        <v>832291</v>
      </c>
      <c r="F82" s="7">
        <v>0</v>
      </c>
      <c r="G82" s="8">
        <v>0.86663116025750997</v>
      </c>
      <c r="H82" s="9">
        <v>0.85246563371306106</v>
      </c>
      <c r="I82" s="10">
        <f t="shared" si="15"/>
        <v>0.86663116025750997</v>
      </c>
      <c r="J82" s="9">
        <v>0</v>
      </c>
      <c r="K82" s="9">
        <f t="shared" si="16"/>
        <v>0.86663116025750997</v>
      </c>
      <c r="L82" s="7">
        <f t="shared" si="17"/>
        <v>31174036.852199495</v>
      </c>
      <c r="M82" s="7">
        <f t="shared" si="19"/>
        <v>32283832.564137798</v>
      </c>
      <c r="N82" s="7">
        <f t="shared" si="10"/>
        <v>0</v>
      </c>
      <c r="O82" s="11">
        <f t="shared" si="11"/>
        <v>0</v>
      </c>
      <c r="P82" s="12">
        <f t="shared" si="12"/>
        <v>0</v>
      </c>
      <c r="Q82" s="13">
        <f t="shared" si="13"/>
        <v>0</v>
      </c>
      <c r="R82" s="7">
        <f t="shared" si="14"/>
        <v>0</v>
      </c>
      <c r="S82" s="7">
        <f t="shared" si="18"/>
        <v>0</v>
      </c>
      <c r="V82" s="48"/>
      <c r="W82" s="48"/>
      <c r="X82" s="48"/>
    </row>
    <row r="83" spans="1:24" x14ac:dyDescent="0.25">
      <c r="A83" s="49" t="s">
        <v>181</v>
      </c>
      <c r="B83" s="202" t="s">
        <v>182</v>
      </c>
      <c r="C83" s="5">
        <v>46777829.905893527</v>
      </c>
      <c r="D83" s="7">
        <f>(VLOOKUP(B83,'Netvolumenmål 2021'!B:S,11,0)+(VLOOKUP(B83,'Netvolumenmål 2022'!B:S,11,0)-E83))/2+E83</f>
        <v>57416534.418848179</v>
      </c>
      <c r="E83" s="7">
        <v>4866</v>
      </c>
      <c r="F83" s="7">
        <v>0</v>
      </c>
      <c r="G83" s="8" t="e">
        <v>#N/A</v>
      </c>
      <c r="H83" s="9" t="e">
        <v>#N/A</v>
      </c>
      <c r="I83" s="10">
        <f t="shared" si="15"/>
        <v>0.63763650000000005</v>
      </c>
      <c r="J83" s="9">
        <v>0</v>
      </c>
      <c r="K83" s="9">
        <f t="shared" si="16"/>
        <v>0.63763650000000005</v>
      </c>
      <c r="L83" s="7">
        <f t="shared" si="17"/>
        <v>36610878.048963889</v>
      </c>
      <c r="M83" s="7">
        <f t="shared" si="19"/>
        <v>37914225.307507008</v>
      </c>
      <c r="N83" s="7">
        <f t="shared" si="10"/>
        <v>8863604.5983865187</v>
      </c>
      <c r="O83" s="11">
        <f t="shared" si="11"/>
        <v>0.1894830225390553</v>
      </c>
      <c r="P83" s="12">
        <f t="shared" si="12"/>
        <v>2.3685377817381913E-2</v>
      </c>
      <c r="Q83" s="13">
        <f t="shared" si="13"/>
        <v>0.02</v>
      </c>
      <c r="R83" s="7">
        <f t="shared" si="14"/>
        <v>935556.59811787051</v>
      </c>
      <c r="S83" s="7">
        <f t="shared" si="18"/>
        <v>1011149.5712457944</v>
      </c>
      <c r="V83" s="48"/>
      <c r="W83" s="48"/>
      <c r="X83" s="48"/>
    </row>
    <row r="84" spans="1:24" x14ac:dyDescent="0.25">
      <c r="A84" s="49" t="s">
        <v>183</v>
      </c>
      <c r="B84" s="202" t="s">
        <v>184</v>
      </c>
      <c r="C84" s="5">
        <v>48633102.918479718</v>
      </c>
      <c r="D84" s="7">
        <f>(VLOOKUP(B84,'Netvolumenmål 2021'!B:S,11,0)+(VLOOKUP(B84,'Netvolumenmål 2022'!B:S,11,0)-E84))/2+E84</f>
        <v>57340096.714089625</v>
      </c>
      <c r="E84" s="7">
        <v>2250115</v>
      </c>
      <c r="F84" s="7">
        <v>1226810.4958360195</v>
      </c>
      <c r="G84" s="8">
        <v>0.77475534342004204</v>
      </c>
      <c r="H84" s="9">
        <v>0.77060716588758504</v>
      </c>
      <c r="I84" s="10">
        <f t="shared" si="15"/>
        <v>0.77475534342004204</v>
      </c>
      <c r="J84" s="9">
        <v>0</v>
      </c>
      <c r="K84" s="9">
        <f t="shared" si="16"/>
        <v>0.77475534342004204</v>
      </c>
      <c r="L84" s="7">
        <f t="shared" si="17"/>
        <v>45375024.308475673</v>
      </c>
      <c r="M84" s="7">
        <f t="shared" si="19"/>
        <v>46990375.173857413</v>
      </c>
      <c r="N84" s="7">
        <f>IF(C84&gt;M84,C84-M84,0)</f>
        <v>1642727.744622305</v>
      </c>
      <c r="O84" s="11">
        <f>N84/C84</f>
        <v>3.3777975207049712E-2</v>
      </c>
      <c r="P84" s="12">
        <f>O84/8</f>
        <v>4.2222469008812141E-3</v>
      </c>
      <c r="Q84" s="13">
        <f>MIN(P84,0.02)</f>
        <v>4.2222469008812141E-3</v>
      </c>
      <c r="R84" s="7">
        <f t="shared" si="14"/>
        <v>205340.96807778813</v>
      </c>
      <c r="S84" s="7">
        <f t="shared" si="18"/>
        <v>221932.51829847341</v>
      </c>
      <c r="V84" s="48"/>
      <c r="W84" s="48"/>
      <c r="X84" s="48"/>
    </row>
    <row r="85" spans="1:24" x14ac:dyDescent="0.25">
      <c r="A85" s="49" t="s">
        <v>185</v>
      </c>
      <c r="B85" s="202" t="s">
        <v>186</v>
      </c>
      <c r="C85" s="5">
        <v>31692877.132947702</v>
      </c>
      <c r="D85" s="7">
        <f>(VLOOKUP(B85,'Netvolumenmål 2021'!B:S,11,0)+(VLOOKUP(B85,'Netvolumenmål 2022'!B:S,11,0)-E85))/2+E85</f>
        <v>39145976.683416203</v>
      </c>
      <c r="E85" s="7">
        <v>0</v>
      </c>
      <c r="F85" s="7">
        <v>0</v>
      </c>
      <c r="G85" s="8">
        <v>0.96261170990007505</v>
      </c>
      <c r="H85" s="9">
        <v>0.954157684040704</v>
      </c>
      <c r="I85" s="10">
        <f t="shared" si="15"/>
        <v>0.96261170990007505</v>
      </c>
      <c r="J85" s="9">
        <v>0</v>
      </c>
      <c r="K85" s="9">
        <f t="shared" si="16"/>
        <v>0.96261170990007505</v>
      </c>
      <c r="L85" s="7">
        <f t="shared" si="17"/>
        <v>37682375.550931737</v>
      </c>
      <c r="M85" s="7">
        <f t="shared" si="19"/>
        <v>39023868.12054491</v>
      </c>
      <c r="N85" s="7">
        <f t="shared" si="10"/>
        <v>0</v>
      </c>
      <c r="O85" s="11">
        <f t="shared" si="11"/>
        <v>0</v>
      </c>
      <c r="P85" s="12">
        <f t="shared" si="12"/>
        <v>0</v>
      </c>
      <c r="Q85" s="13">
        <f t="shared" si="13"/>
        <v>0</v>
      </c>
      <c r="R85" s="7">
        <f t="shared" si="14"/>
        <v>0</v>
      </c>
      <c r="S85" s="7">
        <f t="shared" si="18"/>
        <v>0</v>
      </c>
      <c r="V85" s="48"/>
      <c r="W85" s="48"/>
      <c r="X85" s="48"/>
    </row>
    <row r="86" spans="1:24" x14ac:dyDescent="0.25">
      <c r="A86" s="49" t="s">
        <v>187</v>
      </c>
      <c r="B86" s="202" t="s">
        <v>188</v>
      </c>
      <c r="C86" s="5">
        <v>98052051.677298456</v>
      </c>
      <c r="D86" s="7">
        <f>(VLOOKUP(B86,'Netvolumenmål 2021'!B:S,11,0)+(VLOOKUP(B86,'Netvolumenmål 2022'!B:S,11,0)-E86))/2+E86</f>
        <v>121712416.84731129</v>
      </c>
      <c r="E86" s="7">
        <v>315707</v>
      </c>
      <c r="F86" s="7">
        <v>0</v>
      </c>
      <c r="G86" s="8">
        <v>0.79558740135259198</v>
      </c>
      <c r="H86" s="9">
        <v>0.79198911608005795</v>
      </c>
      <c r="I86" s="10">
        <f t="shared" si="15"/>
        <v>0.79558740135259198</v>
      </c>
      <c r="J86" s="9">
        <v>0</v>
      </c>
      <c r="K86" s="9">
        <f t="shared" si="16"/>
        <v>0.79558740135259198</v>
      </c>
      <c r="L86" s="7">
        <f t="shared" si="17"/>
        <v>96832865.431895822</v>
      </c>
      <c r="M86" s="7">
        <f t="shared" si="19"/>
        <v>100280115.44127132</v>
      </c>
      <c r="N86" s="7">
        <f t="shared" si="10"/>
        <v>0</v>
      </c>
      <c r="O86" s="11">
        <f t="shared" si="11"/>
        <v>0</v>
      </c>
      <c r="P86" s="12">
        <f t="shared" si="12"/>
        <v>0</v>
      </c>
      <c r="Q86" s="13">
        <f t="shared" si="13"/>
        <v>0</v>
      </c>
      <c r="R86" s="7">
        <f t="shared" si="14"/>
        <v>0</v>
      </c>
      <c r="S86" s="7">
        <f t="shared" si="18"/>
        <v>0</v>
      </c>
      <c r="V86" s="48"/>
      <c r="W86" s="48"/>
      <c r="X86" s="48"/>
    </row>
    <row r="87" spans="1:24" x14ac:dyDescent="0.25">
      <c r="A87" s="49" t="s">
        <v>189</v>
      </c>
      <c r="B87" s="202" t="s">
        <v>190</v>
      </c>
      <c r="C87" s="5">
        <v>77224394.558046475</v>
      </c>
      <c r="D87" s="7">
        <f>(VLOOKUP(B87,'Netvolumenmål 2021'!B:S,11,0)+(VLOOKUP(B87,'Netvolumenmål 2022'!B:S,11,0)-E87))/2+E87</f>
        <v>80842849.037222564</v>
      </c>
      <c r="E87" s="7">
        <v>715524</v>
      </c>
      <c r="F87" s="7">
        <v>0</v>
      </c>
      <c r="G87" s="8">
        <v>0.86552986281764699</v>
      </c>
      <c r="H87" s="9">
        <v>0.86100757020262597</v>
      </c>
      <c r="I87" s="10">
        <f t="shared" si="15"/>
        <v>0.86552986281764699</v>
      </c>
      <c r="J87" s="9">
        <v>0</v>
      </c>
      <c r="K87" s="9">
        <f t="shared" si="16"/>
        <v>0.86552986281764699</v>
      </c>
      <c r="L87" s="7">
        <f t="shared" si="17"/>
        <v>69971900.036974996</v>
      </c>
      <c r="M87" s="7">
        <f t="shared" si="19"/>
        <v>72462899.678291306</v>
      </c>
      <c r="N87" s="7">
        <f t="shared" si="10"/>
        <v>4761494.8797551692</v>
      </c>
      <c r="O87" s="11">
        <f t="shared" si="11"/>
        <v>6.1657911428184067E-2</v>
      </c>
      <c r="P87" s="12">
        <f t="shared" si="12"/>
        <v>7.7072389285230084E-3</v>
      </c>
      <c r="Q87" s="13">
        <f t="shared" si="13"/>
        <v>7.7072389285230084E-3</v>
      </c>
      <c r="R87" s="7">
        <f t="shared" si="14"/>
        <v>595186.85996939614</v>
      </c>
      <c r="S87" s="7">
        <f t="shared" si="18"/>
        <v>643277.95825492335</v>
      </c>
      <c r="V87" s="48"/>
      <c r="W87" s="48"/>
      <c r="X87" s="48"/>
    </row>
    <row r="88" spans="1:24" x14ac:dyDescent="0.25">
      <c r="A88" s="49" t="s">
        <v>191</v>
      </c>
      <c r="B88" s="202" t="s">
        <v>192</v>
      </c>
      <c r="C88" s="5">
        <v>143802234.98433164</v>
      </c>
      <c r="D88" s="7">
        <f>(VLOOKUP(B88,'Netvolumenmål 2021'!B:S,11,0)+(VLOOKUP(B88,'Netvolumenmål 2022'!B:S,11,0)-E88))/2+E88</f>
        <v>166382249.41192454</v>
      </c>
      <c r="E88" s="7">
        <v>3588119</v>
      </c>
      <c r="F88" s="7">
        <v>475953.96511329786</v>
      </c>
      <c r="G88" s="8">
        <v>0.83438201096904296</v>
      </c>
      <c r="H88" s="9">
        <v>0.85443364028628999</v>
      </c>
      <c r="I88" s="10">
        <f t="shared" si="15"/>
        <v>0.85443364028628999</v>
      </c>
      <c r="J88" s="9">
        <v>0</v>
      </c>
      <c r="K88" s="9">
        <f t="shared" si="16"/>
        <v>0.85443364028628999</v>
      </c>
      <c r="L88" s="7">
        <f t="shared" si="17"/>
        <v>142569262.12307256</v>
      </c>
      <c r="M88" s="7">
        <f t="shared" si="19"/>
        <v>147644727.85465395</v>
      </c>
      <c r="N88" s="7">
        <f t="shared" si="10"/>
        <v>0</v>
      </c>
      <c r="O88" s="11">
        <f t="shared" si="11"/>
        <v>0</v>
      </c>
      <c r="P88" s="12">
        <f t="shared" si="12"/>
        <v>0</v>
      </c>
      <c r="Q88" s="13">
        <f t="shared" si="13"/>
        <v>0</v>
      </c>
      <c r="R88" s="7">
        <f t="shared" si="14"/>
        <v>0</v>
      </c>
      <c r="S88" s="7">
        <f t="shared" si="18"/>
        <v>0</v>
      </c>
      <c r="V88" s="48"/>
      <c r="W88" s="48"/>
      <c r="X88" s="48"/>
    </row>
    <row r="89" spans="1:24" x14ac:dyDescent="0.25">
      <c r="A89" s="49" t="s">
        <v>193</v>
      </c>
      <c r="B89" s="202" t="s">
        <v>194</v>
      </c>
      <c r="C89" s="5">
        <v>36735065.764509737</v>
      </c>
      <c r="D89" s="7">
        <f>(VLOOKUP(B89,'Netvolumenmål 2021'!B:S,11,0)+(VLOOKUP(B89,'Netvolumenmål 2022'!B:S,11,0)-E89))/2+E89</f>
        <v>37424873.271686763</v>
      </c>
      <c r="E89" s="7">
        <v>2275398</v>
      </c>
      <c r="F89" s="7">
        <v>0</v>
      </c>
      <c r="G89" s="8">
        <v>1</v>
      </c>
      <c r="H89" s="9">
        <v>0.97724452583197396</v>
      </c>
      <c r="I89" s="10">
        <f t="shared" si="15"/>
        <v>1</v>
      </c>
      <c r="J89" s="9">
        <v>0</v>
      </c>
      <c r="K89" s="9">
        <f t="shared" si="16"/>
        <v>1</v>
      </c>
      <c r="L89" s="7">
        <f t="shared" si="17"/>
        <v>37424873.271686763</v>
      </c>
      <c r="M89" s="7">
        <f t="shared" si="19"/>
        <v>38757198.760158814</v>
      </c>
      <c r="N89" s="7">
        <f t="shared" si="10"/>
        <v>0</v>
      </c>
      <c r="O89" s="11">
        <f t="shared" si="11"/>
        <v>0</v>
      </c>
      <c r="P89" s="12">
        <f t="shared" si="12"/>
        <v>0</v>
      </c>
      <c r="Q89" s="13">
        <f t="shared" si="13"/>
        <v>0</v>
      </c>
      <c r="R89" s="7">
        <f t="shared" si="14"/>
        <v>0</v>
      </c>
      <c r="S89" s="7">
        <f t="shared" si="18"/>
        <v>0</v>
      </c>
      <c r="V89" s="48"/>
      <c r="W89" s="48"/>
      <c r="X89" s="48"/>
    </row>
    <row r="90" spans="1:24" x14ac:dyDescent="0.25">
      <c r="A90" s="49" t="s">
        <v>195</v>
      </c>
      <c r="B90" s="202" t="s">
        <v>196</v>
      </c>
      <c r="C90" s="5">
        <v>63747106.574442528</v>
      </c>
      <c r="D90" s="7">
        <f>(VLOOKUP(B90,'Netvolumenmål 2021'!B:S,11,0)+(VLOOKUP(B90,'Netvolumenmål 2022'!B:S,11,0)-E90))/2+E90</f>
        <v>70213822.274612844</v>
      </c>
      <c r="E90" s="7">
        <v>2966096</v>
      </c>
      <c r="F90" s="7">
        <v>0</v>
      </c>
      <c r="G90" s="8">
        <v>1</v>
      </c>
      <c r="H90" s="9">
        <v>0.95914417345190905</v>
      </c>
      <c r="I90" s="10">
        <f t="shared" si="15"/>
        <v>1</v>
      </c>
      <c r="J90" s="9">
        <v>0</v>
      </c>
      <c r="K90" s="9">
        <f t="shared" si="16"/>
        <v>1</v>
      </c>
      <c r="L90" s="7">
        <f t="shared" si="17"/>
        <v>70213822.274612844</v>
      </c>
      <c r="M90" s="7">
        <f t="shared" si="19"/>
        <v>72713434.347589061</v>
      </c>
      <c r="N90" s="7">
        <f t="shared" si="10"/>
        <v>0</v>
      </c>
      <c r="O90" s="11">
        <f t="shared" si="11"/>
        <v>0</v>
      </c>
      <c r="P90" s="12">
        <f t="shared" si="12"/>
        <v>0</v>
      </c>
      <c r="Q90" s="13">
        <f t="shared" si="13"/>
        <v>0</v>
      </c>
      <c r="R90" s="7">
        <f t="shared" si="14"/>
        <v>0</v>
      </c>
      <c r="S90" s="7">
        <f t="shared" si="18"/>
        <v>0</v>
      </c>
      <c r="V90" s="48"/>
      <c r="W90" s="48"/>
      <c r="X90" s="48"/>
    </row>
    <row r="91" spans="1:24" x14ac:dyDescent="0.25">
      <c r="A91" s="49" t="s">
        <v>197</v>
      </c>
      <c r="B91" s="202" t="s">
        <v>198</v>
      </c>
      <c r="C91" s="5">
        <v>89966081.762833998</v>
      </c>
      <c r="D91" s="7">
        <f>(VLOOKUP(B91,'Netvolumenmål 2021'!B:S,11,0)+(VLOOKUP(B91,'Netvolumenmål 2022'!B:S,11,0)-E91))/2+E91</f>
        <v>92951543.465095893</v>
      </c>
      <c r="E91" s="7">
        <v>8313436.8424999993</v>
      </c>
      <c r="F91" s="7">
        <v>3081734.4832810173</v>
      </c>
      <c r="G91" s="8">
        <v>1</v>
      </c>
      <c r="H91" s="9">
        <v>0.99515303488517004</v>
      </c>
      <c r="I91" s="10">
        <f t="shared" si="15"/>
        <v>1</v>
      </c>
      <c r="J91" s="9">
        <v>0</v>
      </c>
      <c r="K91" s="9">
        <f t="shared" si="16"/>
        <v>1</v>
      </c>
      <c r="L91" s="7">
        <f t="shared" si="17"/>
        <v>96033277.948376909</v>
      </c>
      <c r="M91" s="7">
        <f t="shared" si="19"/>
        <v>99452062.643339127</v>
      </c>
      <c r="N91" s="7">
        <f t="shared" si="10"/>
        <v>0</v>
      </c>
      <c r="O91" s="11">
        <f t="shared" si="11"/>
        <v>0</v>
      </c>
      <c r="P91" s="12">
        <f t="shared" si="12"/>
        <v>0</v>
      </c>
      <c r="Q91" s="13">
        <f t="shared" si="13"/>
        <v>0</v>
      </c>
      <c r="R91" s="7">
        <f t="shared" si="14"/>
        <v>0</v>
      </c>
      <c r="S91" s="7">
        <f t="shared" si="18"/>
        <v>0</v>
      </c>
      <c r="V91" s="48"/>
      <c r="W91" s="48"/>
      <c r="X91" s="48"/>
    </row>
    <row r="92" spans="1:24" x14ac:dyDescent="0.25">
      <c r="A92" s="49" t="s">
        <v>199</v>
      </c>
      <c r="B92" s="202" t="s">
        <v>200</v>
      </c>
      <c r="C92" s="5">
        <v>47639832.486979857</v>
      </c>
      <c r="D92" s="7">
        <f>(VLOOKUP(B92,'Netvolumenmål 2021'!B:S,11,0)+(VLOOKUP(B92,'Netvolumenmål 2022'!B:S,11,0)-E92))/2+E92</f>
        <v>56058860.135684103</v>
      </c>
      <c r="E92" s="7">
        <v>1726969</v>
      </c>
      <c r="F92" s="7">
        <v>0</v>
      </c>
      <c r="G92" s="8">
        <v>0.93920146222962198</v>
      </c>
      <c r="H92" s="9">
        <v>0.92337144148761996</v>
      </c>
      <c r="I92" s="10">
        <f t="shared" si="15"/>
        <v>0.93920146222962198</v>
      </c>
      <c r="J92" s="9">
        <v>0</v>
      </c>
      <c r="K92" s="9">
        <f t="shared" si="16"/>
        <v>0.93920146222962198</v>
      </c>
      <c r="L92" s="7">
        <f t="shared" si="17"/>
        <v>52650563.410360374</v>
      </c>
      <c r="M92" s="7">
        <f t="shared" si="19"/>
        <v>54524923.467769206</v>
      </c>
      <c r="N92" s="7">
        <f t="shared" si="10"/>
        <v>0</v>
      </c>
      <c r="O92" s="11">
        <f t="shared" si="11"/>
        <v>0</v>
      </c>
      <c r="P92" s="12">
        <f t="shared" si="12"/>
        <v>0</v>
      </c>
      <c r="Q92" s="13">
        <f t="shared" si="13"/>
        <v>0</v>
      </c>
      <c r="R92" s="7">
        <f t="shared" si="14"/>
        <v>0</v>
      </c>
      <c r="S92" s="7">
        <f t="shared" si="18"/>
        <v>0</v>
      </c>
      <c r="V92" s="48"/>
      <c r="W92" s="48"/>
      <c r="X92" s="48"/>
    </row>
    <row r="93" spans="1:24" x14ac:dyDescent="0.25">
      <c r="A93" s="49" t="s">
        <v>201</v>
      </c>
      <c r="B93" s="202" t="s">
        <v>202</v>
      </c>
      <c r="C93" s="5">
        <v>357299595.15337676</v>
      </c>
      <c r="D93" s="7">
        <f>(VLOOKUP(B93,'Netvolumenmål 2021'!B:S,11,0)+(VLOOKUP(B93,'Netvolumenmål 2022'!B:S,11,0)-E93))/2+E93</f>
        <v>369620127.84307754</v>
      </c>
      <c r="E93" s="7">
        <v>5105692</v>
      </c>
      <c r="F93" s="7">
        <v>0</v>
      </c>
      <c r="G93" s="8">
        <v>0.88360868503328005</v>
      </c>
      <c r="H93" s="9">
        <v>0.92988899215828902</v>
      </c>
      <c r="I93" s="10">
        <f t="shared" si="15"/>
        <v>0.92988899215828902</v>
      </c>
      <c r="J93" s="9">
        <v>0</v>
      </c>
      <c r="K93" s="9">
        <f t="shared" si="16"/>
        <v>0.92988899215828902</v>
      </c>
      <c r="L93" s="7">
        <f t="shared" si="17"/>
        <v>343705688.16141731</v>
      </c>
      <c r="M93" s="7">
        <f t="shared" si="19"/>
        <v>355941610.65996379</v>
      </c>
      <c r="N93" s="7">
        <f t="shared" si="10"/>
        <v>1357984.4934129715</v>
      </c>
      <c r="O93" s="11">
        <f t="shared" si="11"/>
        <v>3.8006885869267056E-3</v>
      </c>
      <c r="P93" s="12">
        <f t="shared" si="12"/>
        <v>4.750860733658382E-4</v>
      </c>
      <c r="Q93" s="13">
        <f t="shared" si="13"/>
        <v>4.750860733658382E-4</v>
      </c>
      <c r="R93" s="7">
        <f t="shared" si="14"/>
        <v>169748.06167662144</v>
      </c>
      <c r="S93" s="7">
        <f t="shared" si="18"/>
        <v>183463.70506009244</v>
      </c>
      <c r="V93" s="48"/>
      <c r="W93" s="48"/>
      <c r="X93" s="48"/>
    </row>
    <row r="94" spans="1:24" x14ac:dyDescent="0.25">
      <c r="A94" s="49" t="s">
        <v>203</v>
      </c>
      <c r="B94" s="202" t="s">
        <v>204</v>
      </c>
      <c r="C94" s="5">
        <v>20624044.775249209</v>
      </c>
      <c r="D94" s="7">
        <f>(VLOOKUP(B94,'Netvolumenmål 2021'!B:S,11,0)+(VLOOKUP(B94,'Netvolumenmål 2022'!B:S,11,0)-E94))/2+E94</f>
        <v>20563831.483471181</v>
      </c>
      <c r="E94" s="7">
        <v>-179770.69480000003</v>
      </c>
      <c r="F94" s="7">
        <v>0</v>
      </c>
      <c r="G94" s="8">
        <v>1</v>
      </c>
      <c r="H94" s="9">
        <v>0.93077265749050697</v>
      </c>
      <c r="I94" s="10">
        <f t="shared" si="15"/>
        <v>1</v>
      </c>
      <c r="J94" s="9">
        <v>0</v>
      </c>
      <c r="K94" s="9">
        <f t="shared" si="16"/>
        <v>1</v>
      </c>
      <c r="L94" s="7">
        <f t="shared" si="17"/>
        <v>20563831.483471181</v>
      </c>
      <c r="M94" s="7">
        <f t="shared" si="19"/>
        <v>21295903.884282757</v>
      </c>
      <c r="N94" s="7">
        <f t="shared" si="10"/>
        <v>0</v>
      </c>
      <c r="O94" s="11">
        <f t="shared" si="11"/>
        <v>0</v>
      </c>
      <c r="P94" s="12">
        <f t="shared" si="12"/>
        <v>0</v>
      </c>
      <c r="Q94" s="13">
        <f t="shared" si="13"/>
        <v>0</v>
      </c>
      <c r="R94" s="7">
        <f t="shared" si="14"/>
        <v>0</v>
      </c>
      <c r="S94" s="7">
        <f t="shared" si="18"/>
        <v>0</v>
      </c>
      <c r="V94" s="48"/>
      <c r="W94" s="48"/>
      <c r="X94" s="48"/>
    </row>
    <row r="95" spans="1:24" x14ac:dyDescent="0.25">
      <c r="A95" s="49" t="s">
        <v>205</v>
      </c>
      <c r="B95" s="202" t="s">
        <v>206</v>
      </c>
      <c r="C95" s="5">
        <v>66517911.105012834</v>
      </c>
      <c r="D95" s="7">
        <f>(VLOOKUP(B95,'Netvolumenmål 2021'!B:S,11,0)+(VLOOKUP(B95,'Netvolumenmål 2022'!B:S,11,0)-E95))/2+E95</f>
        <v>74890562.696672514</v>
      </c>
      <c r="E95" s="7">
        <v>705924.31160000002</v>
      </c>
      <c r="F95" s="7">
        <v>0</v>
      </c>
      <c r="G95" s="8">
        <v>0.88898151121453695</v>
      </c>
      <c r="H95" s="9">
        <v>0.809607171841359</v>
      </c>
      <c r="I95" s="10">
        <f t="shared" si="15"/>
        <v>0.88898151121453695</v>
      </c>
      <c r="J95" s="9">
        <v>0</v>
      </c>
      <c r="K95" s="9">
        <f t="shared" si="16"/>
        <v>0.88898151121453695</v>
      </c>
      <c r="L95" s="7">
        <f t="shared" si="17"/>
        <v>66576325.601794958</v>
      </c>
      <c r="M95" s="7">
        <f t="shared" si="19"/>
        <v>68946442.793218866</v>
      </c>
      <c r="N95" s="7">
        <f t="shared" si="10"/>
        <v>0</v>
      </c>
      <c r="O95" s="11">
        <f t="shared" si="11"/>
        <v>0</v>
      </c>
      <c r="P95" s="12">
        <f t="shared" si="12"/>
        <v>0</v>
      </c>
      <c r="Q95" s="13">
        <f t="shared" si="13"/>
        <v>0</v>
      </c>
      <c r="R95" s="7">
        <f t="shared" si="14"/>
        <v>0</v>
      </c>
      <c r="S95" s="7">
        <f t="shared" si="18"/>
        <v>0</v>
      </c>
      <c r="V95" s="48"/>
      <c r="W95" s="48"/>
      <c r="X95" s="48"/>
    </row>
    <row r="96" spans="1:24" x14ac:dyDescent="0.25">
      <c r="A96" s="49" t="s">
        <v>207</v>
      </c>
      <c r="B96" s="202" t="s">
        <v>208</v>
      </c>
      <c r="C96" s="5">
        <v>192961458.99150887</v>
      </c>
      <c r="D96" s="7">
        <f>(VLOOKUP(B96,'Netvolumenmål 2021'!B:S,11,0)+(VLOOKUP(B96,'Netvolumenmål 2022'!B:S,11,0)-E96))/2+E96</f>
        <v>207993949.46939534</v>
      </c>
      <c r="E96" s="7">
        <v>3127753</v>
      </c>
      <c r="F96" s="7">
        <v>0</v>
      </c>
      <c r="G96" s="8">
        <v>0.91514192897725899</v>
      </c>
      <c r="H96" s="9">
        <v>0.89686813725249603</v>
      </c>
      <c r="I96" s="10">
        <f t="shared" si="15"/>
        <v>0.91514192897725899</v>
      </c>
      <c r="J96" s="9">
        <v>0</v>
      </c>
      <c r="K96" s="9">
        <f t="shared" si="16"/>
        <v>0.91514192897725899</v>
      </c>
      <c r="L96" s="7">
        <f t="shared" si="17"/>
        <v>190343984.133021</v>
      </c>
      <c r="M96" s="7">
        <f t="shared" si="19"/>
        <v>197120229.96815655</v>
      </c>
      <c r="N96" s="7">
        <f t="shared" si="10"/>
        <v>0</v>
      </c>
      <c r="O96" s="11">
        <f t="shared" si="11"/>
        <v>0</v>
      </c>
      <c r="P96" s="12">
        <f t="shared" si="12"/>
        <v>0</v>
      </c>
      <c r="Q96" s="13">
        <f t="shared" si="13"/>
        <v>0</v>
      </c>
      <c r="R96" s="7">
        <f t="shared" si="14"/>
        <v>0</v>
      </c>
      <c r="S96" s="7">
        <f t="shared" si="18"/>
        <v>0</v>
      </c>
      <c r="V96" s="48"/>
      <c r="W96" s="48"/>
      <c r="X96" s="48"/>
    </row>
    <row r="97" spans="1:24" x14ac:dyDescent="0.25">
      <c r="A97" s="49" t="s">
        <v>209</v>
      </c>
      <c r="B97" s="202" t="s">
        <v>210</v>
      </c>
      <c r="C97" s="5">
        <v>127254085.60224533</v>
      </c>
      <c r="D97" s="7">
        <f>(VLOOKUP(B97,'Netvolumenmål 2021'!B:S,11,0)+(VLOOKUP(B97,'Netvolumenmål 2022'!B:S,11,0)-E97))/2+E97</f>
        <v>135111108.82725105</v>
      </c>
      <c r="E97" s="7">
        <v>4658115</v>
      </c>
      <c r="F97" s="7">
        <v>0</v>
      </c>
      <c r="G97" s="8">
        <v>0.97331951117597204</v>
      </c>
      <c r="H97" s="9">
        <v>0.97515166963895605</v>
      </c>
      <c r="I97" s="10">
        <f t="shared" si="15"/>
        <v>0.97515166963895605</v>
      </c>
      <c r="J97" s="9">
        <v>0</v>
      </c>
      <c r="K97" s="9">
        <f t="shared" si="16"/>
        <v>0.97515166963895605</v>
      </c>
      <c r="L97" s="7">
        <f t="shared" si="17"/>
        <v>131753823.35966456</v>
      </c>
      <c r="M97" s="7">
        <f t="shared" si="19"/>
        <v>136444259.47126862</v>
      </c>
      <c r="N97" s="7">
        <f t="shared" si="10"/>
        <v>0</v>
      </c>
      <c r="O97" s="11">
        <f t="shared" si="11"/>
        <v>0</v>
      </c>
      <c r="P97" s="12">
        <f t="shared" si="12"/>
        <v>0</v>
      </c>
      <c r="Q97" s="13">
        <f t="shared" si="13"/>
        <v>0</v>
      </c>
      <c r="R97" s="7">
        <f t="shared" si="14"/>
        <v>0</v>
      </c>
      <c r="S97" s="7">
        <f t="shared" si="18"/>
        <v>0</v>
      </c>
      <c r="V97" s="48"/>
      <c r="W97" s="48"/>
      <c r="X97" s="48"/>
    </row>
    <row r="98" spans="1:24" x14ac:dyDescent="0.25">
      <c r="A98" s="49" t="s">
        <v>211</v>
      </c>
      <c r="B98" s="202" t="s">
        <v>212</v>
      </c>
      <c r="C98" s="5">
        <v>82608505.223214597</v>
      </c>
      <c r="D98" s="7">
        <f>(VLOOKUP(B98,'Netvolumenmål 2021'!B:S,11,0)+(VLOOKUP(B98,'Netvolumenmål 2022'!B:S,11,0)-E98))/2+E98</f>
        <v>90181696.185355842</v>
      </c>
      <c r="E98" s="7">
        <v>2232931.5712000001</v>
      </c>
      <c r="F98" s="7">
        <v>132216.00315230136</v>
      </c>
      <c r="G98" s="8">
        <v>0.98505998312305099</v>
      </c>
      <c r="H98" s="9">
        <v>0.97963633580327902</v>
      </c>
      <c r="I98" s="10">
        <f t="shared" si="15"/>
        <v>0.98505998312305099</v>
      </c>
      <c r="J98" s="9">
        <v>0</v>
      </c>
      <c r="K98" s="9">
        <f t="shared" si="16"/>
        <v>0.98505998312305099</v>
      </c>
      <c r="L98" s="7">
        <f t="shared" si="17"/>
        <v>88964620.816188529</v>
      </c>
      <c r="M98" s="7">
        <f t="shared" si="19"/>
        <v>92131761.317244843</v>
      </c>
      <c r="N98" s="7">
        <f t="shared" si="10"/>
        <v>0</v>
      </c>
      <c r="O98" s="11">
        <f t="shared" si="11"/>
        <v>0</v>
      </c>
      <c r="P98" s="12">
        <f t="shared" si="12"/>
        <v>0</v>
      </c>
      <c r="Q98" s="13">
        <f t="shared" si="13"/>
        <v>0</v>
      </c>
      <c r="R98" s="7">
        <f t="shared" si="14"/>
        <v>0</v>
      </c>
      <c r="S98" s="7">
        <f t="shared" si="18"/>
        <v>0</v>
      </c>
      <c r="V98" s="48"/>
      <c r="W98" s="48"/>
      <c r="X98" s="48"/>
    </row>
    <row r="99" spans="1:24" x14ac:dyDescent="0.25">
      <c r="A99" s="49" t="s">
        <v>213</v>
      </c>
      <c r="B99" s="202" t="s">
        <v>214</v>
      </c>
      <c r="C99" s="5">
        <v>89416014.367066264</v>
      </c>
      <c r="D99" s="7">
        <f>(VLOOKUP(B99,'Netvolumenmål 2021'!B:S,11,0)+(VLOOKUP(B99,'Netvolumenmål 2022'!B:S,11,0)-E99))/2+E99</f>
        <v>98769701.527997658</v>
      </c>
      <c r="E99" s="7">
        <v>1379027</v>
      </c>
      <c r="F99" s="7">
        <v>0</v>
      </c>
      <c r="G99" s="8">
        <v>0.96903907544608303</v>
      </c>
      <c r="H99" s="9">
        <v>0.99020173321171101</v>
      </c>
      <c r="I99" s="10">
        <f t="shared" si="15"/>
        <v>0.99020173321171101</v>
      </c>
      <c r="J99" s="9">
        <v>0</v>
      </c>
      <c r="K99" s="9">
        <f t="shared" si="16"/>
        <v>0.99020173321171101</v>
      </c>
      <c r="L99" s="7">
        <f t="shared" si="17"/>
        <v>97801929.641826659</v>
      </c>
      <c r="M99" s="7">
        <f t="shared" si="19"/>
        <v>101283678.3370757</v>
      </c>
      <c r="N99" s="7">
        <f t="shared" si="10"/>
        <v>0</v>
      </c>
      <c r="O99" s="11">
        <f t="shared" si="11"/>
        <v>0</v>
      </c>
      <c r="P99" s="12">
        <f t="shared" si="12"/>
        <v>0</v>
      </c>
      <c r="Q99" s="13">
        <f t="shared" si="13"/>
        <v>0</v>
      </c>
      <c r="R99" s="7">
        <f t="shared" si="14"/>
        <v>0</v>
      </c>
      <c r="S99" s="7">
        <f t="shared" si="18"/>
        <v>0</v>
      </c>
      <c r="V99" s="48"/>
      <c r="W99" s="48"/>
      <c r="X99" s="48"/>
    </row>
    <row r="100" spans="1:24" x14ac:dyDescent="0.25">
      <c r="A100" s="49" t="s">
        <v>215</v>
      </c>
      <c r="B100" s="202" t="s">
        <v>216</v>
      </c>
      <c r="C100" s="5">
        <v>276059892.22813392</v>
      </c>
      <c r="D100" s="7">
        <f>(VLOOKUP(B100,'Netvolumenmål 2021'!B:S,11,0)+(VLOOKUP(B100,'Netvolumenmål 2022'!B:S,11,0)-E100))/2+E100</f>
        <v>307277838.70632738</v>
      </c>
      <c r="E100" s="7">
        <v>5387946</v>
      </c>
      <c r="F100" s="7">
        <v>0</v>
      </c>
      <c r="G100" s="8">
        <v>0.849065796933137</v>
      </c>
      <c r="H100" s="9">
        <v>0.90565979577925004</v>
      </c>
      <c r="I100" s="10">
        <f t="shared" si="15"/>
        <v>0.90565979577925004</v>
      </c>
      <c r="J100" s="9">
        <v>0</v>
      </c>
      <c r="K100" s="9">
        <f t="shared" si="16"/>
        <v>0.90565979577925004</v>
      </c>
      <c r="L100" s="7">
        <f t="shared" si="17"/>
        <v>278289184.65026176</v>
      </c>
      <c r="M100" s="7">
        <f t="shared" si="19"/>
        <v>288196279.62381113</v>
      </c>
      <c r="N100" s="7">
        <f t="shared" si="10"/>
        <v>0</v>
      </c>
      <c r="O100" s="11">
        <f t="shared" si="11"/>
        <v>0</v>
      </c>
      <c r="P100" s="12">
        <f t="shared" si="12"/>
        <v>0</v>
      </c>
      <c r="Q100" s="13">
        <f t="shared" si="13"/>
        <v>0</v>
      </c>
      <c r="R100" s="7">
        <f t="shared" si="14"/>
        <v>0</v>
      </c>
      <c r="S100" s="7">
        <f t="shared" si="18"/>
        <v>0</v>
      </c>
      <c r="V100" s="48"/>
      <c r="W100" s="48"/>
      <c r="X100" s="48"/>
    </row>
    <row r="101" spans="1:24" x14ac:dyDescent="0.25">
      <c r="A101" s="49" t="s">
        <v>217</v>
      </c>
      <c r="B101" s="202" t="s">
        <v>218</v>
      </c>
      <c r="C101" s="5">
        <v>399447972.68711627</v>
      </c>
      <c r="D101" s="7">
        <f>(VLOOKUP(B101,'Netvolumenmål 2021'!B:S,11,0)+(VLOOKUP(B101,'Netvolumenmål 2022'!B:S,11,0)-E101))/2+E101</f>
        <v>425634130.26749599</v>
      </c>
      <c r="E101" s="7">
        <v>11502917.3038</v>
      </c>
      <c r="F101" s="7">
        <v>809094.28390565177</v>
      </c>
      <c r="G101" s="8">
        <v>0.90821188268012198</v>
      </c>
      <c r="H101" s="9">
        <v>0.93656327953615004</v>
      </c>
      <c r="I101" s="10">
        <f t="shared" si="15"/>
        <v>0.93656327953615004</v>
      </c>
      <c r="J101" s="9">
        <v>0</v>
      </c>
      <c r="K101" s="9">
        <f t="shared" si="16"/>
        <v>0.93656327953615004</v>
      </c>
      <c r="L101" s="7">
        <f t="shared" si="17"/>
        <v>399391064.92183155</v>
      </c>
      <c r="M101" s="7">
        <f t="shared" si="19"/>
        <v>413609386.83304876</v>
      </c>
      <c r="N101" s="7">
        <f t="shared" si="10"/>
        <v>0</v>
      </c>
      <c r="O101" s="11">
        <f t="shared" si="11"/>
        <v>0</v>
      </c>
      <c r="P101" s="12">
        <f t="shared" si="12"/>
        <v>0</v>
      </c>
      <c r="Q101" s="13">
        <f t="shared" si="13"/>
        <v>0</v>
      </c>
      <c r="R101" s="7">
        <f t="shared" si="14"/>
        <v>0</v>
      </c>
      <c r="S101" s="7">
        <f t="shared" si="18"/>
        <v>0</v>
      </c>
      <c r="V101" s="48"/>
      <c r="W101" s="48"/>
      <c r="X101" s="48"/>
    </row>
    <row r="102" spans="1:24" x14ac:dyDescent="0.25">
      <c r="A102" s="49" t="s">
        <v>219</v>
      </c>
      <c r="B102" s="202" t="s">
        <v>220</v>
      </c>
      <c r="C102" s="5">
        <v>31736977.40425501</v>
      </c>
      <c r="D102" s="7">
        <f>(VLOOKUP(B102,'Netvolumenmål 2021'!B:S,11,0)+(VLOOKUP(B102,'Netvolumenmål 2022'!B:S,11,0)-E102))/2+E102</f>
        <v>30260022.99982322</v>
      </c>
      <c r="E102" s="7">
        <v>0</v>
      </c>
      <c r="F102" s="7">
        <v>0</v>
      </c>
      <c r="G102" s="8">
        <v>1</v>
      </c>
      <c r="H102" s="9">
        <v>0.88574771572613098</v>
      </c>
      <c r="I102" s="10">
        <f t="shared" si="15"/>
        <v>1</v>
      </c>
      <c r="J102" s="9">
        <v>0</v>
      </c>
      <c r="K102" s="9">
        <f t="shared" si="16"/>
        <v>1</v>
      </c>
      <c r="L102" s="7">
        <f t="shared" si="17"/>
        <v>30260022.99982322</v>
      </c>
      <c r="M102" s="7">
        <f t="shared" si="19"/>
        <v>31337279.81861693</v>
      </c>
      <c r="N102" s="7">
        <f t="shared" si="10"/>
        <v>399697.58563807979</v>
      </c>
      <c r="O102" s="11">
        <f t="shared" si="11"/>
        <v>1.2594065923382228E-2</v>
      </c>
      <c r="P102" s="12">
        <f t="shared" si="12"/>
        <v>1.5742582404227785E-3</v>
      </c>
      <c r="Q102" s="13">
        <f t="shared" si="13"/>
        <v>1.5742582404227785E-3</v>
      </c>
      <c r="R102" s="7">
        <f t="shared" si="14"/>
        <v>49962.198204759974</v>
      </c>
      <c r="S102" s="7">
        <f t="shared" si="18"/>
        <v>53999.143819704579</v>
      </c>
      <c r="V102" s="48"/>
      <c r="W102" s="48"/>
      <c r="X102" s="48"/>
    </row>
    <row r="103" spans="1:24" ht="15.75" thickBot="1" x14ac:dyDescent="0.3">
      <c r="A103" s="62" t="s">
        <v>221</v>
      </c>
      <c r="B103" s="205" t="s">
        <v>222</v>
      </c>
      <c r="C103" s="19">
        <v>28698219.720090978</v>
      </c>
      <c r="D103" s="20">
        <f>(VLOOKUP(B103,'Netvolumenmål 2021'!B:S,11,0)+(VLOOKUP(B103,'Netvolumenmål 2022'!B:S,11,0)-E103))/2+E103</f>
        <v>28869838.123125192</v>
      </c>
      <c r="E103" s="20">
        <v>127275</v>
      </c>
      <c r="F103" s="7">
        <v>0</v>
      </c>
      <c r="G103" s="8">
        <v>0.74577414976756196</v>
      </c>
      <c r="H103" s="9">
        <v>0.83600471433191104</v>
      </c>
      <c r="I103" s="10">
        <f t="shared" si="15"/>
        <v>0.83600471433191104</v>
      </c>
      <c r="J103" s="21">
        <v>0</v>
      </c>
      <c r="K103" s="21">
        <f t="shared" si="16"/>
        <v>0.83600471433191104</v>
      </c>
      <c r="L103" s="7">
        <f t="shared" si="17"/>
        <v>24135320.772931792</v>
      </c>
      <c r="M103" s="20">
        <f t="shared" si="19"/>
        <v>24994538.192448165</v>
      </c>
      <c r="N103" s="20">
        <f t="shared" si="10"/>
        <v>3703681.5276428126</v>
      </c>
      <c r="O103" s="22">
        <f t="shared" si="11"/>
        <v>0.1290561422892009</v>
      </c>
      <c r="P103" s="23">
        <f t="shared" si="12"/>
        <v>1.6132017786150112E-2</v>
      </c>
      <c r="Q103" s="24">
        <f t="shared" si="13"/>
        <v>1.6132017786150112E-2</v>
      </c>
      <c r="R103" s="20">
        <f t="shared" si="14"/>
        <v>462960.19095535157</v>
      </c>
      <c r="S103" s="20">
        <f t="shared" si="18"/>
        <v>500367.37438454397</v>
      </c>
      <c r="V103" s="48"/>
      <c r="W103" s="48"/>
      <c r="X103" s="48"/>
    </row>
    <row r="104" spans="1:24" x14ac:dyDescent="0.25">
      <c r="A104" s="73"/>
      <c r="B104" s="73"/>
      <c r="C104" s="207"/>
      <c r="D104" s="208"/>
      <c r="E104" s="208"/>
      <c r="F104" s="208"/>
      <c r="G104" s="208"/>
      <c r="H104" s="208"/>
      <c r="I104" s="208"/>
      <c r="J104" s="208"/>
      <c r="K104" s="208"/>
      <c r="L104" s="208"/>
      <c r="M104" s="208"/>
      <c r="N104" s="208"/>
      <c r="O104" s="208"/>
      <c r="P104" s="208"/>
      <c r="Q104" s="208"/>
      <c r="R104" s="208"/>
      <c r="S104" s="208"/>
      <c r="V104" s="48"/>
      <c r="W104" s="48"/>
      <c r="X104" s="48"/>
    </row>
    <row r="105" spans="1:24" x14ac:dyDescent="0.25">
      <c r="A105" s="73"/>
      <c r="B105" s="73"/>
      <c r="C105" s="208"/>
      <c r="D105" s="208"/>
      <c r="E105" s="208"/>
      <c r="F105" s="208"/>
      <c r="G105" s="208"/>
      <c r="H105" s="208"/>
      <c r="I105" s="208"/>
      <c r="J105" s="208"/>
      <c r="K105" s="208"/>
      <c r="L105" s="208"/>
      <c r="M105" s="208"/>
      <c r="N105" s="208"/>
      <c r="O105" s="208"/>
      <c r="P105" s="208"/>
      <c r="Q105" s="208"/>
      <c r="R105" s="208"/>
      <c r="S105" s="208"/>
      <c r="V105" s="48"/>
      <c r="W105" s="48"/>
      <c r="X105" s="48"/>
    </row>
    <row r="106" spans="1:24" x14ac:dyDescent="0.25">
      <c r="A106" s="208"/>
      <c r="B106" s="208"/>
      <c r="C106" s="208"/>
      <c r="D106" s="208"/>
      <c r="E106" s="208"/>
      <c r="F106" s="208"/>
      <c r="G106" s="209"/>
      <c r="H106" s="208"/>
      <c r="I106" s="208"/>
      <c r="J106" s="208"/>
      <c r="K106" s="208"/>
      <c r="L106" s="208"/>
      <c r="M106" s="208"/>
      <c r="N106" s="208"/>
      <c r="O106" s="208"/>
      <c r="P106" s="208"/>
      <c r="Q106" s="208"/>
      <c r="R106" s="208"/>
      <c r="S106" s="208"/>
      <c r="V106" s="48"/>
      <c r="W106" s="48"/>
      <c r="X106" s="48"/>
    </row>
    <row r="107" spans="1:24" x14ac:dyDescent="0.25">
      <c r="A107" s="210"/>
      <c r="B107" s="208"/>
      <c r="C107" s="208"/>
      <c r="D107" s="208"/>
      <c r="E107" s="208"/>
      <c r="F107" s="208"/>
      <c r="G107" s="211"/>
      <c r="H107" s="211"/>
      <c r="I107" s="211"/>
      <c r="J107" s="211"/>
      <c r="K107" s="211"/>
      <c r="L107" s="211"/>
      <c r="M107" s="211"/>
      <c r="N107" s="211"/>
      <c r="O107" s="211"/>
      <c r="P107" s="211"/>
      <c r="Q107" s="211"/>
      <c r="R107" s="211"/>
      <c r="S107" s="211"/>
      <c r="V107" s="48"/>
      <c r="W107" s="48"/>
      <c r="X107" s="48"/>
    </row>
    <row r="108" spans="1:24" x14ac:dyDescent="0.25">
      <c r="A108" s="212"/>
      <c r="B108" s="213"/>
      <c r="C108" s="208"/>
      <c r="D108" s="208"/>
      <c r="E108" s="208"/>
      <c r="F108" s="208"/>
      <c r="G108" s="214"/>
      <c r="H108" s="214"/>
      <c r="I108" s="214"/>
      <c r="J108" s="214"/>
      <c r="K108" s="214"/>
      <c r="L108" s="214"/>
      <c r="M108" s="214"/>
      <c r="N108" s="214"/>
      <c r="O108" s="214"/>
      <c r="P108" s="214"/>
      <c r="Q108" s="214"/>
      <c r="R108" s="214"/>
      <c r="S108" s="214"/>
      <c r="V108" s="48"/>
      <c r="W108" s="48"/>
      <c r="X108" s="48"/>
    </row>
    <row r="109" spans="1:24" x14ac:dyDescent="0.25">
      <c r="A109" s="210"/>
      <c r="B109" s="213"/>
      <c r="C109" s="208"/>
      <c r="D109" s="208"/>
      <c r="E109" s="208"/>
      <c r="F109" s="208"/>
      <c r="G109" s="208"/>
      <c r="H109" s="208"/>
      <c r="I109" s="208"/>
      <c r="J109" s="208"/>
      <c r="K109" s="208"/>
      <c r="L109" s="208"/>
      <c r="M109" s="208"/>
      <c r="N109" s="208"/>
      <c r="O109" s="208"/>
      <c r="P109" s="208"/>
      <c r="Q109" s="208"/>
      <c r="R109" s="208"/>
      <c r="S109" s="208"/>
      <c r="V109" s="48"/>
      <c r="W109" s="48"/>
      <c r="X109" s="48"/>
    </row>
    <row r="110" spans="1:24" x14ac:dyDescent="0.25">
      <c r="A110" s="208"/>
      <c r="B110" s="213"/>
      <c r="C110" s="208"/>
      <c r="D110" s="208"/>
      <c r="E110" s="208"/>
      <c r="F110" s="208"/>
      <c r="G110" s="208"/>
      <c r="H110" s="208"/>
      <c r="I110" s="208"/>
      <c r="J110" s="208"/>
      <c r="K110" s="208"/>
      <c r="L110" s="208"/>
      <c r="M110" s="208"/>
      <c r="N110" s="208"/>
      <c r="O110" s="208"/>
      <c r="P110" s="208"/>
      <c r="Q110" s="208"/>
      <c r="R110" s="208"/>
      <c r="S110" s="208"/>
      <c r="V110" s="48"/>
      <c r="W110" s="48"/>
      <c r="X110" s="48"/>
    </row>
    <row r="111" spans="1:24" x14ac:dyDescent="0.25">
      <c r="A111" s="208"/>
      <c r="B111" s="208"/>
      <c r="C111" s="208"/>
      <c r="D111" s="208"/>
      <c r="E111" s="208"/>
      <c r="F111" s="208"/>
      <c r="G111" s="208"/>
      <c r="H111" s="208"/>
      <c r="I111" s="208"/>
      <c r="J111" s="208"/>
      <c r="K111" s="208"/>
      <c r="L111" s="208"/>
      <c r="M111" s="208"/>
      <c r="N111" s="208"/>
      <c r="O111" s="208"/>
      <c r="P111" s="208"/>
      <c r="Q111" s="208"/>
      <c r="R111" s="208"/>
      <c r="S111" s="208"/>
      <c r="V111" s="48"/>
      <c r="W111" s="48"/>
      <c r="X111" s="48"/>
    </row>
    <row r="112" spans="1:24" x14ac:dyDescent="0.25">
      <c r="A112" s="208"/>
      <c r="B112" s="208"/>
      <c r="C112" s="208"/>
      <c r="D112" s="208"/>
      <c r="E112" s="208"/>
      <c r="F112" s="208"/>
      <c r="G112" s="208"/>
      <c r="H112" s="208"/>
      <c r="I112" s="208"/>
      <c r="J112" s="208"/>
      <c r="K112" s="208"/>
      <c r="L112" s="208"/>
      <c r="M112" s="208"/>
      <c r="N112" s="208"/>
      <c r="O112" s="208"/>
      <c r="P112" s="208"/>
      <c r="Q112" s="208"/>
      <c r="R112" s="208"/>
      <c r="S112" s="208"/>
      <c r="V112" s="48"/>
      <c r="W112" s="48"/>
      <c r="X112" s="48"/>
    </row>
    <row r="113" spans="1:24" x14ac:dyDescent="0.25">
      <c r="A113" s="206"/>
      <c r="B113" s="206"/>
      <c r="C113" s="206"/>
      <c r="D113" s="206"/>
      <c r="E113" s="206"/>
      <c r="F113" s="206"/>
      <c r="G113" s="206"/>
      <c r="H113" s="206"/>
      <c r="I113" s="206"/>
      <c r="J113" s="206"/>
      <c r="K113" s="206"/>
      <c r="L113" s="206"/>
      <c r="M113" s="206"/>
      <c r="N113" s="206"/>
      <c r="O113" s="206"/>
      <c r="P113" s="206"/>
      <c r="Q113" s="206"/>
      <c r="R113" s="206"/>
      <c r="S113" s="206"/>
      <c r="V113" s="48"/>
      <c r="W113" s="48"/>
      <c r="X113" s="48"/>
    </row>
    <row r="114" spans="1:24" x14ac:dyDescent="0.25">
      <c r="A114" s="206"/>
      <c r="B114" s="206"/>
      <c r="C114" s="48"/>
      <c r="D114" s="206"/>
      <c r="E114" s="206"/>
      <c r="F114" s="206"/>
      <c r="G114" s="206"/>
      <c r="H114" s="206"/>
      <c r="I114" s="206"/>
      <c r="J114" s="206"/>
      <c r="K114" s="206"/>
      <c r="L114" s="206"/>
      <c r="M114" s="206"/>
      <c r="N114" s="206"/>
      <c r="O114" s="206"/>
      <c r="P114" s="206"/>
      <c r="Q114" s="206"/>
      <c r="R114" s="206"/>
      <c r="S114" s="206"/>
      <c r="V114" s="48"/>
      <c r="W114" s="48"/>
      <c r="X114" s="48"/>
    </row>
    <row r="115" spans="1:24" x14ac:dyDescent="0.25">
      <c r="A115" s="206"/>
      <c r="B115" s="206"/>
      <c r="C115" s="48"/>
      <c r="D115" s="206"/>
      <c r="E115" s="206"/>
      <c r="F115" s="206"/>
      <c r="G115" s="206"/>
      <c r="H115" s="206"/>
      <c r="I115" s="206"/>
      <c r="J115" s="206"/>
      <c r="K115" s="206"/>
      <c r="L115" s="206"/>
      <c r="M115" s="206"/>
      <c r="N115" s="206"/>
      <c r="O115" s="206"/>
      <c r="P115" s="206"/>
      <c r="Q115" s="206"/>
      <c r="R115" s="206"/>
      <c r="S115" s="206"/>
      <c r="V115" s="48"/>
      <c r="W115" s="48"/>
      <c r="X115" s="48"/>
    </row>
    <row r="116" spans="1:24" x14ac:dyDescent="0.25">
      <c r="A116" s="206"/>
      <c r="B116" s="206"/>
      <c r="C116" s="48"/>
      <c r="D116" s="206"/>
      <c r="E116" s="206"/>
      <c r="F116" s="206"/>
      <c r="G116" s="206"/>
      <c r="H116" s="206"/>
      <c r="I116" s="206"/>
      <c r="J116" s="206"/>
      <c r="K116" s="206"/>
      <c r="L116" s="206"/>
      <c r="M116" s="206"/>
      <c r="N116" s="206"/>
      <c r="O116" s="206"/>
      <c r="P116" s="206"/>
      <c r="Q116" s="206"/>
      <c r="R116" s="206"/>
      <c r="S116" s="206"/>
      <c r="V116" s="48"/>
      <c r="W116" s="48"/>
      <c r="X116" s="48"/>
    </row>
    <row r="117" spans="1:24" x14ac:dyDescent="0.25">
      <c r="A117" s="206"/>
      <c r="B117" s="206"/>
      <c r="C117" s="48"/>
      <c r="D117" s="206"/>
      <c r="E117" s="206"/>
      <c r="F117" s="206"/>
      <c r="G117" s="206"/>
      <c r="H117" s="206"/>
      <c r="I117" s="206"/>
      <c r="J117" s="206"/>
      <c r="K117" s="206"/>
      <c r="L117" s="206"/>
      <c r="M117" s="206"/>
      <c r="N117" s="206"/>
      <c r="O117" s="206"/>
      <c r="P117" s="206"/>
      <c r="Q117" s="206"/>
      <c r="R117" s="206"/>
      <c r="S117" s="206"/>
      <c r="V117" s="48"/>
      <c r="W117" s="48"/>
      <c r="X117" s="48"/>
    </row>
    <row r="118" spans="1:24" x14ac:dyDescent="0.25">
      <c r="A118" s="206"/>
      <c r="B118" s="206"/>
      <c r="C118" s="48"/>
      <c r="D118" s="206"/>
      <c r="E118" s="206"/>
      <c r="F118" s="206"/>
      <c r="G118" s="206"/>
      <c r="H118" s="206"/>
      <c r="I118" s="206"/>
      <c r="J118" s="206"/>
      <c r="K118" s="206"/>
      <c r="L118" s="206"/>
      <c r="M118" s="206"/>
      <c r="N118" s="206"/>
      <c r="O118" s="206"/>
      <c r="P118" s="206"/>
      <c r="Q118" s="206"/>
      <c r="R118" s="206"/>
      <c r="S118" s="206"/>
      <c r="V118" s="48"/>
      <c r="W118" s="48"/>
      <c r="X118" s="48"/>
    </row>
    <row r="119" spans="1:24" s="25" customFormat="1" x14ac:dyDescent="0.25">
      <c r="A119" s="48"/>
      <c r="B119" s="48"/>
      <c r="C119" s="48"/>
      <c r="D119" s="206"/>
      <c r="E119" s="206"/>
      <c r="F119" s="206"/>
      <c r="G119" s="206"/>
      <c r="H119" s="206"/>
      <c r="I119" s="206"/>
      <c r="J119" s="206"/>
      <c r="K119" s="206"/>
      <c r="L119" s="206"/>
      <c r="M119" s="206"/>
      <c r="N119" s="206"/>
      <c r="O119" s="206"/>
      <c r="P119" s="206"/>
      <c r="Q119" s="206"/>
      <c r="R119" s="206"/>
      <c r="S119" s="206"/>
      <c r="T119" s="14"/>
      <c r="U119" s="14"/>
      <c r="V119" s="48"/>
      <c r="W119" s="48"/>
      <c r="X119" s="48"/>
    </row>
    <row r="120" spans="1:24" s="25" customFormat="1" x14ac:dyDescent="0.25">
      <c r="A120" s="48"/>
      <c r="B120" s="48"/>
      <c r="C120" s="48"/>
      <c r="D120" s="206"/>
      <c r="E120" s="206"/>
      <c r="F120" s="206"/>
      <c r="G120" s="206"/>
      <c r="H120" s="206"/>
      <c r="I120" s="206"/>
      <c r="J120" s="206"/>
      <c r="K120" s="206"/>
      <c r="L120" s="206"/>
      <c r="M120" s="206"/>
      <c r="N120" s="206"/>
      <c r="O120" s="206"/>
      <c r="P120" s="206"/>
      <c r="Q120" s="206"/>
      <c r="R120" s="206"/>
      <c r="S120" s="206"/>
      <c r="T120" s="14"/>
      <c r="U120" s="14"/>
      <c r="V120" s="48"/>
      <c r="W120" s="48"/>
      <c r="X120" s="48"/>
    </row>
    <row r="121" spans="1:24" s="25" customFormat="1" x14ac:dyDescent="0.25">
      <c r="A121" s="48"/>
      <c r="B121" s="48"/>
      <c r="C121" s="48"/>
      <c r="D121" s="206"/>
      <c r="E121" s="206"/>
      <c r="F121" s="206"/>
      <c r="G121" s="206"/>
      <c r="H121" s="206"/>
      <c r="I121" s="206"/>
      <c r="J121" s="206"/>
      <c r="K121" s="206"/>
      <c r="L121" s="206"/>
      <c r="M121" s="206"/>
      <c r="N121" s="206"/>
      <c r="O121" s="206"/>
      <c r="P121" s="206"/>
      <c r="Q121" s="206"/>
      <c r="R121" s="206"/>
      <c r="S121" s="206"/>
      <c r="T121" s="14"/>
      <c r="U121" s="14"/>
      <c r="V121" s="48"/>
      <c r="W121" s="48"/>
      <c r="X121" s="48"/>
    </row>
    <row r="122" spans="1:24" s="25" customFormat="1" x14ac:dyDescent="0.25">
      <c r="A122" s="48"/>
      <c r="B122" s="48"/>
      <c r="C122" s="48"/>
      <c r="D122" s="206"/>
      <c r="E122" s="206"/>
      <c r="F122" s="206"/>
      <c r="G122" s="206"/>
      <c r="H122" s="206"/>
      <c r="I122" s="206"/>
      <c r="J122" s="206"/>
      <c r="K122" s="206"/>
      <c r="L122" s="206"/>
      <c r="M122" s="206"/>
      <c r="N122" s="206"/>
      <c r="O122" s="206"/>
      <c r="P122" s="206"/>
      <c r="Q122" s="206"/>
      <c r="R122" s="206"/>
      <c r="S122" s="206"/>
      <c r="T122" s="14"/>
      <c r="U122" s="14"/>
      <c r="V122" s="48"/>
      <c r="W122" s="48"/>
      <c r="X122" s="48"/>
    </row>
    <row r="123" spans="1:24" s="25" customFormat="1" x14ac:dyDescent="0.25">
      <c r="A123" s="48"/>
      <c r="B123" s="48"/>
      <c r="C123" s="48"/>
      <c r="D123" s="206"/>
      <c r="E123" s="206"/>
      <c r="F123" s="206"/>
      <c r="G123" s="206"/>
      <c r="H123" s="206"/>
      <c r="I123" s="206"/>
      <c r="J123" s="206"/>
      <c r="K123" s="206"/>
      <c r="L123" s="206"/>
      <c r="M123" s="206"/>
      <c r="N123" s="206"/>
      <c r="O123" s="206"/>
      <c r="P123" s="206"/>
      <c r="Q123" s="206"/>
      <c r="R123" s="206"/>
      <c r="S123" s="206"/>
      <c r="T123" s="14"/>
      <c r="U123" s="14"/>
      <c r="V123" s="48"/>
      <c r="W123" s="48"/>
      <c r="X123" s="48"/>
    </row>
    <row r="124" spans="1:24" s="25" customFormat="1" x14ac:dyDescent="0.25">
      <c r="A124" s="48"/>
      <c r="B124" s="48"/>
      <c r="C124" s="48"/>
      <c r="D124" s="206"/>
      <c r="E124" s="206"/>
      <c r="F124" s="206"/>
      <c r="G124" s="206"/>
      <c r="H124" s="206"/>
      <c r="I124" s="206"/>
      <c r="J124" s="206"/>
      <c r="K124" s="206"/>
      <c r="L124" s="206"/>
      <c r="M124" s="206"/>
      <c r="N124" s="206"/>
      <c r="O124" s="206"/>
      <c r="P124" s="206"/>
      <c r="Q124" s="206"/>
      <c r="R124" s="206"/>
      <c r="S124" s="206"/>
      <c r="T124" s="14"/>
      <c r="U124" s="14"/>
      <c r="V124" s="48"/>
      <c r="W124" s="48"/>
      <c r="X124" s="48"/>
    </row>
    <row r="125" spans="1:24" s="25" customFormat="1" x14ac:dyDescent="0.25">
      <c r="A125" s="48"/>
      <c r="B125" s="48"/>
      <c r="C125" s="48"/>
      <c r="D125" s="206"/>
      <c r="E125" s="206"/>
      <c r="F125" s="206"/>
      <c r="G125" s="206"/>
      <c r="H125" s="206"/>
      <c r="I125" s="206"/>
      <c r="J125" s="206"/>
      <c r="K125" s="206"/>
      <c r="L125" s="206"/>
      <c r="M125" s="206"/>
      <c r="N125" s="206"/>
      <c r="O125" s="206"/>
      <c r="P125" s="206"/>
      <c r="Q125" s="206"/>
      <c r="R125" s="206"/>
      <c r="S125" s="206"/>
      <c r="T125" s="14"/>
      <c r="U125" s="14"/>
      <c r="V125" s="48"/>
      <c r="W125" s="48"/>
      <c r="X125" s="48"/>
    </row>
    <row r="126" spans="1:24" s="25" customFormat="1" x14ac:dyDescent="0.25">
      <c r="A126" s="48"/>
      <c r="B126" s="48"/>
      <c r="C126" s="48"/>
      <c r="D126" s="206"/>
      <c r="E126" s="206"/>
      <c r="F126" s="206"/>
      <c r="G126" s="206"/>
      <c r="H126" s="206"/>
      <c r="I126" s="206"/>
      <c r="J126" s="206"/>
      <c r="K126" s="206"/>
      <c r="L126" s="206"/>
      <c r="M126" s="206"/>
      <c r="N126" s="206"/>
      <c r="O126" s="206"/>
      <c r="P126" s="206"/>
      <c r="Q126" s="206"/>
      <c r="R126" s="206"/>
      <c r="S126" s="206"/>
      <c r="T126" s="14"/>
      <c r="U126" s="14"/>
      <c r="V126" s="48"/>
      <c r="W126" s="48"/>
      <c r="X126" s="48"/>
    </row>
    <row r="127" spans="1:24" s="25" customFormat="1" x14ac:dyDescent="0.25">
      <c r="A127" s="48"/>
      <c r="B127" s="48"/>
      <c r="C127" s="48"/>
      <c r="D127" s="206"/>
      <c r="E127" s="206"/>
      <c r="F127" s="206"/>
      <c r="G127" s="206"/>
      <c r="H127" s="206"/>
      <c r="I127" s="206"/>
      <c r="J127" s="206"/>
      <c r="K127" s="206"/>
      <c r="L127" s="206"/>
      <c r="M127" s="206"/>
      <c r="N127" s="206"/>
      <c r="O127" s="206"/>
      <c r="P127" s="206"/>
      <c r="Q127" s="206"/>
      <c r="R127" s="206"/>
      <c r="S127" s="206"/>
      <c r="T127" s="14"/>
      <c r="U127" s="14"/>
      <c r="V127" s="48"/>
      <c r="W127" s="48"/>
      <c r="X127" s="48"/>
    </row>
    <row r="128" spans="1:24" s="25" customFormat="1" x14ac:dyDescent="0.25">
      <c r="A128" s="48"/>
      <c r="B128" s="48"/>
      <c r="C128" s="48"/>
      <c r="D128" s="206"/>
      <c r="E128" s="206"/>
      <c r="F128" s="206"/>
      <c r="G128" s="206"/>
      <c r="H128" s="206"/>
      <c r="I128" s="206"/>
      <c r="J128" s="206"/>
      <c r="K128" s="206"/>
      <c r="L128" s="206"/>
      <c r="M128" s="206"/>
      <c r="N128" s="206"/>
      <c r="O128" s="206"/>
      <c r="P128" s="206"/>
      <c r="Q128" s="206"/>
      <c r="R128" s="206"/>
      <c r="S128" s="206"/>
      <c r="T128" s="14"/>
      <c r="U128" s="14"/>
      <c r="V128" s="48"/>
      <c r="W128" s="48"/>
      <c r="X128" s="48"/>
    </row>
    <row r="129" spans="1:24" s="25" customFormat="1" x14ac:dyDescent="0.25">
      <c r="A129" s="48"/>
      <c r="B129" s="48"/>
      <c r="C129" s="48"/>
      <c r="D129" s="206"/>
      <c r="E129" s="206"/>
      <c r="F129" s="206"/>
      <c r="G129" s="206"/>
      <c r="H129" s="206"/>
      <c r="I129" s="206"/>
      <c r="J129" s="206"/>
      <c r="K129" s="206"/>
      <c r="L129" s="206"/>
      <c r="M129" s="206"/>
      <c r="N129" s="206"/>
      <c r="O129" s="206"/>
      <c r="P129" s="206"/>
      <c r="Q129" s="206"/>
      <c r="R129" s="206"/>
      <c r="S129" s="206"/>
      <c r="T129" s="14"/>
      <c r="U129" s="14"/>
      <c r="V129" s="48"/>
      <c r="W129" s="48"/>
      <c r="X129" s="48"/>
    </row>
    <row r="130" spans="1:24" s="25" customFormat="1" x14ac:dyDescent="0.25">
      <c r="A130" s="48"/>
      <c r="B130" s="48"/>
      <c r="C130" s="48"/>
      <c r="D130" s="206"/>
      <c r="E130" s="206"/>
      <c r="F130" s="206"/>
      <c r="G130" s="206"/>
      <c r="H130" s="206"/>
      <c r="I130" s="206"/>
      <c r="J130" s="206"/>
      <c r="K130" s="206"/>
      <c r="L130" s="206"/>
      <c r="M130" s="206"/>
      <c r="N130" s="206"/>
      <c r="O130" s="206"/>
      <c r="P130" s="206"/>
      <c r="Q130" s="206"/>
      <c r="R130" s="206"/>
      <c r="S130" s="206"/>
      <c r="T130" s="14"/>
      <c r="U130" s="14"/>
      <c r="V130" s="48"/>
      <c r="W130" s="48"/>
      <c r="X130" s="48"/>
    </row>
    <row r="131" spans="1:24" s="25" customFormat="1" x14ac:dyDescent="0.25">
      <c r="A131" s="48"/>
      <c r="B131" s="48"/>
      <c r="C131" s="48"/>
      <c r="D131" s="206"/>
      <c r="E131" s="206"/>
      <c r="F131" s="206"/>
      <c r="G131" s="206"/>
      <c r="H131" s="206"/>
      <c r="I131" s="206"/>
      <c r="J131" s="206"/>
      <c r="K131" s="206"/>
      <c r="L131" s="206"/>
      <c r="M131" s="206"/>
      <c r="N131" s="206"/>
      <c r="O131" s="206"/>
      <c r="P131" s="206"/>
      <c r="Q131" s="206"/>
      <c r="R131" s="206"/>
      <c r="S131" s="206"/>
      <c r="T131" s="14"/>
      <c r="U131" s="14"/>
      <c r="V131" s="48"/>
      <c r="W131" s="48"/>
      <c r="X131" s="48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3DACF-5DB7-4F27-B2AA-B6D9E72B0B3F}">
  <sheetPr codeName="Ark3"/>
  <dimension ref="A1:S106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ColWidth="9" defaultRowHeight="15" x14ac:dyDescent="0.25"/>
  <cols>
    <col min="1" max="1" width="36.85546875" bestFit="1" customWidth="1"/>
    <col min="2" max="2" width="11.42578125" style="48" bestFit="1" customWidth="1"/>
    <col min="3" max="3" width="16.85546875" style="48" customWidth="1"/>
    <col min="4" max="4" width="15.7109375" style="48" customWidth="1"/>
    <col min="5" max="6" width="16.28515625" style="48" customWidth="1"/>
    <col min="7" max="7" width="20.28515625" style="48" bestFit="1" customWidth="1"/>
    <col min="8" max="8" width="16.7109375" style="48" customWidth="1"/>
    <col min="9" max="9" width="19.42578125" style="48" bestFit="1" customWidth="1"/>
    <col min="10" max="10" width="23.5703125" style="48" bestFit="1" customWidth="1"/>
    <col min="11" max="12" width="23.5703125" style="48" customWidth="1"/>
    <col min="13" max="14" width="18.85546875" style="48" customWidth="1"/>
    <col min="15" max="15" width="20.7109375" style="48" customWidth="1"/>
    <col min="16" max="16" width="18.85546875" style="48" customWidth="1"/>
    <col min="17" max="17" width="21" style="48" customWidth="1"/>
    <col min="18" max="18" width="21.140625" style="48" customWidth="1"/>
    <col min="19" max="19" width="18.85546875" style="73" customWidth="1"/>
    <col min="20" max="16384" width="9" style="48"/>
  </cols>
  <sheetData>
    <row r="1" spans="1:19" customFormat="1" ht="39" thickBot="1" x14ac:dyDescent="0.3">
      <c r="A1" s="27" t="s">
        <v>223</v>
      </c>
      <c r="B1" s="28"/>
      <c r="C1" s="29" t="s">
        <v>224</v>
      </c>
      <c r="D1" s="30" t="s">
        <v>225</v>
      </c>
      <c r="E1" s="31" t="s">
        <v>226</v>
      </c>
      <c r="F1" s="31" t="s">
        <v>227</v>
      </c>
      <c r="G1" s="30" t="s">
        <v>228</v>
      </c>
      <c r="H1" s="32" t="s">
        <v>229</v>
      </c>
      <c r="I1" s="33"/>
      <c r="J1" s="33"/>
      <c r="K1" s="33"/>
      <c r="L1" s="215" t="s">
        <v>230</v>
      </c>
      <c r="M1" s="34" t="s">
        <v>231</v>
      </c>
      <c r="N1" s="32" t="s">
        <v>232</v>
      </c>
      <c r="O1" s="35"/>
      <c r="P1" s="32" t="s">
        <v>233</v>
      </c>
      <c r="Q1" s="33"/>
      <c r="R1" s="35"/>
      <c r="S1" s="36"/>
    </row>
    <row r="2" spans="1:19" ht="60.75" thickBot="1" x14ac:dyDescent="0.3">
      <c r="A2" s="37" t="s">
        <v>0</v>
      </c>
      <c r="B2" s="38" t="s">
        <v>1</v>
      </c>
      <c r="C2" s="38" t="s">
        <v>224</v>
      </c>
      <c r="D2" s="38" t="s">
        <v>234</v>
      </c>
      <c r="E2" s="39" t="s">
        <v>235</v>
      </c>
      <c r="F2" s="39" t="s">
        <v>235</v>
      </c>
      <c r="G2" s="38" t="s">
        <v>236</v>
      </c>
      <c r="H2" s="40" t="s">
        <v>237</v>
      </c>
      <c r="I2" s="41" t="s">
        <v>238</v>
      </c>
      <c r="J2" s="41" t="s">
        <v>239</v>
      </c>
      <c r="K2" s="42" t="s">
        <v>240</v>
      </c>
      <c r="L2" s="43" t="s">
        <v>241</v>
      </c>
      <c r="M2" s="44" t="s">
        <v>231</v>
      </c>
      <c r="N2" s="45" t="s">
        <v>242</v>
      </c>
      <c r="O2" s="46" t="s">
        <v>243</v>
      </c>
      <c r="P2" s="43" t="s">
        <v>244</v>
      </c>
      <c r="Q2" s="43" t="s">
        <v>245</v>
      </c>
      <c r="R2" s="43" t="s">
        <v>246</v>
      </c>
      <c r="S2" s="47" t="s">
        <v>247</v>
      </c>
    </row>
    <row r="3" spans="1:19" x14ac:dyDescent="0.25">
      <c r="A3" s="49" t="s">
        <v>19</v>
      </c>
      <c r="B3" s="49" t="s">
        <v>20</v>
      </c>
      <c r="C3" s="50">
        <v>45.323987342210877</v>
      </c>
      <c r="D3" s="51">
        <f>VLOOKUP(B3,'Costdrivere 2021'!B:M,12,0)</f>
        <v>0.12919432833374317</v>
      </c>
      <c r="E3" s="52">
        <f>SUM(VLOOKUP($B3,'Costdrivere 2021'!$B$4:$L$105,2,FALSE),VLOOKUP($B3,'Costdrivere 2021'!$B$4:$L$105,3,FALSE),VLOOKUP($B3,'Costdrivere 2021'!$B$4:$L$105,4,FALSE),VLOOKUP($B3,'Costdrivere 2021'!$B$4:$L$105,5,FALSE),VLOOKUP($B3,'Costdrivere 2021'!$B$4:$L$105,6,FALSE),VLOOKUP($B3,'Costdrivere 2021'!$B$4:$L$105,7,FALSE),VLOOKUP($B3,'Costdrivere 2021'!$B$4:$L$105,8,FALSE),VLOOKUP($B3,'Costdrivere 2021'!$B$4:$L$105,9,FALSE),VLOOKUP($B3,'Costdrivere 2021'!$B$4:$L$105,10,FALSE),VLOOKUP($B3,'Costdrivere 2021'!$B$4:$L$105,11,FALSE))</f>
        <v>9310854.4430054203</v>
      </c>
      <c r="F3" s="52">
        <f>VLOOKUP(B3,'Costdrivere 2021'!B:AP,39,0)+VLOOKUP(B3,'Costdrivere 2021'!B:AP,40,0)+VLOOKUP(B3,'Costdrivere 2021'!B:AP,41,0)</f>
        <v>54271637.190885819</v>
      </c>
      <c r="G3" s="53">
        <v>7599135.6653000005</v>
      </c>
      <c r="H3" s="5">
        <v>26984279.673749369</v>
      </c>
      <c r="I3" s="54">
        <v>482587.30000000005</v>
      </c>
      <c r="J3" s="54">
        <f>VLOOKUP(B3,'Gennemførte investeringer'!B:P,15,0)</f>
        <v>8727086.6130598504</v>
      </c>
      <c r="K3" s="55">
        <f>SUM(H3:J3)</f>
        <v>36193953.586809218</v>
      </c>
      <c r="L3" s="53">
        <f>G3+K3</f>
        <v>43793089.252109215</v>
      </c>
      <c r="M3" s="56">
        <v>0</v>
      </c>
      <c r="N3" s="52">
        <v>0</v>
      </c>
      <c r="O3" s="57">
        <v>0</v>
      </c>
      <c r="P3" s="53">
        <f>G3-N3</f>
        <v>7599135.6653000005</v>
      </c>
      <c r="Q3" s="53">
        <f>K3-M3-O3</f>
        <v>36193953.586809218</v>
      </c>
      <c r="R3" s="53">
        <f>P3+Q3</f>
        <v>43793089.252109215</v>
      </c>
      <c r="S3" s="58">
        <v>0</v>
      </c>
    </row>
    <row r="4" spans="1:19" x14ac:dyDescent="0.25">
      <c r="A4" s="49" t="s">
        <v>21</v>
      </c>
      <c r="B4" s="49" t="s">
        <v>22</v>
      </c>
      <c r="C4" s="50">
        <v>33.880375873503084</v>
      </c>
      <c r="D4" s="51">
        <f>VLOOKUP(B4,'Costdrivere 2021'!B:M,12,0)</f>
        <v>4.7969173907914921E-2</v>
      </c>
      <c r="E4" s="52">
        <f>SUM(VLOOKUP($B4,'Costdrivere 2021'!$B$4:$L$105,2,FALSE),VLOOKUP($B4,'Costdrivere 2021'!$B$4:$L$105,3,FALSE),VLOOKUP($B4,'Costdrivere 2021'!$B$4:$L$105,4,FALSE),VLOOKUP($B4,'Costdrivere 2021'!$B$4:$L$105,5,FALSE),VLOOKUP($B4,'Costdrivere 2021'!$B$4:$L$105,6,FALSE),VLOOKUP($B4,'Costdrivere 2021'!$B$4:$L$105,7,FALSE),VLOOKUP($B4,'Costdrivere 2021'!$B$4:$L$105,8,FALSE),VLOOKUP($B4,'Costdrivere 2021'!$B$4:$L$105,9,FALSE),VLOOKUP($B4,'Costdrivere 2021'!$B$4:$L$105,10,FALSE),VLOOKUP($B4,'Costdrivere 2021'!$B$4:$L$105,11,FALSE))</f>
        <v>14278822.114607561</v>
      </c>
      <c r="F4" s="52">
        <f>VLOOKUP(B4,'Costdrivere 2021'!B:AP,39,0)+VLOOKUP(B4,'Costdrivere 2021'!B:AP,40,0)+VLOOKUP(B4,'Costdrivere 2021'!B:AP,41,0)</f>
        <v>42687919.74825646</v>
      </c>
      <c r="G4" s="53">
        <v>14067876.296500001</v>
      </c>
      <c r="H4" s="5">
        <v>22678955.776247267</v>
      </c>
      <c r="I4" s="54">
        <v>1942388.8</v>
      </c>
      <c r="J4" s="54">
        <f>VLOOKUP(B4,'Gennemførte investeringer'!B:P,15,0)</f>
        <v>9548565.0190295335</v>
      </c>
      <c r="K4" s="55">
        <f>SUM(H4:J4)</f>
        <v>34169909.595276803</v>
      </c>
      <c r="L4" s="53">
        <f>G4+K4</f>
        <v>48237785.8917768</v>
      </c>
      <c r="M4" s="56">
        <v>0</v>
      </c>
      <c r="N4" s="52">
        <v>0</v>
      </c>
      <c r="O4" s="57">
        <v>0</v>
      </c>
      <c r="P4" s="53">
        <f>G4-N4</f>
        <v>14067876.296500001</v>
      </c>
      <c r="Q4" s="53">
        <f>K4-M4-O4</f>
        <v>34169909.595276803</v>
      </c>
      <c r="R4" s="53">
        <f>P4+Q4</f>
        <v>48237785.8917768</v>
      </c>
      <c r="S4" s="58">
        <v>0</v>
      </c>
    </row>
    <row r="5" spans="1:19" x14ac:dyDescent="0.25">
      <c r="A5" s="49" t="s">
        <v>23</v>
      </c>
      <c r="B5" s="49" t="s">
        <v>24</v>
      </c>
      <c r="C5" s="50">
        <v>31.045248550463086</v>
      </c>
      <c r="D5" s="51">
        <f>VLOOKUP(B5,'Costdrivere 2021'!B:M,12,0)</f>
        <v>2.534306123408055E-2</v>
      </c>
      <c r="E5" s="52">
        <f>SUM(VLOOKUP($B5,'Costdrivere 2021'!$B$4:$L$105,2,FALSE),VLOOKUP($B5,'Costdrivere 2021'!$B$4:$L$105,3,FALSE),VLOOKUP($B5,'Costdrivere 2021'!$B$4:$L$105,4,FALSE),VLOOKUP($B5,'Costdrivere 2021'!$B$4:$L$105,5,FALSE),VLOOKUP($B5,'Costdrivere 2021'!$B$4:$L$105,6,FALSE),VLOOKUP($B5,'Costdrivere 2021'!$B$4:$L$105,7,FALSE),VLOOKUP($B5,'Costdrivere 2021'!$B$4:$L$105,8,FALSE),VLOOKUP($B5,'Costdrivere 2021'!$B$4:$L$105,9,FALSE),VLOOKUP($B5,'Costdrivere 2021'!$B$4:$L$105,10,FALSE),VLOOKUP($B5,'Costdrivere 2021'!$B$4:$L$105,11,FALSE))</f>
        <v>25500778.084593911</v>
      </c>
      <c r="F5" s="52">
        <f>VLOOKUP(B5,'Costdrivere 2021'!B:AP,39,0)+VLOOKUP(B5,'Costdrivere 2021'!B:AP,40,0)+VLOOKUP(B5,'Costdrivere 2021'!B:AP,41,0)</f>
        <v>94077156.572818235</v>
      </c>
      <c r="G5" s="53">
        <v>25061234.023101002</v>
      </c>
      <c r="H5" s="5">
        <v>45945722.439516909</v>
      </c>
      <c r="I5" s="54">
        <v>1755763.9637000002</v>
      </c>
      <c r="J5" s="54">
        <f>VLOOKUP(B5,'Gennemførte investeringer'!B:P,15,0)</f>
        <v>10961401.776884925</v>
      </c>
      <c r="K5" s="55">
        <f t="shared" ref="K5:K68" si="0">SUM(H5:J5)</f>
        <v>58662888.180101842</v>
      </c>
      <c r="L5" s="53">
        <f t="shared" ref="L5:L68" si="1">G5+K5</f>
        <v>83724122.203202844</v>
      </c>
      <c r="M5" s="56">
        <v>0</v>
      </c>
      <c r="N5" s="52">
        <v>0</v>
      </c>
      <c r="O5" s="57">
        <v>0</v>
      </c>
      <c r="P5" s="53">
        <f t="shared" ref="P5:P68" si="2">G5-N5</f>
        <v>25061234.023101002</v>
      </c>
      <c r="Q5" s="53">
        <f t="shared" ref="Q5:Q68" si="3">K5-M5-O5</f>
        <v>58662888.180101842</v>
      </c>
      <c r="R5" s="53">
        <f t="shared" ref="R5:R68" si="4">P5+Q5</f>
        <v>83724122.203202844</v>
      </c>
      <c r="S5" s="58">
        <v>0</v>
      </c>
    </row>
    <row r="6" spans="1:19" x14ac:dyDescent="0.25">
      <c r="A6" s="49" t="s">
        <v>25</v>
      </c>
      <c r="B6" s="49" t="s">
        <v>26</v>
      </c>
      <c r="C6" s="50">
        <v>36.427585071804721</v>
      </c>
      <c r="D6" s="51">
        <f>VLOOKUP(B6,'Costdrivere 2021'!B:M,12,0)</f>
        <v>2.1218210537137943E-2</v>
      </c>
      <c r="E6" s="52">
        <f>SUM(VLOOKUP($B6,'Costdrivere 2021'!$B$4:$L$105,2,FALSE),VLOOKUP($B6,'Costdrivere 2021'!$B$4:$L$105,3,FALSE),VLOOKUP($B6,'Costdrivere 2021'!$B$4:$L$105,4,FALSE),VLOOKUP($B6,'Costdrivere 2021'!$B$4:$L$105,5,FALSE),VLOOKUP($B6,'Costdrivere 2021'!$B$4:$L$105,6,FALSE),VLOOKUP($B6,'Costdrivere 2021'!$B$4:$L$105,7,FALSE),VLOOKUP($B6,'Costdrivere 2021'!$B$4:$L$105,8,FALSE),VLOOKUP($B6,'Costdrivere 2021'!$B$4:$L$105,9,FALSE),VLOOKUP($B6,'Costdrivere 2021'!$B$4:$L$105,10,FALSE),VLOOKUP($B6,'Costdrivere 2021'!$B$4:$L$105,11,FALSE))</f>
        <v>38854467.363687508</v>
      </c>
      <c r="F6" s="52">
        <f>VLOOKUP(B6,'Costdrivere 2021'!B:AP,39,0)+VLOOKUP(B6,'Costdrivere 2021'!B:AP,40,0)+VLOOKUP(B6,'Costdrivere 2021'!B:AP,41,0)</f>
        <v>141180247.85178065</v>
      </c>
      <c r="G6" s="53">
        <v>27004070.646055996</v>
      </c>
      <c r="H6" s="5">
        <v>82919013.554761708</v>
      </c>
      <c r="I6" s="54">
        <v>3754348.6</v>
      </c>
      <c r="J6" s="54">
        <f>VLOOKUP(B6,'Gennemførte investeringer'!B:P,15,0)</f>
        <v>17570259.439717293</v>
      </c>
      <c r="K6" s="55">
        <f t="shared" si="0"/>
        <v>104243621.59447899</v>
      </c>
      <c r="L6" s="53">
        <f t="shared" si="1"/>
        <v>131247692.24053499</v>
      </c>
      <c r="M6" s="56">
        <v>0</v>
      </c>
      <c r="N6" s="52">
        <v>0</v>
      </c>
      <c r="O6" s="57">
        <v>0</v>
      </c>
      <c r="P6" s="53">
        <f t="shared" si="2"/>
        <v>27004070.646055996</v>
      </c>
      <c r="Q6" s="53">
        <f t="shared" si="3"/>
        <v>104243621.59447899</v>
      </c>
      <c r="R6" s="53">
        <f t="shared" si="4"/>
        <v>131247692.24053499</v>
      </c>
      <c r="S6" s="58">
        <v>0</v>
      </c>
    </row>
    <row r="7" spans="1:19" x14ac:dyDescent="0.25">
      <c r="A7" s="49" t="s">
        <v>27</v>
      </c>
      <c r="B7" s="49" t="s">
        <v>28</v>
      </c>
      <c r="C7" s="50">
        <v>22.625946235743523</v>
      </c>
      <c r="D7" s="51">
        <f>VLOOKUP(B7,'Costdrivere 2021'!B:M,12,0)</f>
        <v>0</v>
      </c>
      <c r="E7" s="52">
        <f>SUM(VLOOKUP($B7,'Costdrivere 2021'!$B$4:$L$105,2,FALSE),VLOOKUP($B7,'Costdrivere 2021'!$B$4:$L$105,3,FALSE),VLOOKUP($B7,'Costdrivere 2021'!$B$4:$L$105,4,FALSE),VLOOKUP($B7,'Costdrivere 2021'!$B$4:$L$105,5,FALSE),VLOOKUP($B7,'Costdrivere 2021'!$B$4:$L$105,6,FALSE),VLOOKUP($B7,'Costdrivere 2021'!$B$4:$L$105,7,FALSE),VLOOKUP($B7,'Costdrivere 2021'!$B$4:$L$105,8,FALSE),VLOOKUP($B7,'Costdrivere 2021'!$B$4:$L$105,9,FALSE),VLOOKUP($B7,'Costdrivere 2021'!$B$4:$L$105,10,FALSE),VLOOKUP($B7,'Costdrivere 2021'!$B$4:$L$105,11,FALSE))</f>
        <v>15798824.924861358</v>
      </c>
      <c r="F7" s="52">
        <f>VLOOKUP(B7,'Costdrivere 2021'!B:AP,39,0)+VLOOKUP(B7,'Costdrivere 2021'!B:AP,40,0)+VLOOKUP(B7,'Costdrivere 2021'!B:AP,41,0)</f>
        <v>11846083.572263233</v>
      </c>
      <c r="G7" s="53">
        <v>12936014.437800001</v>
      </c>
      <c r="H7" s="5">
        <v>4880486.779735784</v>
      </c>
      <c r="I7" s="54">
        <v>494194.47770000005</v>
      </c>
      <c r="J7" s="54">
        <f>VLOOKUP(B7,'Gennemførte investeringer'!B:P,15,0)</f>
        <v>3420090.5636759666</v>
      </c>
      <c r="K7" s="55">
        <f t="shared" si="0"/>
        <v>8794771.8211117499</v>
      </c>
      <c r="L7" s="53">
        <f t="shared" si="1"/>
        <v>21730786.258911751</v>
      </c>
      <c r="M7" s="56">
        <v>0</v>
      </c>
      <c r="N7" s="52">
        <v>0</v>
      </c>
      <c r="O7" s="57">
        <v>1926479.7865944158</v>
      </c>
      <c r="P7" s="53">
        <f t="shared" si="2"/>
        <v>12936014.437800001</v>
      </c>
      <c r="Q7" s="53">
        <f t="shared" si="3"/>
        <v>6868292.0345173338</v>
      </c>
      <c r="R7" s="53">
        <f t="shared" si="4"/>
        <v>19804306.472317334</v>
      </c>
      <c r="S7" s="58">
        <v>0</v>
      </c>
    </row>
    <row r="8" spans="1:19" x14ac:dyDescent="0.25">
      <c r="A8" s="49" t="s">
        <v>29</v>
      </c>
      <c r="B8" s="49" t="s">
        <v>30</v>
      </c>
      <c r="C8" s="50">
        <v>30.903716625728514</v>
      </c>
      <c r="D8" s="51">
        <f>VLOOKUP(B8,'Costdrivere 2021'!B:M,12,0)</f>
        <v>1.8722503245248535E-2</v>
      </c>
      <c r="E8" s="52">
        <f>SUM(VLOOKUP($B8,'Costdrivere 2021'!$B$4:$L$105,2,FALSE),VLOOKUP($B8,'Costdrivere 2021'!$B$4:$L$105,3,FALSE),VLOOKUP($B8,'Costdrivere 2021'!$B$4:$L$105,4,FALSE),VLOOKUP($B8,'Costdrivere 2021'!$B$4:$L$105,5,FALSE),VLOOKUP($B8,'Costdrivere 2021'!$B$4:$L$105,6,FALSE),VLOOKUP($B8,'Costdrivere 2021'!$B$4:$L$105,7,FALSE),VLOOKUP($B8,'Costdrivere 2021'!$B$4:$L$105,8,FALSE),VLOOKUP($B8,'Costdrivere 2021'!$B$4:$L$105,9,FALSE),VLOOKUP($B8,'Costdrivere 2021'!$B$4:$L$105,10,FALSE),VLOOKUP($B8,'Costdrivere 2021'!$B$4:$L$105,11,FALSE))</f>
        <v>17467027.654984679</v>
      </c>
      <c r="F8" s="52">
        <f>VLOOKUP(B8,'Costdrivere 2021'!B:AP,39,0)+VLOOKUP(B8,'Costdrivere 2021'!B:AP,40,0)+VLOOKUP(B8,'Costdrivere 2021'!B:AP,41,0)</f>
        <v>83261023.861978114</v>
      </c>
      <c r="G8" s="53">
        <v>16324209.706100002</v>
      </c>
      <c r="H8" s="5">
        <v>51494471.820060171</v>
      </c>
      <c r="I8" s="54">
        <v>3129357.9145000004</v>
      </c>
      <c r="J8" s="54">
        <f>VLOOKUP(B8,'Gennemførte investeringer'!B:P,15,0)</f>
        <v>14287938.120488241</v>
      </c>
      <c r="K8" s="55">
        <f t="shared" si="0"/>
        <v>68911767.855048418</v>
      </c>
      <c r="L8" s="53">
        <f t="shared" si="1"/>
        <v>85235977.56114842</v>
      </c>
      <c r="M8" s="56">
        <v>66370.68162580028</v>
      </c>
      <c r="N8" s="52">
        <v>0</v>
      </c>
      <c r="O8" s="57">
        <v>1769638.8825159748</v>
      </c>
      <c r="P8" s="53">
        <f t="shared" si="2"/>
        <v>16324209.706100002</v>
      </c>
      <c r="Q8" s="53">
        <f t="shared" si="3"/>
        <v>67075758.290906645</v>
      </c>
      <c r="R8" s="53">
        <f t="shared" si="4"/>
        <v>83399967.997006655</v>
      </c>
      <c r="S8" s="58">
        <v>0</v>
      </c>
    </row>
    <row r="9" spans="1:19" x14ac:dyDescent="0.25">
      <c r="A9" s="49" t="s">
        <v>31</v>
      </c>
      <c r="B9" s="49" t="s">
        <v>32</v>
      </c>
      <c r="C9" s="50">
        <v>36.484902731912975</v>
      </c>
      <c r="D9" s="51">
        <f>VLOOKUP(B9,'Costdrivere 2021'!B:M,12,0)</f>
        <v>3.5208599948809823E-2</v>
      </c>
      <c r="E9" s="52">
        <f>SUM(VLOOKUP($B9,'Costdrivere 2021'!$B$4:$L$105,2,FALSE),VLOOKUP($B9,'Costdrivere 2021'!$B$4:$L$105,3,FALSE),VLOOKUP($B9,'Costdrivere 2021'!$B$4:$L$105,4,FALSE),VLOOKUP($B9,'Costdrivere 2021'!$B$4:$L$105,5,FALSE),VLOOKUP($B9,'Costdrivere 2021'!$B$4:$L$105,6,FALSE),VLOOKUP($B9,'Costdrivere 2021'!$B$4:$L$105,7,FALSE),VLOOKUP($B9,'Costdrivere 2021'!$B$4:$L$105,8,FALSE),VLOOKUP($B9,'Costdrivere 2021'!$B$4:$L$105,9,FALSE),VLOOKUP($B9,'Costdrivere 2021'!$B$4:$L$105,10,FALSE),VLOOKUP($B9,'Costdrivere 2021'!$B$4:$L$105,11,FALSE))</f>
        <v>11125073.002406184</v>
      </c>
      <c r="F9" s="52">
        <f>VLOOKUP(B9,'Costdrivere 2021'!B:AP,39,0)+VLOOKUP(B9,'Costdrivere 2021'!B:AP,40,0)+VLOOKUP(B9,'Costdrivere 2021'!B:AP,41,0)</f>
        <v>48740490.017166086</v>
      </c>
      <c r="G9" s="53">
        <v>8124510.7004000004</v>
      </c>
      <c r="H9" s="5">
        <v>22543006.889328327</v>
      </c>
      <c r="I9" s="54">
        <v>564104.42170000006</v>
      </c>
      <c r="J9" s="54">
        <f>VLOOKUP(B9,'Gennemførte investeringer'!B:P,15,0)</f>
        <v>7550274.1155556906</v>
      </c>
      <c r="K9" s="55">
        <f t="shared" si="0"/>
        <v>30657385.42658402</v>
      </c>
      <c r="L9" s="53">
        <f t="shared" si="1"/>
        <v>38781896.126984023</v>
      </c>
      <c r="M9" s="56">
        <v>140177.58066312605</v>
      </c>
      <c r="N9" s="52">
        <v>0</v>
      </c>
      <c r="O9" s="57">
        <v>0</v>
      </c>
      <c r="P9" s="53">
        <f t="shared" si="2"/>
        <v>8124510.7004000004</v>
      </c>
      <c r="Q9" s="53">
        <f t="shared" si="3"/>
        <v>30517207.845920894</v>
      </c>
      <c r="R9" s="53">
        <f t="shared" si="4"/>
        <v>38641718.546320893</v>
      </c>
      <c r="S9" s="58">
        <v>0</v>
      </c>
    </row>
    <row r="10" spans="1:19" x14ac:dyDescent="0.25">
      <c r="A10" s="49" t="s">
        <v>33</v>
      </c>
      <c r="B10" s="49" t="s">
        <v>34</v>
      </c>
      <c r="C10" s="50">
        <v>22.68756875803734</v>
      </c>
      <c r="D10" s="51">
        <f>VLOOKUP(B10,'Costdrivere 2021'!B:M,12,0)</f>
        <v>2.6666666666666666E-3</v>
      </c>
      <c r="E10" s="52">
        <f>SUM(VLOOKUP($B10,'Costdrivere 2021'!$B$4:$L$105,2,FALSE),VLOOKUP($B10,'Costdrivere 2021'!$B$4:$L$105,3,FALSE),VLOOKUP($B10,'Costdrivere 2021'!$B$4:$L$105,4,FALSE),VLOOKUP($B10,'Costdrivere 2021'!$B$4:$L$105,5,FALSE),VLOOKUP($B10,'Costdrivere 2021'!$B$4:$L$105,6,FALSE),VLOOKUP($B10,'Costdrivere 2021'!$B$4:$L$105,7,FALSE),VLOOKUP($B10,'Costdrivere 2021'!$B$4:$L$105,8,FALSE),VLOOKUP($B10,'Costdrivere 2021'!$B$4:$L$105,9,FALSE),VLOOKUP($B10,'Costdrivere 2021'!$B$4:$L$105,10,FALSE),VLOOKUP($B10,'Costdrivere 2021'!$B$4:$L$105,11,FALSE))</f>
        <v>130076033.47367933</v>
      </c>
      <c r="F10" s="52">
        <f>VLOOKUP(B10,'Costdrivere 2021'!B:AP,39,0)+VLOOKUP(B10,'Costdrivere 2021'!B:AP,40,0)+VLOOKUP(B10,'Costdrivere 2021'!B:AP,41,0)</f>
        <v>233735841.18948704</v>
      </c>
      <c r="G10" s="53">
        <v>169623396.50538599</v>
      </c>
      <c r="H10" s="5">
        <v>38827549.510928378</v>
      </c>
      <c r="I10" s="54">
        <v>8405817.4794159997</v>
      </c>
      <c r="J10" s="54">
        <f>VLOOKUP(B10,'Gennemførte investeringer'!B:P,15,0)</f>
        <v>81444749.173657686</v>
      </c>
      <c r="K10" s="55">
        <f t="shared" si="0"/>
        <v>128678116.16400206</v>
      </c>
      <c r="L10" s="53">
        <f t="shared" si="1"/>
        <v>298301512.66938806</v>
      </c>
      <c r="M10" s="56">
        <v>212784.429015</v>
      </c>
      <c r="N10" s="52">
        <v>0</v>
      </c>
      <c r="O10" s="57">
        <v>0</v>
      </c>
      <c r="P10" s="53">
        <f t="shared" si="2"/>
        <v>169623396.50538599</v>
      </c>
      <c r="Q10" s="53">
        <f t="shared" si="3"/>
        <v>128465331.73498707</v>
      </c>
      <c r="R10" s="53">
        <f t="shared" si="4"/>
        <v>298088728.24037308</v>
      </c>
      <c r="S10" s="58">
        <v>0</v>
      </c>
    </row>
    <row r="11" spans="1:19" x14ac:dyDescent="0.25">
      <c r="A11" s="49" t="s">
        <v>35</v>
      </c>
      <c r="B11" s="49" t="s">
        <v>36</v>
      </c>
      <c r="C11" s="50">
        <v>35.718858995803394</v>
      </c>
      <c r="D11" s="51">
        <f>VLOOKUP(B11,'Costdrivere 2021'!B:M,12,0)</f>
        <v>1.7403411068569441E-4</v>
      </c>
      <c r="E11" s="52">
        <f>SUM(VLOOKUP($B11,'Costdrivere 2021'!$B$4:$L$105,2,FALSE),VLOOKUP($B11,'Costdrivere 2021'!$B$4:$L$105,3,FALSE),VLOOKUP($B11,'Costdrivere 2021'!$B$4:$L$105,4,FALSE),VLOOKUP($B11,'Costdrivere 2021'!$B$4:$L$105,5,FALSE),VLOOKUP($B11,'Costdrivere 2021'!$B$4:$L$105,6,FALSE),VLOOKUP($B11,'Costdrivere 2021'!$B$4:$L$105,7,FALSE),VLOOKUP($B11,'Costdrivere 2021'!$B$4:$L$105,8,FALSE),VLOOKUP($B11,'Costdrivere 2021'!$B$4:$L$105,9,FALSE),VLOOKUP($B11,'Costdrivere 2021'!$B$4:$L$105,10,FALSE),VLOOKUP($B11,'Costdrivere 2021'!$B$4:$L$105,11,FALSE))</f>
        <v>60903931.246187598</v>
      </c>
      <c r="F11" s="52">
        <f>VLOOKUP(B11,'Costdrivere 2021'!B:AP,39,0)+VLOOKUP(B11,'Costdrivere 2021'!B:AP,40,0)+VLOOKUP(B11,'Costdrivere 2021'!B:AP,41,0)</f>
        <v>78845156.248300508</v>
      </c>
      <c r="G11" s="53">
        <v>64642294.231789984</v>
      </c>
      <c r="H11" s="5">
        <v>24982065.756539296</v>
      </c>
      <c r="I11" s="54">
        <v>1441244.172243</v>
      </c>
      <c r="J11" s="54">
        <f>VLOOKUP(B11,'Gennemførte investeringer'!B:P,15,0)</f>
        <v>20692799.12895387</v>
      </c>
      <c r="K11" s="55">
        <f t="shared" si="0"/>
        <v>47116109.057736166</v>
      </c>
      <c r="L11" s="53">
        <f t="shared" si="1"/>
        <v>111758403.28952615</v>
      </c>
      <c r="M11" s="56">
        <v>52834.781300000002</v>
      </c>
      <c r="N11" s="52">
        <v>0</v>
      </c>
      <c r="O11" s="57">
        <v>0</v>
      </c>
      <c r="P11" s="53">
        <f t="shared" si="2"/>
        <v>64642294.231789984</v>
      </c>
      <c r="Q11" s="53">
        <f t="shared" si="3"/>
        <v>47063274.276436165</v>
      </c>
      <c r="R11" s="53">
        <f t="shared" si="4"/>
        <v>111705568.50822616</v>
      </c>
      <c r="S11" s="58">
        <v>0</v>
      </c>
    </row>
    <row r="12" spans="1:19" x14ac:dyDescent="0.25">
      <c r="A12" s="49" t="s">
        <v>37</v>
      </c>
      <c r="B12" s="49" t="s">
        <v>38</v>
      </c>
      <c r="C12" s="50">
        <v>36.826304590064616</v>
      </c>
      <c r="D12" s="51">
        <f>VLOOKUP(B12,'Costdrivere 2021'!B:M,12,0)</f>
        <v>3.1739705945145816E-2</v>
      </c>
      <c r="E12" s="52">
        <f>SUM(VLOOKUP($B12,'Costdrivere 2021'!$B$4:$L$105,2,FALSE),VLOOKUP($B12,'Costdrivere 2021'!$B$4:$L$105,3,FALSE),VLOOKUP($B12,'Costdrivere 2021'!$B$4:$L$105,4,FALSE),VLOOKUP($B12,'Costdrivere 2021'!$B$4:$L$105,5,FALSE),VLOOKUP($B12,'Costdrivere 2021'!$B$4:$L$105,6,FALSE),VLOOKUP($B12,'Costdrivere 2021'!$B$4:$L$105,7,FALSE),VLOOKUP($B12,'Costdrivere 2021'!$B$4:$L$105,8,FALSE),VLOOKUP($B12,'Costdrivere 2021'!$B$4:$L$105,9,FALSE),VLOOKUP($B12,'Costdrivere 2021'!$B$4:$L$105,10,FALSE),VLOOKUP($B12,'Costdrivere 2021'!$B$4:$L$105,11,FALSE))</f>
        <v>25133592.519420203</v>
      </c>
      <c r="F12" s="52">
        <f>VLOOKUP(B12,'Costdrivere 2021'!B:AP,39,0)+VLOOKUP(B12,'Costdrivere 2021'!B:AP,40,0)+VLOOKUP(B12,'Costdrivere 2021'!B:AP,41,0)</f>
        <v>71602952.456479862</v>
      </c>
      <c r="G12" s="53">
        <v>25942455.759892002</v>
      </c>
      <c r="H12" s="5">
        <v>35557026.666396834</v>
      </c>
      <c r="I12" s="54">
        <v>543460.36037200002</v>
      </c>
      <c r="J12" s="54">
        <f>VLOOKUP(B12,'Gennemførte investeringer'!B:P,15,0)</f>
        <v>6920493.7364067053</v>
      </c>
      <c r="K12" s="55">
        <f t="shared" si="0"/>
        <v>43020980.76317554</v>
      </c>
      <c r="L12" s="53">
        <f t="shared" si="1"/>
        <v>68963436.523067534</v>
      </c>
      <c r="M12" s="56">
        <v>0</v>
      </c>
      <c r="N12" s="52">
        <v>0</v>
      </c>
      <c r="O12" s="57">
        <v>0</v>
      </c>
      <c r="P12" s="53">
        <f t="shared" si="2"/>
        <v>25942455.759892002</v>
      </c>
      <c r="Q12" s="53">
        <f t="shared" si="3"/>
        <v>43020980.76317554</v>
      </c>
      <c r="R12" s="53">
        <f t="shared" si="4"/>
        <v>68963436.523067534</v>
      </c>
      <c r="S12" s="58">
        <v>0</v>
      </c>
    </row>
    <row r="13" spans="1:19" x14ac:dyDescent="0.25">
      <c r="A13" s="49" t="s">
        <v>39</v>
      </c>
      <c r="B13" s="49" t="s">
        <v>40</v>
      </c>
      <c r="C13" s="50">
        <v>46.452693338622765</v>
      </c>
      <c r="D13" s="51">
        <f>VLOOKUP(B13,'Costdrivere 2021'!B:M,12,0)</f>
        <v>0.1365897435897436</v>
      </c>
      <c r="E13" s="52">
        <f>SUM(VLOOKUP($B13,'Costdrivere 2021'!$B$4:$L$105,2,FALSE),VLOOKUP($B13,'Costdrivere 2021'!$B$4:$L$105,3,FALSE),VLOOKUP($B13,'Costdrivere 2021'!$B$4:$L$105,4,FALSE),VLOOKUP($B13,'Costdrivere 2021'!$B$4:$L$105,5,FALSE),VLOOKUP($B13,'Costdrivere 2021'!$B$4:$L$105,6,FALSE),VLOOKUP($B13,'Costdrivere 2021'!$B$4:$L$105,7,FALSE),VLOOKUP($B13,'Costdrivere 2021'!$B$4:$L$105,8,FALSE),VLOOKUP($B13,'Costdrivere 2021'!$B$4:$L$105,9,FALSE),VLOOKUP($B13,'Costdrivere 2021'!$B$4:$L$105,10,FALSE),VLOOKUP($B13,'Costdrivere 2021'!$B$4:$L$105,11,FALSE))</f>
        <v>6872789.4504383653</v>
      </c>
      <c r="F13" s="52">
        <f>VLOOKUP(B13,'Costdrivere 2021'!B:AP,39,0)+VLOOKUP(B13,'Costdrivere 2021'!B:AP,40,0)+VLOOKUP(B13,'Costdrivere 2021'!B:AP,41,0)</f>
        <v>31680513.945333332</v>
      </c>
      <c r="G13" s="53">
        <v>8970142.1054000016</v>
      </c>
      <c r="H13" s="5">
        <v>23793625.392172866</v>
      </c>
      <c r="I13" s="54">
        <v>955141.60000000009</v>
      </c>
      <c r="J13" s="54">
        <f>VLOOKUP(B13,'Gennemførte investeringer'!B:P,15,0)</f>
        <v>7797849.3427440338</v>
      </c>
      <c r="K13" s="55">
        <f t="shared" si="0"/>
        <v>32546616.334916901</v>
      </c>
      <c r="L13" s="53">
        <f t="shared" si="1"/>
        <v>41516758.440316901</v>
      </c>
      <c r="M13" s="56">
        <v>0</v>
      </c>
      <c r="N13" s="52">
        <v>0</v>
      </c>
      <c r="O13" s="57">
        <v>0</v>
      </c>
      <c r="P13" s="53">
        <f t="shared" si="2"/>
        <v>8970142.1054000016</v>
      </c>
      <c r="Q13" s="53">
        <f t="shared" si="3"/>
        <v>32546616.334916901</v>
      </c>
      <c r="R13" s="53">
        <f t="shared" si="4"/>
        <v>41516758.440316901</v>
      </c>
      <c r="S13" s="58">
        <v>0</v>
      </c>
    </row>
    <row r="14" spans="1:19" x14ac:dyDescent="0.25">
      <c r="A14" s="49" t="s">
        <v>41</v>
      </c>
      <c r="B14" s="49" t="s">
        <v>42</v>
      </c>
      <c r="C14" s="50">
        <v>35.280918472795605</v>
      </c>
      <c r="D14" s="51">
        <f>VLOOKUP(B14,'Costdrivere 2021'!B:M,12,0)</f>
        <v>3.7084821428571425E-2</v>
      </c>
      <c r="E14" s="52">
        <f>SUM(VLOOKUP($B14,'Costdrivere 2021'!$B$4:$L$105,2,FALSE),VLOOKUP($B14,'Costdrivere 2021'!$B$4:$L$105,3,FALSE),VLOOKUP($B14,'Costdrivere 2021'!$B$4:$L$105,4,FALSE),VLOOKUP($B14,'Costdrivere 2021'!$B$4:$L$105,5,FALSE),VLOOKUP($B14,'Costdrivere 2021'!$B$4:$L$105,6,FALSE),VLOOKUP($B14,'Costdrivere 2021'!$B$4:$L$105,7,FALSE),VLOOKUP($B14,'Costdrivere 2021'!$B$4:$L$105,8,FALSE),VLOOKUP($B14,'Costdrivere 2021'!$B$4:$L$105,9,FALSE),VLOOKUP($B14,'Costdrivere 2021'!$B$4:$L$105,10,FALSE),VLOOKUP($B14,'Costdrivere 2021'!$B$4:$L$105,11,FALSE))</f>
        <v>17643714.75099751</v>
      </c>
      <c r="F14" s="52">
        <f>VLOOKUP(B14,'Costdrivere 2021'!B:AP,39,0)+VLOOKUP(B14,'Costdrivere 2021'!B:AP,40,0)+VLOOKUP(B14,'Costdrivere 2021'!B:AP,41,0)</f>
        <v>58568677.575531088</v>
      </c>
      <c r="G14" s="53">
        <v>17521204.797500003</v>
      </c>
      <c r="H14" s="5">
        <v>30777965.186813511</v>
      </c>
      <c r="I14" s="54">
        <v>501116.24440000003</v>
      </c>
      <c r="J14" s="54">
        <f>VLOOKUP(B14,'Gennemførte investeringer'!B:P,15,0)</f>
        <v>7446626.3601878881</v>
      </c>
      <c r="K14" s="55">
        <f t="shared" si="0"/>
        <v>38725707.791401401</v>
      </c>
      <c r="L14" s="53">
        <f t="shared" si="1"/>
        <v>56246912.588901401</v>
      </c>
      <c r="M14" s="56">
        <v>0</v>
      </c>
      <c r="N14" s="52">
        <v>0</v>
      </c>
      <c r="O14" s="57">
        <v>0</v>
      </c>
      <c r="P14" s="53">
        <f t="shared" si="2"/>
        <v>17521204.797500003</v>
      </c>
      <c r="Q14" s="53">
        <f t="shared" si="3"/>
        <v>38725707.791401401</v>
      </c>
      <c r="R14" s="53">
        <f t="shared" si="4"/>
        <v>56246912.588901401</v>
      </c>
      <c r="S14" s="58">
        <v>0</v>
      </c>
    </row>
    <row r="15" spans="1:19" x14ac:dyDescent="0.25">
      <c r="A15" s="49" t="s">
        <v>43</v>
      </c>
      <c r="B15" s="49" t="s">
        <v>44</v>
      </c>
      <c r="C15" s="50">
        <v>35.126564368886733</v>
      </c>
      <c r="D15" s="51">
        <f>VLOOKUP(B15,'Costdrivere 2021'!B:M,12,0)</f>
        <v>4.5853481350314418E-2</v>
      </c>
      <c r="E15" s="52">
        <f>SUM(VLOOKUP($B15,'Costdrivere 2021'!$B$4:$L$105,2,FALSE),VLOOKUP($B15,'Costdrivere 2021'!$B$4:$L$105,3,FALSE),VLOOKUP($B15,'Costdrivere 2021'!$B$4:$L$105,4,FALSE),VLOOKUP($B15,'Costdrivere 2021'!$B$4:$L$105,5,FALSE),VLOOKUP($B15,'Costdrivere 2021'!$B$4:$L$105,6,FALSE),VLOOKUP($B15,'Costdrivere 2021'!$B$4:$L$105,7,FALSE),VLOOKUP($B15,'Costdrivere 2021'!$B$4:$L$105,8,FALSE),VLOOKUP($B15,'Costdrivere 2021'!$B$4:$L$105,9,FALSE),VLOOKUP($B15,'Costdrivere 2021'!$B$4:$L$105,10,FALSE),VLOOKUP($B15,'Costdrivere 2021'!$B$4:$L$105,11,FALSE))</f>
        <v>19344056.851508267</v>
      </c>
      <c r="F15" s="52">
        <f>VLOOKUP(B15,'Costdrivere 2021'!B:AP,39,0)+VLOOKUP(B15,'Costdrivere 2021'!B:AP,40,0)+VLOOKUP(B15,'Costdrivere 2021'!B:AP,41,0)</f>
        <v>75176154.415459156</v>
      </c>
      <c r="G15" s="53">
        <v>16418516.896200001</v>
      </c>
      <c r="H15" s="5">
        <v>39711481.172684349</v>
      </c>
      <c r="I15" s="54">
        <v>14046.2</v>
      </c>
      <c r="J15" s="54">
        <f>VLOOKUP(B15,'Gennemførte investeringer'!B:P,15,0)</f>
        <v>9088132.3117507249</v>
      </c>
      <c r="K15" s="55">
        <f t="shared" si="0"/>
        <v>48813659.684435077</v>
      </c>
      <c r="L15" s="53">
        <f t="shared" si="1"/>
        <v>65232176.580635078</v>
      </c>
      <c r="M15" s="56">
        <v>0</v>
      </c>
      <c r="N15" s="52">
        <v>0</v>
      </c>
      <c r="O15" s="57">
        <v>0</v>
      </c>
      <c r="P15" s="53">
        <f t="shared" si="2"/>
        <v>16418516.896200001</v>
      </c>
      <c r="Q15" s="53">
        <f t="shared" si="3"/>
        <v>48813659.684435077</v>
      </c>
      <c r="R15" s="53">
        <f t="shared" si="4"/>
        <v>65232176.580635078</v>
      </c>
      <c r="S15" s="58">
        <v>0</v>
      </c>
    </row>
    <row r="16" spans="1:19" x14ac:dyDescent="0.25">
      <c r="A16" s="49" t="s">
        <v>45</v>
      </c>
      <c r="B16" s="49" t="s">
        <v>46</v>
      </c>
      <c r="C16" s="50">
        <v>35.208578250242041</v>
      </c>
      <c r="D16" s="51">
        <f>VLOOKUP(B16,'Costdrivere 2021'!B:M,12,0)</f>
        <v>2.4094405182159283E-2</v>
      </c>
      <c r="E16" s="52">
        <f>SUM(VLOOKUP($B16,'Costdrivere 2021'!$B$4:$L$105,2,FALSE),VLOOKUP($B16,'Costdrivere 2021'!$B$4:$L$105,3,FALSE),VLOOKUP($B16,'Costdrivere 2021'!$B$4:$L$105,4,FALSE),VLOOKUP($B16,'Costdrivere 2021'!$B$4:$L$105,5,FALSE),VLOOKUP($B16,'Costdrivere 2021'!$B$4:$L$105,6,FALSE),VLOOKUP($B16,'Costdrivere 2021'!$B$4:$L$105,7,FALSE),VLOOKUP($B16,'Costdrivere 2021'!$B$4:$L$105,8,FALSE),VLOOKUP($B16,'Costdrivere 2021'!$B$4:$L$105,9,FALSE),VLOOKUP($B16,'Costdrivere 2021'!$B$4:$L$105,10,FALSE),VLOOKUP($B16,'Costdrivere 2021'!$B$4:$L$105,11,FALSE))</f>
        <v>51014295.083417788</v>
      </c>
      <c r="F16" s="52">
        <f>VLOOKUP(B16,'Costdrivere 2021'!B:AP,39,0)+VLOOKUP(B16,'Costdrivere 2021'!B:AP,40,0)+VLOOKUP(B16,'Costdrivere 2021'!B:AP,41,0)</f>
        <v>250058568.4967261</v>
      </c>
      <c r="G16" s="53">
        <v>50184282.422700003</v>
      </c>
      <c r="H16" s="5">
        <v>103739817.96111961</v>
      </c>
      <c r="I16" s="54">
        <v>284650.2562</v>
      </c>
      <c r="J16" s="54">
        <f>VLOOKUP(B16,'Gennemførte investeringer'!B:P,15,0)</f>
        <v>28159508.2308442</v>
      </c>
      <c r="K16" s="55">
        <f t="shared" si="0"/>
        <v>132183976.44816381</v>
      </c>
      <c r="L16" s="53">
        <f t="shared" si="1"/>
        <v>182368258.8708638</v>
      </c>
      <c r="M16" s="56">
        <v>0</v>
      </c>
      <c r="N16" s="52">
        <v>0</v>
      </c>
      <c r="O16" s="57">
        <v>0</v>
      </c>
      <c r="P16" s="53">
        <f t="shared" si="2"/>
        <v>50184282.422700003</v>
      </c>
      <c r="Q16" s="53">
        <f t="shared" si="3"/>
        <v>132183976.44816381</v>
      </c>
      <c r="R16" s="53">
        <f t="shared" si="4"/>
        <v>182368258.8708638</v>
      </c>
      <c r="S16" s="58">
        <v>0</v>
      </c>
    </row>
    <row r="17" spans="1:19" x14ac:dyDescent="0.25">
      <c r="A17" s="49" t="s">
        <v>47</v>
      </c>
      <c r="B17" s="49" t="s">
        <v>48</v>
      </c>
      <c r="C17" s="50">
        <v>36.583572501535286</v>
      </c>
      <c r="D17" s="51">
        <f>VLOOKUP(B17,'Costdrivere 2021'!B:M,12,0)</f>
        <v>4.8001289328290175E-2</v>
      </c>
      <c r="E17" s="52">
        <f>SUM(VLOOKUP($B17,'Costdrivere 2021'!$B$4:$L$105,2,FALSE),VLOOKUP($B17,'Costdrivere 2021'!$B$4:$L$105,3,FALSE),VLOOKUP($B17,'Costdrivere 2021'!$B$4:$L$105,4,FALSE),VLOOKUP($B17,'Costdrivere 2021'!$B$4:$L$105,5,FALSE),VLOOKUP($B17,'Costdrivere 2021'!$B$4:$L$105,6,FALSE),VLOOKUP($B17,'Costdrivere 2021'!$B$4:$L$105,7,FALSE),VLOOKUP($B17,'Costdrivere 2021'!$B$4:$L$105,8,FALSE),VLOOKUP($B17,'Costdrivere 2021'!$B$4:$L$105,9,FALSE),VLOOKUP($B17,'Costdrivere 2021'!$B$4:$L$105,10,FALSE),VLOOKUP($B17,'Costdrivere 2021'!$B$4:$L$105,11,FALSE))</f>
        <v>86617356.56490986</v>
      </c>
      <c r="F17" s="52">
        <f>VLOOKUP(B17,'Costdrivere 2021'!B:AP,39,0)+VLOOKUP(B17,'Costdrivere 2021'!B:AP,40,0)+VLOOKUP(B17,'Costdrivere 2021'!B:AP,41,0)</f>
        <v>265008292.59105113</v>
      </c>
      <c r="G17" s="53">
        <v>80906589.570800006</v>
      </c>
      <c r="H17" s="5">
        <v>128661626.64597452</v>
      </c>
      <c r="I17" s="54">
        <v>8665080.7140000015</v>
      </c>
      <c r="J17" s="54">
        <f>VLOOKUP(B17,'Gennemførte investeringer'!B:P,15,0)</f>
        <v>29276881.055818081</v>
      </c>
      <c r="K17" s="55">
        <f t="shared" si="0"/>
        <v>166603588.41579258</v>
      </c>
      <c r="L17" s="53">
        <f t="shared" si="1"/>
        <v>247510177.98659259</v>
      </c>
      <c r="M17" s="56">
        <v>0</v>
      </c>
      <c r="N17" s="52">
        <v>0</v>
      </c>
      <c r="O17" s="57">
        <v>0</v>
      </c>
      <c r="P17" s="53">
        <f t="shared" si="2"/>
        <v>80906589.570800006</v>
      </c>
      <c r="Q17" s="53">
        <f t="shared" si="3"/>
        <v>166603588.41579258</v>
      </c>
      <c r="R17" s="53">
        <f t="shared" si="4"/>
        <v>247510177.98659259</v>
      </c>
      <c r="S17" s="58">
        <v>0</v>
      </c>
    </row>
    <row r="18" spans="1:19" x14ac:dyDescent="0.25">
      <c r="A18" s="49" t="s">
        <v>49</v>
      </c>
      <c r="B18" s="49" t="s">
        <v>50</v>
      </c>
      <c r="C18" s="50">
        <v>33.049298728796543</v>
      </c>
      <c r="D18" s="51">
        <f>VLOOKUP(B18,'Costdrivere 2021'!B:M,12,0)</f>
        <v>2.6553874042132435E-2</v>
      </c>
      <c r="E18" s="52">
        <f>SUM(VLOOKUP($B18,'Costdrivere 2021'!$B$4:$L$105,2,FALSE),VLOOKUP($B18,'Costdrivere 2021'!$B$4:$L$105,3,FALSE),VLOOKUP($B18,'Costdrivere 2021'!$B$4:$L$105,4,FALSE),VLOOKUP($B18,'Costdrivere 2021'!$B$4:$L$105,5,FALSE),VLOOKUP($B18,'Costdrivere 2021'!$B$4:$L$105,6,FALSE),VLOOKUP($B18,'Costdrivere 2021'!$B$4:$L$105,7,FALSE),VLOOKUP($B18,'Costdrivere 2021'!$B$4:$L$105,8,FALSE),VLOOKUP($B18,'Costdrivere 2021'!$B$4:$L$105,9,FALSE),VLOOKUP($B18,'Costdrivere 2021'!$B$4:$L$105,10,FALSE),VLOOKUP($B18,'Costdrivere 2021'!$B$4:$L$105,11,FALSE))</f>
        <v>26528497.924980663</v>
      </c>
      <c r="F18" s="52">
        <f>VLOOKUP(B18,'Costdrivere 2021'!B:AP,39,0)+VLOOKUP(B18,'Costdrivere 2021'!B:AP,40,0)+VLOOKUP(B18,'Costdrivere 2021'!B:AP,41,0)</f>
        <v>109536982.84153254</v>
      </c>
      <c r="G18" s="53">
        <v>22288136.932400003</v>
      </c>
      <c r="H18" s="5">
        <v>53552436.045544632</v>
      </c>
      <c r="I18" s="54">
        <v>1223623.6767000002</v>
      </c>
      <c r="J18" s="54">
        <f>VLOOKUP(B18,'Gennemførte investeringer'!B:P,15,0)</f>
        <v>12046837.853563761</v>
      </c>
      <c r="K18" s="55">
        <f t="shared" si="0"/>
        <v>66822897.575808398</v>
      </c>
      <c r="L18" s="53">
        <f t="shared" si="1"/>
        <v>89111034.508208394</v>
      </c>
      <c r="M18" s="56">
        <v>0</v>
      </c>
      <c r="N18" s="52">
        <v>0</v>
      </c>
      <c r="O18" s="57">
        <v>0</v>
      </c>
      <c r="P18" s="53">
        <f t="shared" si="2"/>
        <v>22288136.932400003</v>
      </c>
      <c r="Q18" s="53">
        <f t="shared" si="3"/>
        <v>66822897.575808398</v>
      </c>
      <c r="R18" s="53">
        <f t="shared" si="4"/>
        <v>89111034.508208394</v>
      </c>
      <c r="S18" s="58">
        <v>0</v>
      </c>
    </row>
    <row r="19" spans="1:19" x14ac:dyDescent="0.25">
      <c r="A19" s="49" t="s">
        <v>51</v>
      </c>
      <c r="B19" s="49" t="s">
        <v>52</v>
      </c>
      <c r="C19" s="50">
        <v>35.033450354933585</v>
      </c>
      <c r="D19" s="51">
        <f>VLOOKUP(B19,'Costdrivere 2021'!B:M,12,0)</f>
        <v>2.6463088104041816E-2</v>
      </c>
      <c r="E19" s="52">
        <f>SUM(VLOOKUP($B19,'Costdrivere 2021'!$B$4:$L$105,2,FALSE),VLOOKUP($B19,'Costdrivere 2021'!$B$4:$L$105,3,FALSE),VLOOKUP($B19,'Costdrivere 2021'!$B$4:$L$105,4,FALSE),VLOOKUP($B19,'Costdrivere 2021'!$B$4:$L$105,5,FALSE),VLOOKUP($B19,'Costdrivere 2021'!$B$4:$L$105,6,FALSE),VLOOKUP($B19,'Costdrivere 2021'!$B$4:$L$105,7,FALSE),VLOOKUP($B19,'Costdrivere 2021'!$B$4:$L$105,8,FALSE),VLOOKUP($B19,'Costdrivere 2021'!$B$4:$L$105,9,FALSE),VLOOKUP($B19,'Costdrivere 2021'!$B$4:$L$105,10,FALSE),VLOOKUP($B19,'Costdrivere 2021'!$B$4:$L$105,11,FALSE))</f>
        <v>10281394.436385015</v>
      </c>
      <c r="F19" s="52">
        <f>VLOOKUP(B19,'Costdrivere 2021'!B:AP,39,0)+VLOOKUP(B19,'Costdrivere 2021'!B:AP,40,0)+VLOOKUP(B19,'Costdrivere 2021'!B:AP,41,0)</f>
        <v>61296809.161914445</v>
      </c>
      <c r="G19" s="53">
        <v>5313063.1895749988</v>
      </c>
      <c r="H19" s="5">
        <v>40285066.797726735</v>
      </c>
      <c r="I19" s="54">
        <v>2044981.2415000002</v>
      </c>
      <c r="J19" s="54">
        <f>VLOOKUP(B19,'Gennemførte investeringer'!B:P,15,0)</f>
        <v>7250176.3017431311</v>
      </c>
      <c r="K19" s="55">
        <f t="shared" si="0"/>
        <v>49580224.340969861</v>
      </c>
      <c r="L19" s="53">
        <f t="shared" si="1"/>
        <v>54893287.530544862</v>
      </c>
      <c r="M19" s="56">
        <v>0</v>
      </c>
      <c r="N19" s="52">
        <v>0</v>
      </c>
      <c r="O19" s="57">
        <v>0</v>
      </c>
      <c r="P19" s="53">
        <f t="shared" si="2"/>
        <v>5313063.1895749988</v>
      </c>
      <c r="Q19" s="53">
        <f t="shared" si="3"/>
        <v>49580224.340969861</v>
      </c>
      <c r="R19" s="53">
        <f t="shared" si="4"/>
        <v>54893287.530544862</v>
      </c>
      <c r="S19" s="58">
        <v>0</v>
      </c>
    </row>
    <row r="20" spans="1:19" x14ac:dyDescent="0.25">
      <c r="A20" s="49" t="s">
        <v>53</v>
      </c>
      <c r="B20" s="49" t="s">
        <v>54</v>
      </c>
      <c r="C20" s="50">
        <v>22.79757228301273</v>
      </c>
      <c r="D20" s="51">
        <f>VLOOKUP(B20,'Costdrivere 2021'!B:M,12,0)</f>
        <v>0</v>
      </c>
      <c r="E20" s="52">
        <f>SUM(VLOOKUP($B20,'Costdrivere 2021'!$B$4:$L$105,2,FALSE),VLOOKUP($B20,'Costdrivere 2021'!$B$4:$L$105,3,FALSE),VLOOKUP($B20,'Costdrivere 2021'!$B$4:$L$105,4,FALSE),VLOOKUP($B20,'Costdrivere 2021'!$B$4:$L$105,5,FALSE),VLOOKUP($B20,'Costdrivere 2021'!$B$4:$L$105,6,FALSE),VLOOKUP($B20,'Costdrivere 2021'!$B$4:$L$105,7,FALSE),VLOOKUP($B20,'Costdrivere 2021'!$B$4:$L$105,8,FALSE),VLOOKUP($B20,'Costdrivere 2021'!$B$4:$L$105,9,FALSE),VLOOKUP($B20,'Costdrivere 2021'!$B$4:$L$105,10,FALSE),VLOOKUP($B20,'Costdrivere 2021'!$B$4:$L$105,11,FALSE))</f>
        <v>27625116.451765433</v>
      </c>
      <c r="F20" s="52">
        <f>VLOOKUP(B20,'Costdrivere 2021'!B:AP,39,0)+VLOOKUP(B20,'Costdrivere 2021'!B:AP,40,0)+VLOOKUP(B20,'Costdrivere 2021'!B:AP,41,0)</f>
        <v>21243255.076574337</v>
      </c>
      <c r="G20" s="53">
        <v>24746697.496600002</v>
      </c>
      <c r="H20" s="5">
        <v>5036230.4480041182</v>
      </c>
      <c r="I20" s="54">
        <v>1260648.4566000002</v>
      </c>
      <c r="J20" s="54">
        <f>VLOOKUP(B20,'Gennemførte investeringer'!B:P,15,0)</f>
        <v>6452722.5948921908</v>
      </c>
      <c r="K20" s="55">
        <f t="shared" si="0"/>
        <v>12749601.499496309</v>
      </c>
      <c r="L20" s="53">
        <f t="shared" si="1"/>
        <v>37496298.996096313</v>
      </c>
      <c r="M20" s="56">
        <v>0</v>
      </c>
      <c r="N20" s="52">
        <v>0</v>
      </c>
      <c r="O20" s="57">
        <v>0</v>
      </c>
      <c r="P20" s="53">
        <f t="shared" si="2"/>
        <v>24746697.496600002</v>
      </c>
      <c r="Q20" s="53">
        <f t="shared" si="3"/>
        <v>12749601.499496309</v>
      </c>
      <c r="R20" s="53">
        <f t="shared" si="4"/>
        <v>37496298.996096313</v>
      </c>
      <c r="S20" s="58">
        <v>0</v>
      </c>
    </row>
    <row r="21" spans="1:19" x14ac:dyDescent="0.25">
      <c r="A21" s="49" t="s">
        <v>55</v>
      </c>
      <c r="B21" s="49" t="s">
        <v>56</v>
      </c>
      <c r="C21" s="50">
        <v>36.714994081987797</v>
      </c>
      <c r="D21" s="51">
        <f>VLOOKUP(B21,'Costdrivere 2021'!B:M,12,0)</f>
        <v>2.2938031378736085E-2</v>
      </c>
      <c r="E21" s="52">
        <f>SUM(VLOOKUP($B21,'Costdrivere 2021'!$B$4:$L$105,2,FALSE),VLOOKUP($B21,'Costdrivere 2021'!$B$4:$L$105,3,FALSE),VLOOKUP($B21,'Costdrivere 2021'!$B$4:$L$105,4,FALSE),VLOOKUP($B21,'Costdrivere 2021'!$B$4:$L$105,5,FALSE),VLOOKUP($B21,'Costdrivere 2021'!$B$4:$L$105,6,FALSE),VLOOKUP($B21,'Costdrivere 2021'!$B$4:$L$105,7,FALSE),VLOOKUP($B21,'Costdrivere 2021'!$B$4:$L$105,8,FALSE),VLOOKUP($B21,'Costdrivere 2021'!$B$4:$L$105,9,FALSE),VLOOKUP($B21,'Costdrivere 2021'!$B$4:$L$105,10,FALSE),VLOOKUP($B21,'Costdrivere 2021'!$B$4:$L$105,11,FALSE))</f>
        <v>38834670.543142088</v>
      </c>
      <c r="F21" s="52">
        <f>VLOOKUP(B21,'Costdrivere 2021'!B:AP,39,0)+VLOOKUP(B21,'Costdrivere 2021'!B:AP,40,0)+VLOOKUP(B21,'Costdrivere 2021'!B:AP,41,0)</f>
        <v>121630208.61752522</v>
      </c>
      <c r="G21" s="53">
        <v>34532855.236412004</v>
      </c>
      <c r="H21" s="5">
        <v>59697645.129481643</v>
      </c>
      <c r="I21" s="54">
        <v>566920.42394200002</v>
      </c>
      <c r="J21" s="54">
        <f>VLOOKUP(B21,'Gennemførte investeringer'!B:P,15,0)</f>
        <v>15929186.250874069</v>
      </c>
      <c r="K21" s="55">
        <f t="shared" si="0"/>
        <v>76193751.804297715</v>
      </c>
      <c r="L21" s="53">
        <f t="shared" si="1"/>
        <v>110726607.04070972</v>
      </c>
      <c r="M21" s="56">
        <v>0</v>
      </c>
      <c r="N21" s="52">
        <v>0</v>
      </c>
      <c r="O21" s="57">
        <v>0</v>
      </c>
      <c r="P21" s="53">
        <f t="shared" si="2"/>
        <v>34532855.236412004</v>
      </c>
      <c r="Q21" s="53">
        <f t="shared" si="3"/>
        <v>76193751.804297715</v>
      </c>
      <c r="R21" s="53">
        <f t="shared" si="4"/>
        <v>110726607.04070972</v>
      </c>
      <c r="S21" s="58">
        <v>0</v>
      </c>
    </row>
    <row r="22" spans="1:19" x14ac:dyDescent="0.25">
      <c r="A22" s="49" t="s">
        <v>57</v>
      </c>
      <c r="B22" s="49" t="s">
        <v>58</v>
      </c>
      <c r="C22" s="50">
        <v>28.868596027825383</v>
      </c>
      <c r="D22" s="51">
        <f>VLOOKUP(B22,'Costdrivere 2021'!B:M,12,0)</f>
        <v>7.4662716682012895E-2</v>
      </c>
      <c r="E22" s="52">
        <f>SUM(VLOOKUP($B22,'Costdrivere 2021'!$B$4:$L$105,2,FALSE),VLOOKUP($B22,'Costdrivere 2021'!$B$4:$L$105,3,FALSE),VLOOKUP($B22,'Costdrivere 2021'!$B$4:$L$105,4,FALSE),VLOOKUP($B22,'Costdrivere 2021'!$B$4:$L$105,5,FALSE),VLOOKUP($B22,'Costdrivere 2021'!$B$4:$L$105,6,FALSE),VLOOKUP($B22,'Costdrivere 2021'!$B$4:$L$105,7,FALSE),VLOOKUP($B22,'Costdrivere 2021'!$B$4:$L$105,8,FALSE),VLOOKUP($B22,'Costdrivere 2021'!$B$4:$L$105,9,FALSE),VLOOKUP($B22,'Costdrivere 2021'!$B$4:$L$105,10,FALSE),VLOOKUP($B22,'Costdrivere 2021'!$B$4:$L$105,11,FALSE))</f>
        <v>33917156.816451147</v>
      </c>
      <c r="F22" s="52">
        <f>VLOOKUP(B22,'Costdrivere 2021'!B:AP,39,0)+VLOOKUP(B22,'Costdrivere 2021'!B:AP,40,0)+VLOOKUP(B22,'Costdrivere 2021'!B:AP,41,0)</f>
        <v>88843677.766606122</v>
      </c>
      <c r="G22" s="53">
        <v>41926555.554900005</v>
      </c>
      <c r="H22" s="5">
        <v>45905336.864417024</v>
      </c>
      <c r="I22" s="54">
        <v>966266.19040000008</v>
      </c>
      <c r="J22" s="54">
        <f>VLOOKUP(B22,'Gennemførte investeringer'!B:P,15,0)</f>
        <v>17204348.060360167</v>
      </c>
      <c r="K22" s="55">
        <f t="shared" si="0"/>
        <v>64075951.115177184</v>
      </c>
      <c r="L22" s="53">
        <f t="shared" si="1"/>
        <v>106002506.67007719</v>
      </c>
      <c r="M22" s="56">
        <v>0</v>
      </c>
      <c r="N22" s="52">
        <v>0</v>
      </c>
      <c r="O22" s="57">
        <v>0</v>
      </c>
      <c r="P22" s="53">
        <f t="shared" si="2"/>
        <v>41926555.554900005</v>
      </c>
      <c r="Q22" s="53">
        <f t="shared" si="3"/>
        <v>64075951.115177184</v>
      </c>
      <c r="R22" s="53">
        <f t="shared" si="4"/>
        <v>106002506.67007719</v>
      </c>
      <c r="S22" s="58">
        <v>0</v>
      </c>
    </row>
    <row r="23" spans="1:19" x14ac:dyDescent="0.25">
      <c r="A23" s="49" t="s">
        <v>59</v>
      </c>
      <c r="B23" s="49" t="s">
        <v>60</v>
      </c>
      <c r="C23" s="50">
        <v>35.6101133585423</v>
      </c>
      <c r="D23" s="51">
        <f>VLOOKUP(B23,'Costdrivere 2021'!B:M,12,0)</f>
        <v>5.3052441695657766E-2</v>
      </c>
      <c r="E23" s="52">
        <f>SUM(VLOOKUP($B23,'Costdrivere 2021'!$B$4:$L$105,2,FALSE),VLOOKUP($B23,'Costdrivere 2021'!$B$4:$L$105,3,FALSE),VLOOKUP($B23,'Costdrivere 2021'!$B$4:$L$105,4,FALSE),VLOOKUP($B23,'Costdrivere 2021'!$B$4:$L$105,5,FALSE),VLOOKUP($B23,'Costdrivere 2021'!$B$4:$L$105,6,FALSE),VLOOKUP($B23,'Costdrivere 2021'!$B$4:$L$105,7,FALSE),VLOOKUP($B23,'Costdrivere 2021'!$B$4:$L$105,8,FALSE),VLOOKUP($B23,'Costdrivere 2021'!$B$4:$L$105,9,FALSE),VLOOKUP($B23,'Costdrivere 2021'!$B$4:$L$105,10,FALSE),VLOOKUP($B23,'Costdrivere 2021'!$B$4:$L$105,11,FALSE))</f>
        <v>17858864.397620145</v>
      </c>
      <c r="F23" s="52">
        <f>VLOOKUP(B23,'Costdrivere 2021'!B:AP,39,0)+VLOOKUP(B23,'Costdrivere 2021'!B:AP,40,0)+VLOOKUP(B23,'Costdrivere 2021'!B:AP,41,0)</f>
        <v>58203182.218188606</v>
      </c>
      <c r="G23" s="53">
        <v>14009419.202593999</v>
      </c>
      <c r="H23" s="5">
        <v>31751446.102940407</v>
      </c>
      <c r="I23" s="54">
        <v>1828666.8619630001</v>
      </c>
      <c r="J23" s="54">
        <f>VLOOKUP(B23,'Gennemførte investeringer'!B:P,15,0)</f>
        <v>8968699.2888618503</v>
      </c>
      <c r="K23" s="55">
        <f t="shared" si="0"/>
        <v>42548812.253765255</v>
      </c>
      <c r="L23" s="53">
        <f t="shared" si="1"/>
        <v>56558231.456359252</v>
      </c>
      <c r="M23" s="56">
        <v>0</v>
      </c>
      <c r="N23" s="52">
        <v>0</v>
      </c>
      <c r="O23" s="57">
        <v>0</v>
      </c>
      <c r="P23" s="53">
        <f t="shared" si="2"/>
        <v>14009419.202593999</v>
      </c>
      <c r="Q23" s="53">
        <f t="shared" si="3"/>
        <v>42548812.253765255</v>
      </c>
      <c r="R23" s="53">
        <f t="shared" si="4"/>
        <v>56558231.456359252</v>
      </c>
      <c r="S23" s="58">
        <v>0</v>
      </c>
    </row>
    <row r="24" spans="1:19" x14ac:dyDescent="0.25">
      <c r="A24" s="49" t="s">
        <v>61</v>
      </c>
      <c r="B24" s="49" t="s">
        <v>62</v>
      </c>
      <c r="C24" s="50">
        <v>32.193114420818318</v>
      </c>
      <c r="D24" s="51">
        <f>VLOOKUP(B24,'Costdrivere 2021'!B:M,12,0)</f>
        <v>4.0798082775410839E-2</v>
      </c>
      <c r="E24" s="52">
        <f>SUM(VLOOKUP($B24,'Costdrivere 2021'!$B$4:$L$105,2,FALSE),VLOOKUP($B24,'Costdrivere 2021'!$B$4:$L$105,3,FALSE),VLOOKUP($B24,'Costdrivere 2021'!$B$4:$L$105,4,FALSE),VLOOKUP($B24,'Costdrivere 2021'!$B$4:$L$105,5,FALSE),VLOOKUP($B24,'Costdrivere 2021'!$B$4:$L$105,6,FALSE),VLOOKUP($B24,'Costdrivere 2021'!$B$4:$L$105,7,FALSE),VLOOKUP($B24,'Costdrivere 2021'!$B$4:$L$105,8,FALSE),VLOOKUP($B24,'Costdrivere 2021'!$B$4:$L$105,9,FALSE),VLOOKUP($B24,'Costdrivere 2021'!$B$4:$L$105,10,FALSE),VLOOKUP($B24,'Costdrivere 2021'!$B$4:$L$105,11,FALSE))</f>
        <v>44065804.662996024</v>
      </c>
      <c r="F24" s="52">
        <f>VLOOKUP(B24,'Costdrivere 2021'!B:AP,39,0)+VLOOKUP(B24,'Costdrivere 2021'!B:AP,40,0)+VLOOKUP(B24,'Costdrivere 2021'!B:AP,41,0)</f>
        <v>127717637.26007746</v>
      </c>
      <c r="G24" s="53">
        <v>39009557.121700004</v>
      </c>
      <c r="H24" s="5">
        <v>64941093.128319569</v>
      </c>
      <c r="I24" s="54">
        <v>739432.10000000009</v>
      </c>
      <c r="J24" s="54">
        <f>VLOOKUP(B24,'Gennemførte investeringer'!B:P,15,0)</f>
        <v>18827065.569719378</v>
      </c>
      <c r="K24" s="55">
        <f t="shared" si="0"/>
        <v>84507590.798038945</v>
      </c>
      <c r="L24" s="53">
        <f t="shared" si="1"/>
        <v>123517147.91973895</v>
      </c>
      <c r="M24" s="56">
        <v>0</v>
      </c>
      <c r="N24" s="52">
        <v>0</v>
      </c>
      <c r="O24" s="57">
        <v>0</v>
      </c>
      <c r="P24" s="53">
        <f t="shared" si="2"/>
        <v>39009557.121700004</v>
      </c>
      <c r="Q24" s="53">
        <f t="shared" si="3"/>
        <v>84507590.798038945</v>
      </c>
      <c r="R24" s="53">
        <f t="shared" si="4"/>
        <v>123517147.91973895</v>
      </c>
      <c r="S24" s="58">
        <v>0</v>
      </c>
    </row>
    <row r="25" spans="1:19" x14ac:dyDescent="0.25">
      <c r="A25" s="49" t="s">
        <v>63</v>
      </c>
      <c r="B25" s="49" t="s">
        <v>64</v>
      </c>
      <c r="C25" s="50">
        <v>26.632197272001729</v>
      </c>
      <c r="D25" s="51">
        <f>VLOOKUP(B25,'Costdrivere 2021'!B:M,12,0)</f>
        <v>0.3204557526824604</v>
      </c>
      <c r="E25" s="52">
        <f>SUM(VLOOKUP($B25,'Costdrivere 2021'!$B$4:$L$105,2,FALSE),VLOOKUP($B25,'Costdrivere 2021'!$B$4:$L$105,3,FALSE),VLOOKUP($B25,'Costdrivere 2021'!$B$4:$L$105,4,FALSE),VLOOKUP($B25,'Costdrivere 2021'!$B$4:$L$105,5,FALSE),VLOOKUP($B25,'Costdrivere 2021'!$B$4:$L$105,6,FALSE),VLOOKUP($B25,'Costdrivere 2021'!$B$4:$L$105,7,FALSE),VLOOKUP($B25,'Costdrivere 2021'!$B$4:$L$105,8,FALSE),VLOOKUP($B25,'Costdrivere 2021'!$B$4:$L$105,9,FALSE),VLOOKUP($B25,'Costdrivere 2021'!$B$4:$L$105,10,FALSE),VLOOKUP($B25,'Costdrivere 2021'!$B$4:$L$105,11,FALSE))</f>
        <v>14258972.974784553</v>
      </c>
      <c r="F25" s="52">
        <f>VLOOKUP(B25,'Costdrivere 2021'!B:AP,39,0)+VLOOKUP(B25,'Costdrivere 2021'!B:AP,40,0)+VLOOKUP(B25,'Costdrivere 2021'!B:AP,41,0)</f>
        <v>48039486.395340607</v>
      </c>
      <c r="G25" s="53">
        <v>22498530.517581008</v>
      </c>
      <c r="H25" s="5">
        <v>18320612.028245326</v>
      </c>
      <c r="I25" s="54">
        <v>4153038.6597430003</v>
      </c>
      <c r="J25" s="54">
        <f>VLOOKUP(B25,'Gennemførte investeringer'!B:P,15,0)</f>
        <v>9817392.3926103059</v>
      </c>
      <c r="K25" s="55">
        <f t="shared" si="0"/>
        <v>32291043.08059863</v>
      </c>
      <c r="L25" s="53">
        <f t="shared" si="1"/>
        <v>54789573.598179638</v>
      </c>
      <c r="M25" s="56">
        <v>0</v>
      </c>
      <c r="N25" s="52">
        <v>0</v>
      </c>
      <c r="O25" s="57">
        <v>0</v>
      </c>
      <c r="P25" s="53">
        <f t="shared" si="2"/>
        <v>22498530.517581008</v>
      </c>
      <c r="Q25" s="53">
        <f t="shared" si="3"/>
        <v>32291043.08059863</v>
      </c>
      <c r="R25" s="53">
        <f t="shared" si="4"/>
        <v>54789573.598179638</v>
      </c>
      <c r="S25" s="58">
        <v>0</v>
      </c>
    </row>
    <row r="26" spans="1:19" x14ac:dyDescent="0.25">
      <c r="A26" s="49" t="s">
        <v>65</v>
      </c>
      <c r="B26" s="49" t="s">
        <v>66</v>
      </c>
      <c r="C26" s="50">
        <v>33.760643124151436</v>
      </c>
      <c r="D26" s="51">
        <f>VLOOKUP(B26,'Costdrivere 2021'!B:M,12,0)</f>
        <v>4.817023552114575E-2</v>
      </c>
      <c r="E26" s="52">
        <f>SUM(VLOOKUP($B26,'Costdrivere 2021'!$B$4:$L$105,2,FALSE),VLOOKUP($B26,'Costdrivere 2021'!$B$4:$L$105,3,FALSE),VLOOKUP($B26,'Costdrivere 2021'!$B$4:$L$105,4,FALSE),VLOOKUP($B26,'Costdrivere 2021'!$B$4:$L$105,5,FALSE),VLOOKUP($B26,'Costdrivere 2021'!$B$4:$L$105,6,FALSE),VLOOKUP($B26,'Costdrivere 2021'!$B$4:$L$105,7,FALSE),VLOOKUP($B26,'Costdrivere 2021'!$B$4:$L$105,8,FALSE),VLOOKUP($B26,'Costdrivere 2021'!$B$4:$L$105,9,FALSE),VLOOKUP($B26,'Costdrivere 2021'!$B$4:$L$105,10,FALSE),VLOOKUP($B26,'Costdrivere 2021'!$B$4:$L$105,11,FALSE))</f>
        <v>63539847.859703295</v>
      </c>
      <c r="F26" s="52">
        <f>VLOOKUP(B26,'Costdrivere 2021'!B:AP,39,0)+VLOOKUP(B26,'Costdrivere 2021'!B:AP,40,0)+VLOOKUP(B26,'Costdrivere 2021'!B:AP,41,0)</f>
        <v>146063143.92209309</v>
      </c>
      <c r="G26" s="53">
        <v>60402152.487300009</v>
      </c>
      <c r="H26" s="5">
        <v>78856219.49684383</v>
      </c>
      <c r="I26" s="54">
        <v>4964328.4000000004</v>
      </c>
      <c r="J26" s="54">
        <f>VLOOKUP(B26,'Gennemførte investeringer'!B:P,15,0)</f>
        <v>18296754.512054287</v>
      </c>
      <c r="K26" s="55">
        <f t="shared" si="0"/>
        <v>102117302.40889812</v>
      </c>
      <c r="L26" s="53">
        <f t="shared" si="1"/>
        <v>162519454.89619812</v>
      </c>
      <c r="M26" s="56">
        <v>0</v>
      </c>
      <c r="N26" s="52">
        <v>0</v>
      </c>
      <c r="O26" s="57">
        <v>0</v>
      </c>
      <c r="P26" s="53">
        <f t="shared" si="2"/>
        <v>60402152.487300009</v>
      </c>
      <c r="Q26" s="53">
        <f t="shared" si="3"/>
        <v>102117302.40889812</v>
      </c>
      <c r="R26" s="53">
        <f t="shared" si="4"/>
        <v>162519454.89619812</v>
      </c>
      <c r="S26" s="58">
        <v>0</v>
      </c>
    </row>
    <row r="27" spans="1:19" x14ac:dyDescent="0.25">
      <c r="A27" s="49" t="s">
        <v>67</v>
      </c>
      <c r="B27" s="49" t="s">
        <v>68</v>
      </c>
      <c r="C27" s="50">
        <v>35.371797637831172</v>
      </c>
      <c r="D27" s="51">
        <f>VLOOKUP(B27,'Costdrivere 2021'!B:M,12,0)</f>
        <v>4.271234612289624E-2</v>
      </c>
      <c r="E27" s="52">
        <f>SUM(VLOOKUP($B27,'Costdrivere 2021'!$B$4:$L$105,2,FALSE),VLOOKUP($B27,'Costdrivere 2021'!$B$4:$L$105,3,FALSE),VLOOKUP($B27,'Costdrivere 2021'!$B$4:$L$105,4,FALSE),VLOOKUP($B27,'Costdrivere 2021'!$B$4:$L$105,5,FALSE),VLOOKUP($B27,'Costdrivere 2021'!$B$4:$L$105,6,FALSE),VLOOKUP($B27,'Costdrivere 2021'!$B$4:$L$105,7,FALSE),VLOOKUP($B27,'Costdrivere 2021'!$B$4:$L$105,8,FALSE),VLOOKUP($B27,'Costdrivere 2021'!$B$4:$L$105,9,FALSE),VLOOKUP($B27,'Costdrivere 2021'!$B$4:$L$105,10,FALSE),VLOOKUP($B27,'Costdrivere 2021'!$B$4:$L$105,11,FALSE))</f>
        <v>31427155.943688218</v>
      </c>
      <c r="F27" s="52">
        <f>VLOOKUP(B27,'Costdrivere 2021'!B:AP,39,0)+VLOOKUP(B27,'Costdrivere 2021'!B:AP,40,0)+VLOOKUP(B27,'Costdrivere 2021'!B:AP,41,0)</f>
        <v>83358187.988133222</v>
      </c>
      <c r="G27" s="53">
        <v>24451067.125200003</v>
      </c>
      <c r="H27" s="5">
        <v>39934515.158263423</v>
      </c>
      <c r="I27" s="54">
        <v>1691563.8</v>
      </c>
      <c r="J27" s="54">
        <f>VLOOKUP(B27,'Gennemførte investeringer'!B:P,15,0)</f>
        <v>16786233.424584325</v>
      </c>
      <c r="K27" s="55">
        <f t="shared" si="0"/>
        <v>58412312.382847741</v>
      </c>
      <c r="L27" s="53">
        <f t="shared" si="1"/>
        <v>82863379.508047745</v>
      </c>
      <c r="M27" s="56">
        <v>0</v>
      </c>
      <c r="N27" s="52">
        <v>0</v>
      </c>
      <c r="O27" s="57">
        <v>0</v>
      </c>
      <c r="P27" s="53">
        <f t="shared" si="2"/>
        <v>24451067.125200003</v>
      </c>
      <c r="Q27" s="53">
        <f t="shared" si="3"/>
        <v>58412312.382847741</v>
      </c>
      <c r="R27" s="53">
        <f t="shared" si="4"/>
        <v>82863379.508047745</v>
      </c>
      <c r="S27" s="58">
        <v>0</v>
      </c>
    </row>
    <row r="28" spans="1:19" x14ac:dyDescent="0.25">
      <c r="A28" s="49" t="s">
        <v>69</v>
      </c>
      <c r="B28" s="49" t="s">
        <v>70</v>
      </c>
      <c r="C28" s="50">
        <v>39.704787597568227</v>
      </c>
      <c r="D28" s="51">
        <f>VLOOKUP(B28,'Costdrivere 2021'!B:M,12,0)</f>
        <v>7.2121003781368168E-2</v>
      </c>
      <c r="E28" s="52">
        <f>SUM(VLOOKUP($B28,'Costdrivere 2021'!$B$4:$L$105,2,FALSE),VLOOKUP($B28,'Costdrivere 2021'!$B$4:$L$105,3,FALSE),VLOOKUP($B28,'Costdrivere 2021'!$B$4:$L$105,4,FALSE),VLOOKUP($B28,'Costdrivere 2021'!$B$4:$L$105,5,FALSE),VLOOKUP($B28,'Costdrivere 2021'!$B$4:$L$105,6,FALSE),VLOOKUP($B28,'Costdrivere 2021'!$B$4:$L$105,7,FALSE),VLOOKUP($B28,'Costdrivere 2021'!$B$4:$L$105,8,FALSE),VLOOKUP($B28,'Costdrivere 2021'!$B$4:$L$105,9,FALSE),VLOOKUP($B28,'Costdrivere 2021'!$B$4:$L$105,10,FALSE),VLOOKUP($B28,'Costdrivere 2021'!$B$4:$L$105,11,FALSE))</f>
        <v>16542926.223939938</v>
      </c>
      <c r="F28" s="52">
        <f>VLOOKUP(B28,'Costdrivere 2021'!B:AP,39,0)+VLOOKUP(B28,'Costdrivere 2021'!B:AP,40,0)+VLOOKUP(B28,'Costdrivere 2021'!B:AP,41,0)</f>
        <v>66619834.959356859</v>
      </c>
      <c r="G28" s="53">
        <v>16500401.225700002</v>
      </c>
      <c r="H28" s="5">
        <v>23431029.122385997</v>
      </c>
      <c r="I28" s="54">
        <v>1653438.4000000001</v>
      </c>
      <c r="J28" s="54">
        <f>VLOOKUP(B28,'Gennemførte investeringer'!B:P,15,0)</f>
        <v>8095895.1198782958</v>
      </c>
      <c r="K28" s="55">
        <f t="shared" si="0"/>
        <v>33180362.642264292</v>
      </c>
      <c r="L28" s="53">
        <f t="shared" si="1"/>
        <v>49680763.867964298</v>
      </c>
      <c r="M28" s="56">
        <v>0</v>
      </c>
      <c r="N28" s="52">
        <v>0</v>
      </c>
      <c r="O28" s="57">
        <v>0</v>
      </c>
      <c r="P28" s="53">
        <f t="shared" si="2"/>
        <v>16500401.225700002</v>
      </c>
      <c r="Q28" s="53">
        <f t="shared" si="3"/>
        <v>33180362.642264292</v>
      </c>
      <c r="R28" s="53">
        <f t="shared" si="4"/>
        <v>49680763.867964298</v>
      </c>
      <c r="S28" s="58">
        <v>0</v>
      </c>
    </row>
    <row r="29" spans="1:19" x14ac:dyDescent="0.25">
      <c r="A29" s="49" t="s">
        <v>71</v>
      </c>
      <c r="B29" s="49" t="s">
        <v>72</v>
      </c>
      <c r="C29" s="50">
        <v>13.56126023028475</v>
      </c>
      <c r="D29" s="51">
        <f>VLOOKUP(B29,'Costdrivere 2021'!B:M,12,0)</f>
        <v>0.10053638801763717</v>
      </c>
      <c r="E29" s="52">
        <f>SUM(VLOOKUP($B29,'Costdrivere 2021'!$B$4:$L$105,2,FALSE),VLOOKUP($B29,'Costdrivere 2021'!$B$4:$L$105,3,FALSE),VLOOKUP($B29,'Costdrivere 2021'!$B$4:$L$105,4,FALSE),VLOOKUP($B29,'Costdrivere 2021'!$B$4:$L$105,5,FALSE),VLOOKUP($B29,'Costdrivere 2021'!$B$4:$L$105,6,FALSE),VLOOKUP($B29,'Costdrivere 2021'!$B$4:$L$105,7,FALSE),VLOOKUP($B29,'Costdrivere 2021'!$B$4:$L$105,8,FALSE),VLOOKUP($B29,'Costdrivere 2021'!$B$4:$L$105,9,FALSE),VLOOKUP($B29,'Costdrivere 2021'!$B$4:$L$105,10,FALSE),VLOOKUP($B29,'Costdrivere 2021'!$B$4:$L$105,11,FALSE))</f>
        <v>15925978.721107785</v>
      </c>
      <c r="F29" s="52">
        <f>VLOOKUP(B29,'Costdrivere 2021'!B:AP,39,0)+VLOOKUP(B29,'Costdrivere 2021'!B:AP,40,0)+VLOOKUP(B29,'Costdrivere 2021'!B:AP,41,0)</f>
        <v>75449682.076766148</v>
      </c>
      <c r="G29" s="53">
        <v>10298362.817000002</v>
      </c>
      <c r="H29" s="5">
        <v>14886666.400541283</v>
      </c>
      <c r="I29" s="54">
        <v>27270697.300000001</v>
      </c>
      <c r="J29" s="54">
        <f>VLOOKUP(B29,'Gennemførte investeringer'!B:P,15,0)</f>
        <v>30177413.455742016</v>
      </c>
      <c r="K29" s="55">
        <f t="shared" si="0"/>
        <v>72334777.156283304</v>
      </c>
      <c r="L29" s="53">
        <f t="shared" si="1"/>
        <v>82633139.973283306</v>
      </c>
      <c r="M29" s="56">
        <v>0</v>
      </c>
      <c r="N29" s="52">
        <v>0</v>
      </c>
      <c r="O29" s="57">
        <v>0</v>
      </c>
      <c r="P29" s="53">
        <f t="shared" si="2"/>
        <v>10298362.817000002</v>
      </c>
      <c r="Q29" s="53">
        <f t="shared" si="3"/>
        <v>72334777.156283304</v>
      </c>
      <c r="R29" s="53">
        <f t="shared" si="4"/>
        <v>82633139.973283306</v>
      </c>
      <c r="S29" s="58">
        <v>0</v>
      </c>
    </row>
    <row r="30" spans="1:19" x14ac:dyDescent="0.25">
      <c r="A30" s="49" t="s">
        <v>73</v>
      </c>
      <c r="B30" s="49" t="s">
        <v>74</v>
      </c>
      <c r="C30" s="50">
        <v>27.36967522891905</v>
      </c>
      <c r="D30" s="51">
        <f>VLOOKUP(B30,'Costdrivere 2021'!B:M,12,0)</f>
        <v>0.12978172284170958</v>
      </c>
      <c r="E30" s="52">
        <f>SUM(VLOOKUP($B30,'Costdrivere 2021'!$B$4:$L$105,2,FALSE),VLOOKUP($B30,'Costdrivere 2021'!$B$4:$L$105,3,FALSE),VLOOKUP($B30,'Costdrivere 2021'!$B$4:$L$105,4,FALSE),VLOOKUP($B30,'Costdrivere 2021'!$B$4:$L$105,5,FALSE),VLOOKUP($B30,'Costdrivere 2021'!$B$4:$L$105,6,FALSE),VLOOKUP($B30,'Costdrivere 2021'!$B$4:$L$105,7,FALSE),VLOOKUP($B30,'Costdrivere 2021'!$B$4:$L$105,8,FALSE),VLOOKUP($B30,'Costdrivere 2021'!$B$4:$L$105,9,FALSE),VLOOKUP($B30,'Costdrivere 2021'!$B$4:$L$105,10,FALSE),VLOOKUP($B30,'Costdrivere 2021'!$B$4:$L$105,11,FALSE))</f>
        <v>12809310.256865811</v>
      </c>
      <c r="F30" s="52">
        <f>VLOOKUP(B30,'Costdrivere 2021'!B:AP,39,0)+VLOOKUP(B30,'Costdrivere 2021'!B:AP,40,0)+VLOOKUP(B30,'Costdrivere 2021'!B:AP,41,0)</f>
        <v>66448081.768919632</v>
      </c>
      <c r="G30" s="53">
        <v>16484997.560800001</v>
      </c>
      <c r="H30" s="5">
        <v>13408829.409079863</v>
      </c>
      <c r="I30" s="54">
        <v>16340747.100000001</v>
      </c>
      <c r="J30" s="54">
        <f>VLOOKUP(B30,'Gennemførte investeringer'!B:P,15,0)</f>
        <v>20373283.393962253</v>
      </c>
      <c r="K30" s="55">
        <f t="shared" si="0"/>
        <v>50122859.903042123</v>
      </c>
      <c r="L30" s="53">
        <f t="shared" si="1"/>
        <v>66607857.463842124</v>
      </c>
      <c r="M30" s="56">
        <v>0</v>
      </c>
      <c r="N30" s="52">
        <v>0</v>
      </c>
      <c r="O30" s="57">
        <v>0</v>
      </c>
      <c r="P30" s="53">
        <f t="shared" si="2"/>
        <v>16484997.560800001</v>
      </c>
      <c r="Q30" s="53">
        <f t="shared" si="3"/>
        <v>50122859.903042123</v>
      </c>
      <c r="R30" s="53">
        <f t="shared" si="4"/>
        <v>66607857.463842124</v>
      </c>
      <c r="S30" s="58">
        <v>0</v>
      </c>
    </row>
    <row r="31" spans="1:19" x14ac:dyDescent="0.25">
      <c r="A31" s="49" t="s">
        <v>75</v>
      </c>
      <c r="B31" s="49" t="s">
        <v>76</v>
      </c>
      <c r="C31" s="50">
        <v>37.043583060027458</v>
      </c>
      <c r="D31" s="51">
        <f>VLOOKUP(B31,'Costdrivere 2021'!B:M,12,0)</f>
        <v>9.5707987551867255E-2</v>
      </c>
      <c r="E31" s="52">
        <f>SUM(VLOOKUP($B31,'Costdrivere 2021'!$B$4:$L$105,2,FALSE),VLOOKUP($B31,'Costdrivere 2021'!$B$4:$L$105,3,FALSE),VLOOKUP($B31,'Costdrivere 2021'!$B$4:$L$105,4,FALSE),VLOOKUP($B31,'Costdrivere 2021'!$B$4:$L$105,5,FALSE),VLOOKUP($B31,'Costdrivere 2021'!$B$4:$L$105,6,FALSE),VLOOKUP($B31,'Costdrivere 2021'!$B$4:$L$105,7,FALSE),VLOOKUP($B31,'Costdrivere 2021'!$B$4:$L$105,8,FALSE),VLOOKUP($B31,'Costdrivere 2021'!$B$4:$L$105,9,FALSE),VLOOKUP($B31,'Costdrivere 2021'!$B$4:$L$105,10,FALSE),VLOOKUP($B31,'Costdrivere 2021'!$B$4:$L$105,11,FALSE))</f>
        <v>4572369.9505592212</v>
      </c>
      <c r="F31" s="52">
        <f>VLOOKUP(B31,'Costdrivere 2021'!B:AP,39,0)+VLOOKUP(B31,'Costdrivere 2021'!B:AP,40,0)+VLOOKUP(B31,'Costdrivere 2021'!B:AP,41,0)</f>
        <v>25851589.521399997</v>
      </c>
      <c r="G31" s="53">
        <v>8225857.043300001</v>
      </c>
      <c r="H31" s="5">
        <v>10854780.612729859</v>
      </c>
      <c r="I31" s="54">
        <v>2243983.7899000002</v>
      </c>
      <c r="J31" s="54">
        <f>VLOOKUP(B31,'Gennemførte investeringer'!B:P,15,0)</f>
        <v>4285713.6387259234</v>
      </c>
      <c r="K31" s="55">
        <f t="shared" si="0"/>
        <v>17384478.041355781</v>
      </c>
      <c r="L31" s="53">
        <f t="shared" si="1"/>
        <v>25610335.084655784</v>
      </c>
      <c r="M31" s="56">
        <v>0</v>
      </c>
      <c r="N31" s="52">
        <v>2149655.5305000003</v>
      </c>
      <c r="O31" s="57">
        <v>1446162.6398</v>
      </c>
      <c r="P31" s="53">
        <f t="shared" si="2"/>
        <v>6076201.5128000006</v>
      </c>
      <c r="Q31" s="53">
        <f t="shared" si="3"/>
        <v>15938315.40155578</v>
      </c>
      <c r="R31" s="53">
        <f t="shared" si="4"/>
        <v>22014516.914355781</v>
      </c>
      <c r="S31" s="58">
        <v>0</v>
      </c>
    </row>
    <row r="32" spans="1:19" x14ac:dyDescent="0.25">
      <c r="A32" s="49" t="s">
        <v>77</v>
      </c>
      <c r="B32" s="49" t="s">
        <v>78</v>
      </c>
      <c r="C32" s="50">
        <v>41.951689666210576</v>
      </c>
      <c r="D32" s="51">
        <f>VLOOKUP(B32,'Costdrivere 2021'!B:M,12,0)</f>
        <v>4.1794911884925505E-2</v>
      </c>
      <c r="E32" s="52">
        <f>SUM(VLOOKUP($B32,'Costdrivere 2021'!$B$4:$L$105,2,FALSE),VLOOKUP($B32,'Costdrivere 2021'!$B$4:$L$105,3,FALSE),VLOOKUP($B32,'Costdrivere 2021'!$B$4:$L$105,4,FALSE),VLOOKUP($B32,'Costdrivere 2021'!$B$4:$L$105,5,FALSE),VLOOKUP($B32,'Costdrivere 2021'!$B$4:$L$105,6,FALSE),VLOOKUP($B32,'Costdrivere 2021'!$B$4:$L$105,7,FALSE),VLOOKUP($B32,'Costdrivere 2021'!$B$4:$L$105,8,FALSE),VLOOKUP($B32,'Costdrivere 2021'!$B$4:$L$105,9,FALSE),VLOOKUP($B32,'Costdrivere 2021'!$B$4:$L$105,10,FALSE),VLOOKUP($B32,'Costdrivere 2021'!$B$4:$L$105,11,FALSE))</f>
        <v>22876077.592966489</v>
      </c>
      <c r="F32" s="52">
        <f>VLOOKUP(B32,'Costdrivere 2021'!B:AP,39,0)+VLOOKUP(B32,'Costdrivere 2021'!B:AP,40,0)+VLOOKUP(B32,'Costdrivere 2021'!B:AP,41,0)</f>
        <v>82473477.484933093</v>
      </c>
      <c r="G32" s="53">
        <v>22675665.570600003</v>
      </c>
      <c r="H32" s="5">
        <v>39035550.180710301</v>
      </c>
      <c r="I32" s="54">
        <v>95928.522900000011</v>
      </c>
      <c r="J32" s="54">
        <f>VLOOKUP(B32,'Gennemførte investeringer'!B:P,15,0)</f>
        <v>10076697.55711206</v>
      </c>
      <c r="K32" s="55">
        <f t="shared" si="0"/>
        <v>49208176.260722362</v>
      </c>
      <c r="L32" s="53">
        <f t="shared" si="1"/>
        <v>71883841.831322372</v>
      </c>
      <c r="M32" s="56">
        <v>0</v>
      </c>
      <c r="N32" s="52">
        <v>0</v>
      </c>
      <c r="O32" s="57">
        <v>0</v>
      </c>
      <c r="P32" s="53">
        <f t="shared" si="2"/>
        <v>22675665.570600003</v>
      </c>
      <c r="Q32" s="53">
        <f t="shared" si="3"/>
        <v>49208176.260722362</v>
      </c>
      <c r="R32" s="53">
        <f t="shared" si="4"/>
        <v>71883841.831322372</v>
      </c>
      <c r="S32" s="58">
        <v>0</v>
      </c>
    </row>
    <row r="33" spans="1:19" x14ac:dyDescent="0.25">
      <c r="A33" s="49" t="s">
        <v>79</v>
      </c>
      <c r="B33" s="49" t="s">
        <v>80</v>
      </c>
      <c r="C33" s="50">
        <v>34.917408417965738</v>
      </c>
      <c r="D33" s="51">
        <f>VLOOKUP(B33,'Costdrivere 2021'!B:M,12,0)</f>
        <v>3.4819963536918873E-2</v>
      </c>
      <c r="E33" s="52">
        <f>SUM(VLOOKUP($B33,'Costdrivere 2021'!$B$4:$L$105,2,FALSE),VLOOKUP($B33,'Costdrivere 2021'!$B$4:$L$105,3,FALSE),VLOOKUP($B33,'Costdrivere 2021'!$B$4:$L$105,4,FALSE),VLOOKUP($B33,'Costdrivere 2021'!$B$4:$L$105,5,FALSE),VLOOKUP($B33,'Costdrivere 2021'!$B$4:$L$105,6,FALSE),VLOOKUP($B33,'Costdrivere 2021'!$B$4:$L$105,7,FALSE),VLOOKUP($B33,'Costdrivere 2021'!$B$4:$L$105,8,FALSE),VLOOKUP($B33,'Costdrivere 2021'!$B$4:$L$105,9,FALSE),VLOOKUP($B33,'Costdrivere 2021'!$B$4:$L$105,10,FALSE),VLOOKUP($B33,'Costdrivere 2021'!$B$4:$L$105,11,FALSE))</f>
        <v>33145990.697265599</v>
      </c>
      <c r="F33" s="52">
        <f>VLOOKUP(B33,'Costdrivere 2021'!B:AP,39,0)+VLOOKUP(B33,'Costdrivere 2021'!B:AP,40,0)+VLOOKUP(B33,'Costdrivere 2021'!B:AP,41,0)</f>
        <v>87761331.013040483</v>
      </c>
      <c r="G33" s="53">
        <v>22079259.905400001</v>
      </c>
      <c r="H33" s="5">
        <v>47139262.820583411</v>
      </c>
      <c r="I33" s="54">
        <v>6007660.0700000003</v>
      </c>
      <c r="J33" s="54">
        <f>VLOOKUP(B33,'Gennemførte investeringer'!B:P,15,0)</f>
        <v>23083446.864708871</v>
      </c>
      <c r="K33" s="55">
        <f t="shared" si="0"/>
        <v>76230369.755292282</v>
      </c>
      <c r="L33" s="53">
        <f t="shared" si="1"/>
        <v>98309629.660692275</v>
      </c>
      <c r="M33" s="56">
        <v>0</v>
      </c>
      <c r="N33" s="52">
        <v>0</v>
      </c>
      <c r="O33" s="57">
        <v>0</v>
      </c>
      <c r="P33" s="53">
        <f t="shared" si="2"/>
        <v>22079259.905400001</v>
      </c>
      <c r="Q33" s="53">
        <f t="shared" si="3"/>
        <v>76230369.755292282</v>
      </c>
      <c r="R33" s="53">
        <f t="shared" si="4"/>
        <v>98309629.660692275</v>
      </c>
      <c r="S33" s="58">
        <v>0</v>
      </c>
    </row>
    <row r="34" spans="1:19" x14ac:dyDescent="0.25">
      <c r="A34" s="49" t="s">
        <v>81</v>
      </c>
      <c r="B34" s="49" t="s">
        <v>82</v>
      </c>
      <c r="C34" s="50">
        <v>38.13728340758562</v>
      </c>
      <c r="D34" s="51">
        <f>VLOOKUP(B34,'Costdrivere 2021'!B:M,12,0)</f>
        <v>2.5511584220413275E-2</v>
      </c>
      <c r="E34" s="52">
        <f>SUM(VLOOKUP($B34,'Costdrivere 2021'!$B$4:$L$105,2,FALSE),VLOOKUP($B34,'Costdrivere 2021'!$B$4:$L$105,3,FALSE),VLOOKUP($B34,'Costdrivere 2021'!$B$4:$L$105,4,FALSE),VLOOKUP($B34,'Costdrivere 2021'!$B$4:$L$105,5,FALSE),VLOOKUP($B34,'Costdrivere 2021'!$B$4:$L$105,6,FALSE),VLOOKUP($B34,'Costdrivere 2021'!$B$4:$L$105,7,FALSE),VLOOKUP($B34,'Costdrivere 2021'!$B$4:$L$105,8,FALSE),VLOOKUP($B34,'Costdrivere 2021'!$B$4:$L$105,9,FALSE),VLOOKUP($B34,'Costdrivere 2021'!$B$4:$L$105,10,FALSE),VLOOKUP($B34,'Costdrivere 2021'!$B$4:$L$105,11,FALSE))</f>
        <v>41799124.464061059</v>
      </c>
      <c r="F34" s="52">
        <f>VLOOKUP(B34,'Costdrivere 2021'!B:AP,39,0)+VLOOKUP(B34,'Costdrivere 2021'!B:AP,40,0)+VLOOKUP(B34,'Costdrivere 2021'!B:AP,41,0)</f>
        <v>141450828.01437575</v>
      </c>
      <c r="G34" s="53">
        <v>36772576.365800001</v>
      </c>
      <c r="H34" s="5">
        <v>63082444.194003291</v>
      </c>
      <c r="I34" s="54">
        <v>7319945.3677000003</v>
      </c>
      <c r="J34" s="54">
        <f>VLOOKUP(B34,'Gennemførte investeringer'!B:P,15,0)</f>
        <v>24058801.866245013</v>
      </c>
      <c r="K34" s="55">
        <f t="shared" si="0"/>
        <v>94461191.427948311</v>
      </c>
      <c r="L34" s="53">
        <f t="shared" si="1"/>
        <v>131233767.79374832</v>
      </c>
      <c r="M34" s="56">
        <v>0</v>
      </c>
      <c r="N34" s="52">
        <v>0</v>
      </c>
      <c r="O34" s="57">
        <v>0</v>
      </c>
      <c r="P34" s="53">
        <f t="shared" si="2"/>
        <v>36772576.365800001</v>
      </c>
      <c r="Q34" s="53">
        <f t="shared" si="3"/>
        <v>94461191.427948311</v>
      </c>
      <c r="R34" s="53">
        <f t="shared" si="4"/>
        <v>131233767.79374832</v>
      </c>
      <c r="S34" s="58">
        <v>0</v>
      </c>
    </row>
    <row r="35" spans="1:19" x14ac:dyDescent="0.25">
      <c r="A35" s="49" t="s">
        <v>83</v>
      </c>
      <c r="B35" s="49" t="s">
        <v>84</v>
      </c>
      <c r="C35" s="50">
        <v>33.029466848384445</v>
      </c>
      <c r="D35" s="51">
        <f>VLOOKUP(B35,'Costdrivere 2021'!B:M,12,0)</f>
        <v>3.5206352636127911E-2</v>
      </c>
      <c r="E35" s="52">
        <f>SUM(VLOOKUP($B35,'Costdrivere 2021'!$B$4:$L$105,2,FALSE),VLOOKUP($B35,'Costdrivere 2021'!$B$4:$L$105,3,FALSE),VLOOKUP($B35,'Costdrivere 2021'!$B$4:$L$105,4,FALSE),VLOOKUP($B35,'Costdrivere 2021'!$B$4:$L$105,5,FALSE),VLOOKUP($B35,'Costdrivere 2021'!$B$4:$L$105,6,FALSE),VLOOKUP($B35,'Costdrivere 2021'!$B$4:$L$105,7,FALSE),VLOOKUP($B35,'Costdrivere 2021'!$B$4:$L$105,8,FALSE),VLOOKUP($B35,'Costdrivere 2021'!$B$4:$L$105,9,FALSE),VLOOKUP($B35,'Costdrivere 2021'!$B$4:$L$105,10,FALSE),VLOOKUP($B35,'Costdrivere 2021'!$B$4:$L$105,11,FALSE))</f>
        <v>38021442.202381656</v>
      </c>
      <c r="F35" s="52">
        <f>VLOOKUP(B35,'Costdrivere 2021'!B:AP,39,0)+VLOOKUP(B35,'Costdrivere 2021'!B:AP,40,0)+VLOOKUP(B35,'Costdrivere 2021'!B:AP,41,0)</f>
        <v>115377904.13078254</v>
      </c>
      <c r="G35" s="53">
        <v>41202724.021438204</v>
      </c>
      <c r="H35" s="5">
        <v>60698746.722488701</v>
      </c>
      <c r="I35" s="54">
        <v>3559708.4000000004</v>
      </c>
      <c r="J35" s="54">
        <f>VLOOKUP(B35,'Gennemførte investeringer'!B:P,15,0)</f>
        <v>22415786.643145461</v>
      </c>
      <c r="K35" s="55">
        <f t="shared" si="0"/>
        <v>86674241.765634164</v>
      </c>
      <c r="L35" s="53">
        <f t="shared" si="1"/>
        <v>127876965.78707236</v>
      </c>
      <c r="M35" s="56">
        <v>0</v>
      </c>
      <c r="N35" s="52">
        <v>0</v>
      </c>
      <c r="O35" s="57">
        <v>0</v>
      </c>
      <c r="P35" s="53">
        <f t="shared" si="2"/>
        <v>41202724.021438204</v>
      </c>
      <c r="Q35" s="53">
        <f t="shared" si="3"/>
        <v>86674241.765634164</v>
      </c>
      <c r="R35" s="53">
        <f t="shared" si="4"/>
        <v>127876965.78707236</v>
      </c>
      <c r="S35" s="58">
        <v>0</v>
      </c>
    </row>
    <row r="36" spans="1:19" x14ac:dyDescent="0.25">
      <c r="A36" s="49" t="s">
        <v>85</v>
      </c>
      <c r="B36" s="49" t="s">
        <v>86</v>
      </c>
      <c r="C36" s="50">
        <v>33.231920407821733</v>
      </c>
      <c r="D36" s="51">
        <f>VLOOKUP(B36,'Costdrivere 2021'!B:M,12,0)</f>
        <v>3.1039576873974094E-2</v>
      </c>
      <c r="E36" s="52">
        <f>SUM(VLOOKUP($B36,'Costdrivere 2021'!$B$4:$L$105,2,FALSE),VLOOKUP($B36,'Costdrivere 2021'!$B$4:$L$105,3,FALSE),VLOOKUP($B36,'Costdrivere 2021'!$B$4:$L$105,4,FALSE),VLOOKUP($B36,'Costdrivere 2021'!$B$4:$L$105,5,FALSE),VLOOKUP($B36,'Costdrivere 2021'!$B$4:$L$105,6,FALSE),VLOOKUP($B36,'Costdrivere 2021'!$B$4:$L$105,7,FALSE),VLOOKUP($B36,'Costdrivere 2021'!$B$4:$L$105,8,FALSE),VLOOKUP($B36,'Costdrivere 2021'!$B$4:$L$105,9,FALSE),VLOOKUP($B36,'Costdrivere 2021'!$B$4:$L$105,10,FALSE),VLOOKUP($B36,'Costdrivere 2021'!$B$4:$L$105,11,FALSE))</f>
        <v>20541169.507445343</v>
      </c>
      <c r="F36" s="52">
        <f>VLOOKUP(B36,'Costdrivere 2021'!B:AP,39,0)+VLOOKUP(B36,'Costdrivere 2021'!B:AP,40,0)+VLOOKUP(B36,'Costdrivere 2021'!B:AP,41,0)</f>
        <v>71503669.57481879</v>
      </c>
      <c r="G36" s="53">
        <v>23956203.446400002</v>
      </c>
      <c r="H36" s="5">
        <v>37473455.371205062</v>
      </c>
      <c r="I36" s="54">
        <v>616456.61570000008</v>
      </c>
      <c r="J36" s="54">
        <f>VLOOKUP(B36,'Gennemførte investeringer'!B:P,15,0)</f>
        <v>14059476.044721516</v>
      </c>
      <c r="K36" s="55">
        <f t="shared" si="0"/>
        <v>52149388.031626575</v>
      </c>
      <c r="L36" s="53">
        <f t="shared" si="1"/>
        <v>76105591.478026569</v>
      </c>
      <c r="M36" s="56">
        <v>0</v>
      </c>
      <c r="N36" s="52">
        <v>0</v>
      </c>
      <c r="O36" s="57">
        <v>0</v>
      </c>
      <c r="P36" s="53">
        <f t="shared" si="2"/>
        <v>23956203.446400002</v>
      </c>
      <c r="Q36" s="53">
        <f t="shared" si="3"/>
        <v>52149388.031626575</v>
      </c>
      <c r="R36" s="53">
        <f t="shared" si="4"/>
        <v>76105591.478026569</v>
      </c>
      <c r="S36" s="58">
        <v>0</v>
      </c>
    </row>
    <row r="37" spans="1:19" x14ac:dyDescent="0.25">
      <c r="A37" s="49" t="s">
        <v>87</v>
      </c>
      <c r="B37" s="49" t="s">
        <v>88</v>
      </c>
      <c r="C37" s="50">
        <v>30.546448826841161</v>
      </c>
      <c r="D37" s="51">
        <f>VLOOKUP(B37,'Costdrivere 2021'!B:M,12,0)</f>
        <v>2.4319270772466987E-2</v>
      </c>
      <c r="E37" s="52">
        <f>SUM(VLOOKUP($B37,'Costdrivere 2021'!$B$4:$L$105,2,FALSE),VLOOKUP($B37,'Costdrivere 2021'!$B$4:$L$105,3,FALSE),VLOOKUP($B37,'Costdrivere 2021'!$B$4:$L$105,4,FALSE),VLOOKUP($B37,'Costdrivere 2021'!$B$4:$L$105,5,FALSE),VLOOKUP($B37,'Costdrivere 2021'!$B$4:$L$105,6,FALSE),VLOOKUP($B37,'Costdrivere 2021'!$B$4:$L$105,7,FALSE),VLOOKUP($B37,'Costdrivere 2021'!$B$4:$L$105,8,FALSE),VLOOKUP($B37,'Costdrivere 2021'!$B$4:$L$105,9,FALSE),VLOOKUP($B37,'Costdrivere 2021'!$B$4:$L$105,10,FALSE),VLOOKUP($B37,'Costdrivere 2021'!$B$4:$L$105,11,FALSE))</f>
        <v>36941304.964794487</v>
      </c>
      <c r="F37" s="52">
        <f>VLOOKUP(B37,'Costdrivere 2021'!B:AP,39,0)+VLOOKUP(B37,'Costdrivere 2021'!B:AP,40,0)+VLOOKUP(B37,'Costdrivere 2021'!B:AP,41,0)</f>
        <v>123283216.33705604</v>
      </c>
      <c r="G37" s="53">
        <v>30603765.246500004</v>
      </c>
      <c r="H37" s="5">
        <v>55536739.007940359</v>
      </c>
      <c r="I37" s="54">
        <v>1900441.8303000003</v>
      </c>
      <c r="J37" s="54">
        <f>VLOOKUP(B37,'Gennemførte investeringer'!B:P,15,0)</f>
        <v>18951648.801230215</v>
      </c>
      <c r="K37" s="55">
        <f t="shared" si="0"/>
        <v>76388829.639470577</v>
      </c>
      <c r="L37" s="53">
        <f t="shared" si="1"/>
        <v>106992594.88597058</v>
      </c>
      <c r="M37" s="56">
        <v>0</v>
      </c>
      <c r="N37" s="52">
        <v>0</v>
      </c>
      <c r="O37" s="57">
        <v>0</v>
      </c>
      <c r="P37" s="53">
        <f t="shared" si="2"/>
        <v>30603765.246500004</v>
      </c>
      <c r="Q37" s="53">
        <f t="shared" si="3"/>
        <v>76388829.639470577</v>
      </c>
      <c r="R37" s="53">
        <f t="shared" si="4"/>
        <v>106992594.88597058</v>
      </c>
      <c r="S37" s="58">
        <v>0</v>
      </c>
    </row>
    <row r="38" spans="1:19" x14ac:dyDescent="0.25">
      <c r="A38" s="49" t="s">
        <v>89</v>
      </c>
      <c r="B38" s="49" t="s">
        <v>90</v>
      </c>
      <c r="C38" s="50">
        <v>33.584861145678268</v>
      </c>
      <c r="D38" s="51">
        <f>VLOOKUP(B38,'Costdrivere 2021'!B:M,12,0)</f>
        <v>0</v>
      </c>
      <c r="E38" s="52">
        <f>SUM(VLOOKUP($B38,'Costdrivere 2021'!$B$4:$L$105,2,FALSE),VLOOKUP($B38,'Costdrivere 2021'!$B$4:$L$105,3,FALSE),VLOOKUP($B38,'Costdrivere 2021'!$B$4:$L$105,4,FALSE),VLOOKUP($B38,'Costdrivere 2021'!$B$4:$L$105,5,FALSE),VLOOKUP($B38,'Costdrivere 2021'!$B$4:$L$105,6,FALSE),VLOOKUP($B38,'Costdrivere 2021'!$B$4:$L$105,7,FALSE),VLOOKUP($B38,'Costdrivere 2021'!$B$4:$L$105,8,FALSE),VLOOKUP($B38,'Costdrivere 2021'!$B$4:$L$105,9,FALSE),VLOOKUP($B38,'Costdrivere 2021'!$B$4:$L$105,10,FALSE),VLOOKUP($B38,'Costdrivere 2021'!$B$4:$L$105,11,FALSE))</f>
        <v>25850356.609177653</v>
      </c>
      <c r="F38" s="52">
        <f>VLOOKUP(B38,'Costdrivere 2021'!B:AP,39,0)+VLOOKUP(B38,'Costdrivere 2021'!B:AP,40,0)+VLOOKUP(B38,'Costdrivere 2021'!B:AP,41,0)</f>
        <v>21821695.393953487</v>
      </c>
      <c r="G38" s="53">
        <v>26023786.027000003</v>
      </c>
      <c r="H38" s="5">
        <v>8474758.1370567493</v>
      </c>
      <c r="I38" s="54">
        <v>74341.520100000009</v>
      </c>
      <c r="J38" s="54">
        <f>VLOOKUP(B38,'Gennemførte investeringer'!B:P,15,0)</f>
        <v>3239049.9015550325</v>
      </c>
      <c r="K38" s="55">
        <f t="shared" si="0"/>
        <v>11788149.558711782</v>
      </c>
      <c r="L38" s="53">
        <f t="shared" si="1"/>
        <v>37811935.585711785</v>
      </c>
      <c r="M38" s="56">
        <v>0</v>
      </c>
      <c r="N38" s="52">
        <v>0</v>
      </c>
      <c r="O38" s="57">
        <v>0</v>
      </c>
      <c r="P38" s="53">
        <f t="shared" si="2"/>
        <v>26023786.027000003</v>
      </c>
      <c r="Q38" s="53">
        <f t="shared" si="3"/>
        <v>11788149.558711782</v>
      </c>
      <c r="R38" s="53">
        <f t="shared" si="4"/>
        <v>37811935.585711785</v>
      </c>
      <c r="S38" s="58">
        <v>0</v>
      </c>
    </row>
    <row r="39" spans="1:19" x14ac:dyDescent="0.25">
      <c r="A39" s="49" t="s">
        <v>91</v>
      </c>
      <c r="B39" s="49" t="s">
        <v>92</v>
      </c>
      <c r="C39" s="50">
        <v>36.31837366349334</v>
      </c>
      <c r="D39" s="51">
        <f>VLOOKUP(B39,'Costdrivere 2021'!B:M,12,0)</f>
        <v>4.1857752826757334E-2</v>
      </c>
      <c r="E39" s="52">
        <f>SUM(VLOOKUP($B39,'Costdrivere 2021'!$B$4:$L$105,2,FALSE),VLOOKUP($B39,'Costdrivere 2021'!$B$4:$L$105,3,FALSE),VLOOKUP($B39,'Costdrivere 2021'!$B$4:$L$105,4,FALSE),VLOOKUP($B39,'Costdrivere 2021'!$B$4:$L$105,5,FALSE),VLOOKUP($B39,'Costdrivere 2021'!$B$4:$L$105,6,FALSE),VLOOKUP($B39,'Costdrivere 2021'!$B$4:$L$105,7,FALSE),VLOOKUP($B39,'Costdrivere 2021'!$B$4:$L$105,8,FALSE),VLOOKUP($B39,'Costdrivere 2021'!$B$4:$L$105,9,FALSE),VLOOKUP($B39,'Costdrivere 2021'!$B$4:$L$105,10,FALSE),VLOOKUP($B39,'Costdrivere 2021'!$B$4:$L$105,11,FALSE))</f>
        <v>23041127.61408006</v>
      </c>
      <c r="F39" s="52">
        <f>VLOOKUP(B39,'Costdrivere 2021'!B:AP,39,0)+VLOOKUP(B39,'Costdrivere 2021'!B:AP,40,0)+VLOOKUP(B39,'Costdrivere 2021'!B:AP,41,0)</f>
        <v>158909296.96666664</v>
      </c>
      <c r="G39" s="53">
        <v>23639141.583700001</v>
      </c>
      <c r="H39" s="5">
        <v>83999297.43495287</v>
      </c>
      <c r="I39" s="54">
        <v>2403811.4865000001</v>
      </c>
      <c r="J39" s="54">
        <f>VLOOKUP(B39,'Gennemførte investeringer'!B:P,15,0)</f>
        <v>15000371.960755626</v>
      </c>
      <c r="K39" s="55">
        <f t="shared" si="0"/>
        <v>101403480.8822085</v>
      </c>
      <c r="L39" s="53">
        <f t="shared" si="1"/>
        <v>125042622.4659085</v>
      </c>
      <c r="M39" s="56">
        <v>0</v>
      </c>
      <c r="N39" s="52">
        <v>0</v>
      </c>
      <c r="O39" s="57">
        <v>0</v>
      </c>
      <c r="P39" s="53">
        <f t="shared" si="2"/>
        <v>23639141.583700001</v>
      </c>
      <c r="Q39" s="53">
        <f t="shared" si="3"/>
        <v>101403480.8822085</v>
      </c>
      <c r="R39" s="53">
        <f t="shared" si="4"/>
        <v>125042622.4659085</v>
      </c>
      <c r="S39" s="58">
        <v>0</v>
      </c>
    </row>
    <row r="40" spans="1:19" x14ac:dyDescent="0.25">
      <c r="A40" s="49" t="s">
        <v>93</v>
      </c>
      <c r="B40" s="49" t="s">
        <v>94</v>
      </c>
      <c r="C40" s="50">
        <v>30.181263890595673</v>
      </c>
      <c r="D40" s="51">
        <f>VLOOKUP(B40,'Costdrivere 2021'!B:M,12,0)</f>
        <v>4.3447762228072596E-2</v>
      </c>
      <c r="E40" s="52">
        <f>SUM(VLOOKUP($B40,'Costdrivere 2021'!$B$4:$L$105,2,FALSE),VLOOKUP($B40,'Costdrivere 2021'!$B$4:$L$105,3,FALSE),VLOOKUP($B40,'Costdrivere 2021'!$B$4:$L$105,4,FALSE),VLOOKUP($B40,'Costdrivere 2021'!$B$4:$L$105,5,FALSE),VLOOKUP($B40,'Costdrivere 2021'!$B$4:$L$105,6,FALSE),VLOOKUP($B40,'Costdrivere 2021'!$B$4:$L$105,7,FALSE),VLOOKUP($B40,'Costdrivere 2021'!$B$4:$L$105,8,FALSE),VLOOKUP($B40,'Costdrivere 2021'!$B$4:$L$105,9,FALSE),VLOOKUP($B40,'Costdrivere 2021'!$B$4:$L$105,10,FALSE),VLOOKUP($B40,'Costdrivere 2021'!$B$4:$L$105,11,FALSE))</f>
        <v>36576531.535748966</v>
      </c>
      <c r="F40" s="52">
        <f>VLOOKUP(B40,'Costdrivere 2021'!B:AP,39,0)+VLOOKUP(B40,'Costdrivere 2021'!B:AP,40,0)+VLOOKUP(B40,'Costdrivere 2021'!B:AP,41,0)</f>
        <v>109701047.63351198</v>
      </c>
      <c r="G40" s="53">
        <v>45744093.995500006</v>
      </c>
      <c r="H40" s="5">
        <v>41696472.047954209</v>
      </c>
      <c r="I40" s="54">
        <v>8640479.7980000004</v>
      </c>
      <c r="J40" s="54">
        <f>VLOOKUP(B40,'Gennemførte investeringer'!B:P,15,0)</f>
        <v>28965078.617329471</v>
      </c>
      <c r="K40" s="55">
        <f t="shared" si="0"/>
        <v>79302030.463283688</v>
      </c>
      <c r="L40" s="53">
        <f t="shared" si="1"/>
        <v>125046124.45878369</v>
      </c>
      <c r="M40" s="56">
        <v>3516204.9398118262</v>
      </c>
      <c r="N40" s="52">
        <v>1338330.9657000001</v>
      </c>
      <c r="O40" s="57">
        <v>1868536.8231541277</v>
      </c>
      <c r="P40" s="53">
        <f t="shared" si="2"/>
        <v>44405763.029800005</v>
      </c>
      <c r="Q40" s="53">
        <f t="shared" si="3"/>
        <v>73917288.70031774</v>
      </c>
      <c r="R40" s="53">
        <f t="shared" si="4"/>
        <v>118323051.73011774</v>
      </c>
      <c r="S40" s="58">
        <v>0</v>
      </c>
    </row>
    <row r="41" spans="1:19" x14ac:dyDescent="0.25">
      <c r="A41" s="49" t="s">
        <v>95</v>
      </c>
      <c r="B41" s="49" t="s">
        <v>96</v>
      </c>
      <c r="C41" s="50">
        <v>35.411592046748908</v>
      </c>
      <c r="D41" s="51">
        <f>VLOOKUP(B41,'Costdrivere 2021'!B:M,12,0)</f>
        <v>3.5826047358834247E-2</v>
      </c>
      <c r="E41" s="52">
        <f>SUM(VLOOKUP($B41,'Costdrivere 2021'!$B$4:$L$105,2,FALSE),VLOOKUP($B41,'Costdrivere 2021'!$B$4:$L$105,3,FALSE),VLOOKUP($B41,'Costdrivere 2021'!$B$4:$L$105,4,FALSE),VLOOKUP($B41,'Costdrivere 2021'!$B$4:$L$105,5,FALSE),VLOOKUP($B41,'Costdrivere 2021'!$B$4:$L$105,6,FALSE),VLOOKUP($B41,'Costdrivere 2021'!$B$4:$L$105,7,FALSE),VLOOKUP($B41,'Costdrivere 2021'!$B$4:$L$105,8,FALSE),VLOOKUP($B41,'Costdrivere 2021'!$B$4:$L$105,9,FALSE),VLOOKUP($B41,'Costdrivere 2021'!$B$4:$L$105,10,FALSE),VLOOKUP($B41,'Costdrivere 2021'!$B$4:$L$105,11,FALSE))</f>
        <v>46777073.105999477</v>
      </c>
      <c r="F41" s="52">
        <f>VLOOKUP(B41,'Costdrivere 2021'!B:AP,39,0)+VLOOKUP(B41,'Costdrivere 2021'!B:AP,40,0)+VLOOKUP(B41,'Costdrivere 2021'!B:AP,41,0)</f>
        <v>167184870.24891898</v>
      </c>
      <c r="G41" s="53">
        <v>41788870.689300001</v>
      </c>
      <c r="H41" s="5">
        <v>82634747.092322916</v>
      </c>
      <c r="I41" s="54">
        <v>4631098.3578000003</v>
      </c>
      <c r="J41" s="54">
        <f>VLOOKUP(B41,'Gennemførte investeringer'!B:P,15,0)</f>
        <v>19637411.229346603</v>
      </c>
      <c r="K41" s="55">
        <f t="shared" si="0"/>
        <v>106903256.67946953</v>
      </c>
      <c r="L41" s="53">
        <f t="shared" si="1"/>
        <v>148692127.36876953</v>
      </c>
      <c r="M41" s="56">
        <v>0</v>
      </c>
      <c r="N41" s="52">
        <v>0</v>
      </c>
      <c r="O41" s="57">
        <v>0</v>
      </c>
      <c r="P41" s="53">
        <f t="shared" si="2"/>
        <v>41788870.689300001</v>
      </c>
      <c r="Q41" s="53">
        <f t="shared" si="3"/>
        <v>106903256.67946953</v>
      </c>
      <c r="R41" s="53">
        <f t="shared" si="4"/>
        <v>148692127.36876953</v>
      </c>
      <c r="S41" s="58">
        <v>0</v>
      </c>
    </row>
    <row r="42" spans="1:19" x14ac:dyDescent="0.25">
      <c r="A42" s="49" t="s">
        <v>97</v>
      </c>
      <c r="B42" s="49" t="s">
        <v>98</v>
      </c>
      <c r="C42" s="50">
        <v>45.350754199057775</v>
      </c>
      <c r="D42" s="51">
        <f>VLOOKUP(B42,'Costdrivere 2021'!B:M,12,0)</f>
        <v>8.9938271604938266E-2</v>
      </c>
      <c r="E42" s="52">
        <f>SUM(VLOOKUP($B42,'Costdrivere 2021'!$B$4:$L$105,2,FALSE),VLOOKUP($B42,'Costdrivere 2021'!$B$4:$L$105,3,FALSE),VLOOKUP($B42,'Costdrivere 2021'!$B$4:$L$105,4,FALSE),VLOOKUP($B42,'Costdrivere 2021'!$B$4:$L$105,5,FALSE),VLOOKUP($B42,'Costdrivere 2021'!$B$4:$L$105,6,FALSE),VLOOKUP($B42,'Costdrivere 2021'!$B$4:$L$105,7,FALSE),VLOOKUP($B42,'Costdrivere 2021'!$B$4:$L$105,8,FALSE),VLOOKUP($B42,'Costdrivere 2021'!$B$4:$L$105,9,FALSE),VLOOKUP($B42,'Costdrivere 2021'!$B$4:$L$105,10,FALSE),VLOOKUP($B42,'Costdrivere 2021'!$B$4:$L$105,11,FALSE))</f>
        <v>7025385.9195975903</v>
      </c>
      <c r="F42" s="52">
        <f>VLOOKUP(B42,'Costdrivere 2021'!B:AP,39,0)+VLOOKUP(B42,'Costdrivere 2021'!B:AP,40,0)+VLOOKUP(B42,'Costdrivere 2021'!B:AP,41,0)</f>
        <v>58166791.256708518</v>
      </c>
      <c r="G42" s="53">
        <v>8944502.7739000004</v>
      </c>
      <c r="H42" s="5">
        <v>26700771.976792503</v>
      </c>
      <c r="I42" s="54">
        <v>302996.60000000003</v>
      </c>
      <c r="J42" s="54">
        <f>VLOOKUP(B42,'Gennemførte investeringer'!B:P,15,0)</f>
        <v>4539607.5630968278</v>
      </c>
      <c r="K42" s="55">
        <f t="shared" si="0"/>
        <v>31543376.139889333</v>
      </c>
      <c r="L42" s="53">
        <f t="shared" si="1"/>
        <v>40487878.913789332</v>
      </c>
      <c r="M42" s="56">
        <v>0</v>
      </c>
      <c r="N42" s="52">
        <v>0</v>
      </c>
      <c r="O42" s="57">
        <v>0</v>
      </c>
      <c r="P42" s="53">
        <f t="shared" si="2"/>
        <v>8944502.7739000004</v>
      </c>
      <c r="Q42" s="53">
        <f t="shared" si="3"/>
        <v>31543376.139889333</v>
      </c>
      <c r="R42" s="53">
        <f t="shared" si="4"/>
        <v>40487878.913789332</v>
      </c>
      <c r="S42" s="58">
        <v>0</v>
      </c>
    </row>
    <row r="43" spans="1:19" x14ac:dyDescent="0.25">
      <c r="A43" s="49" t="s">
        <v>99</v>
      </c>
      <c r="B43" s="49" t="s">
        <v>100</v>
      </c>
      <c r="C43" s="50">
        <v>39.457022298898252</v>
      </c>
      <c r="D43" s="51">
        <f>VLOOKUP(B43,'Costdrivere 2021'!B:M,12,0)</f>
        <v>0.14076338400528751</v>
      </c>
      <c r="E43" s="52">
        <f>SUM(VLOOKUP($B43,'Costdrivere 2021'!$B$4:$L$105,2,FALSE),VLOOKUP($B43,'Costdrivere 2021'!$B$4:$L$105,3,FALSE),VLOOKUP($B43,'Costdrivere 2021'!$B$4:$L$105,4,FALSE),VLOOKUP($B43,'Costdrivere 2021'!$B$4:$L$105,5,FALSE),VLOOKUP($B43,'Costdrivere 2021'!$B$4:$L$105,6,FALSE),VLOOKUP($B43,'Costdrivere 2021'!$B$4:$L$105,7,FALSE),VLOOKUP($B43,'Costdrivere 2021'!$B$4:$L$105,8,FALSE),VLOOKUP($B43,'Costdrivere 2021'!$B$4:$L$105,9,FALSE),VLOOKUP($B43,'Costdrivere 2021'!$B$4:$L$105,10,FALSE),VLOOKUP($B43,'Costdrivere 2021'!$B$4:$L$105,11,FALSE))</f>
        <v>5994145.9297008272</v>
      </c>
      <c r="F43" s="52">
        <f>VLOOKUP(B43,'Costdrivere 2021'!B:AP,39,0)+VLOOKUP(B43,'Costdrivere 2021'!B:AP,40,0)+VLOOKUP(B43,'Costdrivere 2021'!B:AP,41,0)</f>
        <v>31230553.849116273</v>
      </c>
      <c r="G43" s="53">
        <v>11911608.015700001</v>
      </c>
      <c r="H43" s="5">
        <v>13916114.643390618</v>
      </c>
      <c r="I43" s="54">
        <v>2303576.8000000003</v>
      </c>
      <c r="J43" s="54">
        <f>VLOOKUP(B43,'Gennemførte investeringer'!B:P,15,0)</f>
        <v>6477404.4911157982</v>
      </c>
      <c r="K43" s="55">
        <f t="shared" si="0"/>
        <v>22697095.934506416</v>
      </c>
      <c r="L43" s="53">
        <f t="shared" si="1"/>
        <v>34608703.950206414</v>
      </c>
      <c r="M43" s="56">
        <v>0</v>
      </c>
      <c r="N43" s="52">
        <v>0</v>
      </c>
      <c r="O43" s="57">
        <v>0</v>
      </c>
      <c r="P43" s="53">
        <f t="shared" si="2"/>
        <v>11911608.015700001</v>
      </c>
      <c r="Q43" s="53">
        <f t="shared" si="3"/>
        <v>22697095.934506416</v>
      </c>
      <c r="R43" s="53">
        <f t="shared" si="4"/>
        <v>34608703.950206414</v>
      </c>
      <c r="S43" s="58">
        <v>0</v>
      </c>
    </row>
    <row r="44" spans="1:19" x14ac:dyDescent="0.25">
      <c r="A44" s="49" t="s">
        <v>101</v>
      </c>
      <c r="B44" s="49" t="s">
        <v>102</v>
      </c>
      <c r="C44" s="50">
        <v>31.627696724933163</v>
      </c>
      <c r="D44" s="51">
        <f>VLOOKUP(B44,'Costdrivere 2021'!B:M,12,0)</f>
        <v>9.9496554432820364E-2</v>
      </c>
      <c r="E44" s="52">
        <f>SUM(VLOOKUP($B44,'Costdrivere 2021'!$B$4:$L$105,2,FALSE),VLOOKUP($B44,'Costdrivere 2021'!$B$4:$L$105,3,FALSE),VLOOKUP($B44,'Costdrivere 2021'!$B$4:$L$105,4,FALSE),VLOOKUP($B44,'Costdrivere 2021'!$B$4:$L$105,5,FALSE),VLOOKUP($B44,'Costdrivere 2021'!$B$4:$L$105,6,FALSE),VLOOKUP($B44,'Costdrivere 2021'!$B$4:$L$105,7,FALSE),VLOOKUP($B44,'Costdrivere 2021'!$B$4:$L$105,8,FALSE),VLOOKUP($B44,'Costdrivere 2021'!$B$4:$L$105,9,FALSE),VLOOKUP($B44,'Costdrivere 2021'!$B$4:$L$105,10,FALSE),VLOOKUP($B44,'Costdrivere 2021'!$B$4:$L$105,11,FALSE))</f>
        <v>13573787.817174099</v>
      </c>
      <c r="F44" s="52">
        <f>VLOOKUP(B44,'Costdrivere 2021'!B:AP,39,0)+VLOOKUP(B44,'Costdrivere 2021'!B:AP,40,0)+VLOOKUP(B44,'Costdrivere 2021'!B:AP,41,0)</f>
        <v>57784915.068710685</v>
      </c>
      <c r="G44" s="53">
        <v>15386186.410700001</v>
      </c>
      <c r="H44" s="5">
        <v>25564026.67560168</v>
      </c>
      <c r="I44" s="54">
        <v>11373408.800000001</v>
      </c>
      <c r="J44" s="54">
        <f>VLOOKUP(B44,'Gennemførte investeringer'!B:P,15,0)</f>
        <v>22307348.099468365</v>
      </c>
      <c r="K44" s="55">
        <f t="shared" si="0"/>
        <v>59244783.575070046</v>
      </c>
      <c r="L44" s="53">
        <f t="shared" si="1"/>
        <v>74630969.985770047</v>
      </c>
      <c r="M44" s="56">
        <v>0</v>
      </c>
      <c r="N44" s="52">
        <v>0</v>
      </c>
      <c r="O44" s="57">
        <v>8438748.9548776504</v>
      </c>
      <c r="P44" s="53">
        <f t="shared" si="2"/>
        <v>15386186.410700001</v>
      </c>
      <c r="Q44" s="53">
        <f t="shared" si="3"/>
        <v>50806034.620192394</v>
      </c>
      <c r="R44" s="53">
        <f t="shared" si="4"/>
        <v>66192221.030892394</v>
      </c>
      <c r="S44" s="58">
        <v>0</v>
      </c>
    </row>
    <row r="45" spans="1:19" x14ac:dyDescent="0.25">
      <c r="A45" s="49" t="s">
        <v>103</v>
      </c>
      <c r="B45" s="49" t="s">
        <v>104</v>
      </c>
      <c r="C45" s="50">
        <v>26.365061282294988</v>
      </c>
      <c r="D45" s="51">
        <f>VLOOKUP(B45,'Costdrivere 2021'!B:M,12,0)</f>
        <v>0.33210117647058823</v>
      </c>
      <c r="E45" s="52">
        <f>SUM(VLOOKUP($B45,'Costdrivere 2021'!$B$4:$L$105,2,FALSE),VLOOKUP($B45,'Costdrivere 2021'!$B$4:$L$105,3,FALSE),VLOOKUP($B45,'Costdrivere 2021'!$B$4:$L$105,4,FALSE),VLOOKUP($B45,'Costdrivere 2021'!$B$4:$L$105,5,FALSE),VLOOKUP($B45,'Costdrivere 2021'!$B$4:$L$105,6,FALSE),VLOOKUP($B45,'Costdrivere 2021'!$B$4:$L$105,7,FALSE),VLOOKUP($B45,'Costdrivere 2021'!$B$4:$L$105,8,FALSE),VLOOKUP($B45,'Costdrivere 2021'!$B$4:$L$105,9,FALSE),VLOOKUP($B45,'Costdrivere 2021'!$B$4:$L$105,10,FALSE),VLOOKUP($B45,'Costdrivere 2021'!$B$4:$L$105,11,FALSE))</f>
        <v>90438138.566145003</v>
      </c>
      <c r="F45" s="52">
        <f>VLOOKUP(B45,'Costdrivere 2021'!B:AP,39,0)+VLOOKUP(B45,'Costdrivere 2021'!B:AP,40,0)+VLOOKUP(B45,'Costdrivere 2021'!B:AP,41,0)</f>
        <v>271639724.23417801</v>
      </c>
      <c r="G45" s="53">
        <v>110682471.78930001</v>
      </c>
      <c r="H45" s="5">
        <v>114845405.43831748</v>
      </c>
      <c r="I45" s="54">
        <v>17163941.7071</v>
      </c>
      <c r="J45" s="54">
        <f>VLOOKUP(B45,'Gennemførte investeringer'!B:P,15,0)</f>
        <v>51147050.704556555</v>
      </c>
      <c r="K45" s="55">
        <f t="shared" si="0"/>
        <v>183156397.84997404</v>
      </c>
      <c r="L45" s="53">
        <f t="shared" si="1"/>
        <v>293838869.63927406</v>
      </c>
      <c r="M45" s="56">
        <v>706776.2903659842</v>
      </c>
      <c r="N45" s="52">
        <v>0</v>
      </c>
      <c r="O45" s="57">
        <v>6477346.4503082344</v>
      </c>
      <c r="P45" s="53">
        <f t="shared" si="2"/>
        <v>110682471.78930001</v>
      </c>
      <c r="Q45" s="53">
        <f t="shared" si="3"/>
        <v>175972275.10929981</v>
      </c>
      <c r="R45" s="53">
        <f t="shared" si="4"/>
        <v>286654746.8985998</v>
      </c>
      <c r="S45" s="58">
        <v>0</v>
      </c>
    </row>
    <row r="46" spans="1:19" x14ac:dyDescent="0.25">
      <c r="A46" s="49" t="s">
        <v>105</v>
      </c>
      <c r="B46" s="49" t="s">
        <v>106</v>
      </c>
      <c r="C46" s="50">
        <v>45.136030630289781</v>
      </c>
      <c r="D46" s="51">
        <f>VLOOKUP(B46,'Costdrivere 2021'!B:M,12,0)</f>
        <v>0.14299220646480129</v>
      </c>
      <c r="E46" s="52">
        <f>SUM(VLOOKUP($B46,'Costdrivere 2021'!$B$4:$L$105,2,FALSE),VLOOKUP($B46,'Costdrivere 2021'!$B$4:$L$105,3,FALSE),VLOOKUP($B46,'Costdrivere 2021'!$B$4:$L$105,4,FALSE),VLOOKUP($B46,'Costdrivere 2021'!$B$4:$L$105,5,FALSE),VLOOKUP($B46,'Costdrivere 2021'!$B$4:$L$105,6,FALSE),VLOOKUP($B46,'Costdrivere 2021'!$B$4:$L$105,7,FALSE),VLOOKUP($B46,'Costdrivere 2021'!$B$4:$L$105,8,FALSE),VLOOKUP($B46,'Costdrivere 2021'!$B$4:$L$105,9,FALSE),VLOOKUP($B46,'Costdrivere 2021'!$B$4:$L$105,10,FALSE),VLOOKUP($B46,'Costdrivere 2021'!$B$4:$L$105,11,FALSE))</f>
        <v>6053715.3331310656</v>
      </c>
      <c r="F46" s="52">
        <f>VLOOKUP(B46,'Costdrivere 2021'!B:AP,39,0)+VLOOKUP(B46,'Costdrivere 2021'!B:AP,40,0)+VLOOKUP(B46,'Costdrivere 2021'!B:AP,41,0)</f>
        <v>31474407.515064657</v>
      </c>
      <c r="G46" s="53">
        <v>9770677.182</v>
      </c>
      <c r="H46" s="5">
        <v>9772789.7746524941</v>
      </c>
      <c r="I46" s="54">
        <v>1211986.4000000001</v>
      </c>
      <c r="J46" s="54">
        <f>VLOOKUP(B46,'Gennemførte investeringer'!B:P,15,0)</f>
        <v>6844121.0012921179</v>
      </c>
      <c r="K46" s="55">
        <f t="shared" si="0"/>
        <v>17828897.175944611</v>
      </c>
      <c r="L46" s="53">
        <f t="shared" si="1"/>
        <v>27599574.357944611</v>
      </c>
      <c r="M46" s="56">
        <v>0</v>
      </c>
      <c r="N46" s="52">
        <v>0</v>
      </c>
      <c r="O46" s="57">
        <v>0</v>
      </c>
      <c r="P46" s="53">
        <f t="shared" si="2"/>
        <v>9770677.182</v>
      </c>
      <c r="Q46" s="53">
        <f t="shared" si="3"/>
        <v>17828897.175944611</v>
      </c>
      <c r="R46" s="53">
        <f t="shared" si="4"/>
        <v>27599574.357944611</v>
      </c>
      <c r="S46" s="58">
        <v>0</v>
      </c>
    </row>
    <row r="47" spans="1:19" x14ac:dyDescent="0.25">
      <c r="A47" s="49" t="s">
        <v>107</v>
      </c>
      <c r="B47" s="49" t="s">
        <v>108</v>
      </c>
      <c r="C47" s="50">
        <v>34.643212484520333</v>
      </c>
      <c r="D47" s="51">
        <f>VLOOKUP(B47,'Costdrivere 2021'!B:M,12,0)</f>
        <v>3.5184117835414662E-2</v>
      </c>
      <c r="E47" s="52">
        <f>SUM(VLOOKUP($B47,'Costdrivere 2021'!$B$4:$L$105,2,FALSE),VLOOKUP($B47,'Costdrivere 2021'!$B$4:$L$105,3,FALSE),VLOOKUP($B47,'Costdrivere 2021'!$B$4:$L$105,4,FALSE),VLOOKUP($B47,'Costdrivere 2021'!$B$4:$L$105,5,FALSE),VLOOKUP($B47,'Costdrivere 2021'!$B$4:$L$105,6,FALSE),VLOOKUP($B47,'Costdrivere 2021'!$B$4:$L$105,7,FALSE),VLOOKUP($B47,'Costdrivere 2021'!$B$4:$L$105,8,FALSE),VLOOKUP($B47,'Costdrivere 2021'!$B$4:$L$105,9,FALSE),VLOOKUP($B47,'Costdrivere 2021'!$B$4:$L$105,10,FALSE),VLOOKUP($B47,'Costdrivere 2021'!$B$4:$L$105,11,FALSE))</f>
        <v>36171990.452988088</v>
      </c>
      <c r="F47" s="52">
        <f>VLOOKUP(B47,'Costdrivere 2021'!B:AP,39,0)+VLOOKUP(B47,'Costdrivere 2021'!B:AP,40,0)+VLOOKUP(B47,'Costdrivere 2021'!B:AP,41,0)</f>
        <v>118842630.39214917</v>
      </c>
      <c r="G47" s="53">
        <v>50543724.680700004</v>
      </c>
      <c r="H47" s="5">
        <v>62784853.970139727</v>
      </c>
      <c r="I47" s="54">
        <v>9199772.3929000013</v>
      </c>
      <c r="J47" s="54">
        <f>VLOOKUP(B47,'Gennemførte investeringer'!B:P,15,0)</f>
        <v>18898213.717478268</v>
      </c>
      <c r="K47" s="55">
        <f t="shared" si="0"/>
        <v>90882840.080518007</v>
      </c>
      <c r="L47" s="53">
        <f t="shared" si="1"/>
        <v>141426564.76121801</v>
      </c>
      <c r="M47" s="56">
        <v>0</v>
      </c>
      <c r="N47" s="52">
        <v>0</v>
      </c>
      <c r="O47" s="57">
        <v>0</v>
      </c>
      <c r="P47" s="53">
        <f t="shared" si="2"/>
        <v>50543724.680700004</v>
      </c>
      <c r="Q47" s="53">
        <f t="shared" si="3"/>
        <v>90882840.080518007</v>
      </c>
      <c r="R47" s="53">
        <f t="shared" si="4"/>
        <v>141426564.76121801</v>
      </c>
      <c r="S47" s="58">
        <v>0</v>
      </c>
    </row>
    <row r="48" spans="1:19" x14ac:dyDescent="0.25">
      <c r="A48" s="49" t="s">
        <v>109</v>
      </c>
      <c r="B48" s="49" t="s">
        <v>110</v>
      </c>
      <c r="C48" s="50">
        <v>33.424700885214158</v>
      </c>
      <c r="D48" s="51">
        <f>VLOOKUP(B48,'Costdrivere 2021'!B:M,12,0)</f>
        <v>4.0469869129837209E-2</v>
      </c>
      <c r="E48" s="52">
        <f>SUM(VLOOKUP($B48,'Costdrivere 2021'!$B$4:$L$105,2,FALSE),VLOOKUP($B48,'Costdrivere 2021'!$B$4:$L$105,3,FALSE),VLOOKUP($B48,'Costdrivere 2021'!$B$4:$L$105,4,FALSE),VLOOKUP($B48,'Costdrivere 2021'!$B$4:$L$105,5,FALSE),VLOOKUP($B48,'Costdrivere 2021'!$B$4:$L$105,6,FALSE),VLOOKUP($B48,'Costdrivere 2021'!$B$4:$L$105,7,FALSE),VLOOKUP($B48,'Costdrivere 2021'!$B$4:$L$105,8,FALSE),VLOOKUP($B48,'Costdrivere 2021'!$B$4:$L$105,9,FALSE),VLOOKUP($B48,'Costdrivere 2021'!$B$4:$L$105,10,FALSE),VLOOKUP($B48,'Costdrivere 2021'!$B$4:$L$105,11,FALSE))</f>
        <v>58381077.451241575</v>
      </c>
      <c r="F48" s="52">
        <f>VLOOKUP(B48,'Costdrivere 2021'!B:AP,39,0)+VLOOKUP(B48,'Costdrivere 2021'!B:AP,40,0)+VLOOKUP(B48,'Costdrivere 2021'!B:AP,41,0)</f>
        <v>143206828.35966218</v>
      </c>
      <c r="G48" s="53">
        <v>45121365.751500003</v>
      </c>
      <c r="H48" s="5">
        <v>81030477.535344526</v>
      </c>
      <c r="I48" s="54">
        <v>781737.24780000001</v>
      </c>
      <c r="J48" s="54">
        <f>VLOOKUP(B48,'Gennemførte investeringer'!B:P,15,0)</f>
        <v>25197561.617000215</v>
      </c>
      <c r="K48" s="55">
        <f t="shared" si="0"/>
        <v>107009776.40014476</v>
      </c>
      <c r="L48" s="53">
        <f t="shared" si="1"/>
        <v>152131142.15164477</v>
      </c>
      <c r="M48" s="56">
        <v>0</v>
      </c>
      <c r="N48" s="52">
        <v>0</v>
      </c>
      <c r="O48" s="57">
        <v>0</v>
      </c>
      <c r="P48" s="53">
        <f t="shared" si="2"/>
        <v>45121365.751500003</v>
      </c>
      <c r="Q48" s="53">
        <f t="shared" si="3"/>
        <v>107009776.40014476</v>
      </c>
      <c r="R48" s="53">
        <f t="shared" si="4"/>
        <v>152131142.15164477</v>
      </c>
      <c r="S48" s="58">
        <v>0</v>
      </c>
    </row>
    <row r="49" spans="1:19" x14ac:dyDescent="0.25">
      <c r="A49" s="49" t="s">
        <v>111</v>
      </c>
      <c r="B49" s="49" t="s">
        <v>112</v>
      </c>
      <c r="C49" s="50">
        <v>40.42799855016019</v>
      </c>
      <c r="D49" s="51">
        <f>VLOOKUP(B49,'Costdrivere 2021'!B:M,12,0)</f>
        <v>6.3804763304910306E-2</v>
      </c>
      <c r="E49" s="52">
        <f>SUM(VLOOKUP($B49,'Costdrivere 2021'!$B$4:$L$105,2,FALSE),VLOOKUP($B49,'Costdrivere 2021'!$B$4:$L$105,3,FALSE),VLOOKUP($B49,'Costdrivere 2021'!$B$4:$L$105,4,FALSE),VLOOKUP($B49,'Costdrivere 2021'!$B$4:$L$105,5,FALSE),VLOOKUP($B49,'Costdrivere 2021'!$B$4:$L$105,6,FALSE),VLOOKUP($B49,'Costdrivere 2021'!$B$4:$L$105,7,FALSE),VLOOKUP($B49,'Costdrivere 2021'!$B$4:$L$105,8,FALSE),VLOOKUP($B49,'Costdrivere 2021'!$B$4:$L$105,9,FALSE),VLOOKUP($B49,'Costdrivere 2021'!$B$4:$L$105,10,FALSE),VLOOKUP($B49,'Costdrivere 2021'!$B$4:$L$105,11,FALSE))</f>
        <v>16164498.392625418</v>
      </c>
      <c r="F49" s="52">
        <f>VLOOKUP(B49,'Costdrivere 2021'!B:AP,39,0)+VLOOKUP(B49,'Costdrivere 2021'!B:AP,40,0)+VLOOKUP(B49,'Costdrivere 2021'!B:AP,41,0)</f>
        <v>67591896.750597209</v>
      </c>
      <c r="G49" s="53">
        <v>11598607.932786003</v>
      </c>
      <c r="H49" s="5">
        <v>37247724.798259534</v>
      </c>
      <c r="I49" s="54">
        <v>262308.78183300002</v>
      </c>
      <c r="J49" s="54">
        <f>VLOOKUP(B49,'Gennemførte investeringer'!B:P,15,0)</f>
        <v>7556605.3827623529</v>
      </c>
      <c r="K49" s="55">
        <f t="shared" si="0"/>
        <v>45066638.962854885</v>
      </c>
      <c r="L49" s="53">
        <f t="shared" si="1"/>
        <v>56665246.895640887</v>
      </c>
      <c r="M49" s="56">
        <v>0</v>
      </c>
      <c r="N49" s="52">
        <v>0</v>
      </c>
      <c r="O49" s="57">
        <v>0</v>
      </c>
      <c r="P49" s="53">
        <f t="shared" si="2"/>
        <v>11598607.932786003</v>
      </c>
      <c r="Q49" s="53">
        <f t="shared" si="3"/>
        <v>45066638.962854885</v>
      </c>
      <c r="R49" s="53">
        <f t="shared" si="4"/>
        <v>56665246.895640887</v>
      </c>
      <c r="S49" s="58">
        <v>0</v>
      </c>
    </row>
    <row r="50" spans="1:19" x14ac:dyDescent="0.25">
      <c r="A50" s="49" t="s">
        <v>113</v>
      </c>
      <c r="B50" s="49" t="s">
        <v>114</v>
      </c>
      <c r="C50" s="50">
        <v>38.39451200768135</v>
      </c>
      <c r="D50" s="51">
        <f>VLOOKUP(B50,'Costdrivere 2021'!B:M,12,0)</f>
        <v>7.6680988184747584E-2</v>
      </c>
      <c r="E50" s="52">
        <f>SUM(VLOOKUP($B50,'Costdrivere 2021'!$B$4:$L$105,2,FALSE),VLOOKUP($B50,'Costdrivere 2021'!$B$4:$L$105,3,FALSE),VLOOKUP($B50,'Costdrivere 2021'!$B$4:$L$105,4,FALSE),VLOOKUP($B50,'Costdrivere 2021'!$B$4:$L$105,5,FALSE),VLOOKUP($B50,'Costdrivere 2021'!$B$4:$L$105,6,FALSE),VLOOKUP($B50,'Costdrivere 2021'!$B$4:$L$105,7,FALSE),VLOOKUP($B50,'Costdrivere 2021'!$B$4:$L$105,8,FALSE),VLOOKUP($B50,'Costdrivere 2021'!$B$4:$L$105,9,FALSE),VLOOKUP($B50,'Costdrivere 2021'!$B$4:$L$105,10,FALSE),VLOOKUP($B50,'Costdrivere 2021'!$B$4:$L$105,11,FALSE))</f>
        <v>15784078.069557667</v>
      </c>
      <c r="F50" s="52">
        <f>VLOOKUP(B50,'Costdrivere 2021'!B:AP,39,0)+VLOOKUP(B50,'Costdrivere 2021'!B:AP,40,0)+VLOOKUP(B50,'Costdrivere 2021'!B:AP,41,0)</f>
        <v>37395249.471738085</v>
      </c>
      <c r="G50" s="53">
        <v>14892398.2695</v>
      </c>
      <c r="H50" s="5">
        <v>18404297.978125047</v>
      </c>
      <c r="I50" s="54">
        <v>1144765.3</v>
      </c>
      <c r="J50" s="54">
        <f>VLOOKUP(B50,'Gennemførte investeringer'!B:P,15,0)</f>
        <v>9496716.0124531612</v>
      </c>
      <c r="K50" s="55">
        <f t="shared" si="0"/>
        <v>29045779.290578209</v>
      </c>
      <c r="L50" s="53">
        <f t="shared" si="1"/>
        <v>43938177.560078211</v>
      </c>
      <c r="M50" s="56">
        <v>0</v>
      </c>
      <c r="N50" s="52">
        <v>0</v>
      </c>
      <c r="O50" s="57">
        <v>0</v>
      </c>
      <c r="P50" s="53">
        <f t="shared" si="2"/>
        <v>14892398.2695</v>
      </c>
      <c r="Q50" s="53">
        <f t="shared" si="3"/>
        <v>29045779.290578209</v>
      </c>
      <c r="R50" s="53">
        <f t="shared" si="4"/>
        <v>43938177.560078211</v>
      </c>
      <c r="S50" s="58">
        <v>0</v>
      </c>
    </row>
    <row r="51" spans="1:19" x14ac:dyDescent="0.25">
      <c r="A51" s="49" t="s">
        <v>115</v>
      </c>
      <c r="B51" s="49" t="s">
        <v>116</v>
      </c>
      <c r="C51" s="50">
        <v>34.642200392692246</v>
      </c>
      <c r="D51" s="51">
        <f>VLOOKUP(B51,'Costdrivere 2021'!B:M,12,0)</f>
        <v>3.2450531640158882E-2</v>
      </c>
      <c r="E51" s="52">
        <f>SUM(VLOOKUP($B51,'Costdrivere 2021'!$B$4:$L$105,2,FALSE),VLOOKUP($B51,'Costdrivere 2021'!$B$4:$L$105,3,FALSE),VLOOKUP($B51,'Costdrivere 2021'!$B$4:$L$105,4,FALSE),VLOOKUP($B51,'Costdrivere 2021'!$B$4:$L$105,5,FALSE),VLOOKUP($B51,'Costdrivere 2021'!$B$4:$L$105,6,FALSE),VLOOKUP($B51,'Costdrivere 2021'!$B$4:$L$105,7,FALSE),VLOOKUP($B51,'Costdrivere 2021'!$B$4:$L$105,8,FALSE),VLOOKUP($B51,'Costdrivere 2021'!$B$4:$L$105,9,FALSE),VLOOKUP($B51,'Costdrivere 2021'!$B$4:$L$105,10,FALSE),VLOOKUP($B51,'Costdrivere 2021'!$B$4:$L$105,11,FALSE))</f>
        <v>22630555.747717433</v>
      </c>
      <c r="F51" s="52">
        <f>VLOOKUP(B51,'Costdrivere 2021'!B:AP,39,0)+VLOOKUP(B51,'Costdrivere 2021'!B:AP,40,0)+VLOOKUP(B51,'Costdrivere 2021'!B:AP,41,0)</f>
        <v>82937492.733457983</v>
      </c>
      <c r="G51" s="53">
        <v>22455083.0425</v>
      </c>
      <c r="H51" s="5">
        <v>39013847.004348256</v>
      </c>
      <c r="I51" s="54">
        <v>839141.0573000001</v>
      </c>
      <c r="J51" s="54">
        <f>VLOOKUP(B51,'Gennemførte investeringer'!B:P,15,0)</f>
        <v>11261972.050424987</v>
      </c>
      <c r="K51" s="55">
        <f t="shared" si="0"/>
        <v>51114960.112073243</v>
      </c>
      <c r="L51" s="53">
        <f t="shared" si="1"/>
        <v>73570043.154573247</v>
      </c>
      <c r="M51" s="56">
        <v>0</v>
      </c>
      <c r="N51" s="52">
        <v>0</v>
      </c>
      <c r="O51" s="57">
        <v>0</v>
      </c>
      <c r="P51" s="53">
        <f t="shared" si="2"/>
        <v>22455083.0425</v>
      </c>
      <c r="Q51" s="53">
        <f t="shared" si="3"/>
        <v>51114960.112073243</v>
      </c>
      <c r="R51" s="53">
        <f t="shared" si="4"/>
        <v>73570043.154573247</v>
      </c>
      <c r="S51" s="58">
        <v>0</v>
      </c>
    </row>
    <row r="52" spans="1:19" x14ac:dyDescent="0.25">
      <c r="A52" s="49" t="s">
        <v>117</v>
      </c>
      <c r="B52" s="49" t="s">
        <v>118</v>
      </c>
      <c r="C52" s="50">
        <v>38.125279177678209</v>
      </c>
      <c r="D52" s="51">
        <f>VLOOKUP(B52,'Costdrivere 2021'!B:M,12,0)</f>
        <v>3.9285352768498837E-2</v>
      </c>
      <c r="E52" s="52">
        <f>SUM(VLOOKUP($B52,'Costdrivere 2021'!$B$4:$L$105,2,FALSE),VLOOKUP($B52,'Costdrivere 2021'!$B$4:$L$105,3,FALSE),VLOOKUP($B52,'Costdrivere 2021'!$B$4:$L$105,4,FALSE),VLOOKUP($B52,'Costdrivere 2021'!$B$4:$L$105,5,FALSE),VLOOKUP($B52,'Costdrivere 2021'!$B$4:$L$105,6,FALSE),VLOOKUP($B52,'Costdrivere 2021'!$B$4:$L$105,7,FALSE),VLOOKUP($B52,'Costdrivere 2021'!$B$4:$L$105,8,FALSE),VLOOKUP($B52,'Costdrivere 2021'!$B$4:$L$105,9,FALSE),VLOOKUP($B52,'Costdrivere 2021'!$B$4:$L$105,10,FALSE),VLOOKUP($B52,'Costdrivere 2021'!$B$4:$L$105,11,FALSE))</f>
        <v>4818723.9866482019</v>
      </c>
      <c r="F52" s="52">
        <f>VLOOKUP(B52,'Costdrivere 2021'!B:AP,39,0)+VLOOKUP(B52,'Costdrivere 2021'!B:AP,40,0)+VLOOKUP(B52,'Costdrivere 2021'!B:AP,41,0)</f>
        <v>17683178.614666667</v>
      </c>
      <c r="G52" s="53">
        <v>5039615.0287000006</v>
      </c>
      <c r="H52" s="5">
        <v>14495630.555265553</v>
      </c>
      <c r="I52" s="54">
        <v>705319.9</v>
      </c>
      <c r="J52" s="54">
        <f>VLOOKUP(B52,'Gennemførte investeringer'!B:P,15,0)</f>
        <v>3887781.7023938256</v>
      </c>
      <c r="K52" s="55">
        <f t="shared" si="0"/>
        <v>19088732.157659378</v>
      </c>
      <c r="L52" s="53">
        <f t="shared" si="1"/>
        <v>24128347.186359379</v>
      </c>
      <c r="M52" s="56">
        <v>0</v>
      </c>
      <c r="N52" s="52">
        <v>0</v>
      </c>
      <c r="O52" s="57">
        <v>0</v>
      </c>
      <c r="P52" s="53">
        <f t="shared" si="2"/>
        <v>5039615.0287000006</v>
      </c>
      <c r="Q52" s="53">
        <f t="shared" si="3"/>
        <v>19088732.157659378</v>
      </c>
      <c r="R52" s="53">
        <f t="shared" si="4"/>
        <v>24128347.186359379</v>
      </c>
      <c r="S52" s="58">
        <v>0</v>
      </c>
    </row>
    <row r="53" spans="1:19" x14ac:dyDescent="0.25">
      <c r="A53" s="49" t="s">
        <v>119</v>
      </c>
      <c r="B53" s="49" t="s">
        <v>120</v>
      </c>
      <c r="C53" s="50">
        <v>35.97478078671201</v>
      </c>
      <c r="D53" s="51">
        <f>VLOOKUP(B53,'Costdrivere 2021'!B:M,12,0)</f>
        <v>2.9163239362895381E-2</v>
      </c>
      <c r="E53" s="52">
        <f>SUM(VLOOKUP($B53,'Costdrivere 2021'!$B$4:$L$105,2,FALSE),VLOOKUP($B53,'Costdrivere 2021'!$B$4:$L$105,3,FALSE),VLOOKUP($B53,'Costdrivere 2021'!$B$4:$L$105,4,FALSE),VLOOKUP($B53,'Costdrivere 2021'!$B$4:$L$105,5,FALSE),VLOOKUP($B53,'Costdrivere 2021'!$B$4:$L$105,6,FALSE),VLOOKUP($B53,'Costdrivere 2021'!$B$4:$L$105,7,FALSE),VLOOKUP($B53,'Costdrivere 2021'!$B$4:$L$105,8,FALSE),VLOOKUP($B53,'Costdrivere 2021'!$B$4:$L$105,9,FALSE),VLOOKUP($B53,'Costdrivere 2021'!$B$4:$L$105,10,FALSE),VLOOKUP($B53,'Costdrivere 2021'!$B$4:$L$105,11,FALSE))</f>
        <v>26667467.214592725</v>
      </c>
      <c r="F53" s="52">
        <f>VLOOKUP(B53,'Costdrivere 2021'!B:AP,39,0)+VLOOKUP(B53,'Costdrivere 2021'!B:AP,40,0)+VLOOKUP(B53,'Costdrivere 2021'!B:AP,41,0)</f>
        <v>87010397.377325565</v>
      </c>
      <c r="G53" s="53">
        <v>23971969.302600004</v>
      </c>
      <c r="H53" s="5">
        <v>48466844.773206063</v>
      </c>
      <c r="I53" s="54">
        <v>457840.90550000005</v>
      </c>
      <c r="J53" s="54">
        <f>VLOOKUP(B53,'Gennemførte investeringer'!B:P,15,0)</f>
        <v>8051249.9402417867</v>
      </c>
      <c r="K53" s="55">
        <f t="shared" si="0"/>
        <v>56975935.618947849</v>
      </c>
      <c r="L53" s="53">
        <f t="shared" si="1"/>
        <v>80947904.92154786</v>
      </c>
      <c r="M53" s="56">
        <v>0</v>
      </c>
      <c r="N53" s="52">
        <v>0</v>
      </c>
      <c r="O53" s="57">
        <v>0</v>
      </c>
      <c r="P53" s="53">
        <f t="shared" si="2"/>
        <v>23971969.302600004</v>
      </c>
      <c r="Q53" s="53">
        <f t="shared" si="3"/>
        <v>56975935.618947849</v>
      </c>
      <c r="R53" s="53">
        <f t="shared" si="4"/>
        <v>80947904.92154786</v>
      </c>
      <c r="S53" s="58">
        <v>0</v>
      </c>
    </row>
    <row r="54" spans="1:19" x14ac:dyDescent="0.25">
      <c r="A54" s="49" t="s">
        <v>121</v>
      </c>
      <c r="B54" s="49" t="s">
        <v>122</v>
      </c>
      <c r="C54" s="50">
        <v>26.586413947639219</v>
      </c>
      <c r="D54" s="51">
        <f>VLOOKUP(B54,'Costdrivere 2021'!B:M,12,0)</f>
        <v>3.875968992248062E-4</v>
      </c>
      <c r="E54" s="52">
        <f>SUM(VLOOKUP($B54,'Costdrivere 2021'!$B$4:$L$105,2,FALSE),VLOOKUP($B54,'Costdrivere 2021'!$B$4:$L$105,3,FALSE),VLOOKUP($B54,'Costdrivere 2021'!$B$4:$L$105,4,FALSE),VLOOKUP($B54,'Costdrivere 2021'!$B$4:$L$105,5,FALSE),VLOOKUP($B54,'Costdrivere 2021'!$B$4:$L$105,6,FALSE),VLOOKUP($B54,'Costdrivere 2021'!$B$4:$L$105,7,FALSE),VLOOKUP($B54,'Costdrivere 2021'!$B$4:$L$105,8,FALSE),VLOOKUP($B54,'Costdrivere 2021'!$B$4:$L$105,9,FALSE),VLOOKUP($B54,'Costdrivere 2021'!$B$4:$L$105,10,FALSE),VLOOKUP($B54,'Costdrivere 2021'!$B$4:$L$105,11,FALSE))</f>
        <v>14121480.532028552</v>
      </c>
      <c r="F54" s="52">
        <f>VLOOKUP(B54,'Costdrivere 2021'!B:AP,39,0)+VLOOKUP(B54,'Costdrivere 2021'!B:AP,40,0)+VLOOKUP(B54,'Costdrivere 2021'!B:AP,41,0)</f>
        <v>18608901.765060872</v>
      </c>
      <c r="G54" s="53">
        <v>31732803.819000002</v>
      </c>
      <c r="H54" s="5">
        <v>5642125.3179765064</v>
      </c>
      <c r="I54" s="54">
        <v>189623.7</v>
      </c>
      <c r="J54" s="54">
        <f>VLOOKUP(B54,'Gennemførte investeringer'!B:P,15,0)</f>
        <v>4940546.7870000675</v>
      </c>
      <c r="K54" s="55">
        <f t="shared" si="0"/>
        <v>10772295.804976575</v>
      </c>
      <c r="L54" s="53">
        <f t="shared" si="1"/>
        <v>42505099.623976573</v>
      </c>
      <c r="M54" s="56">
        <v>0</v>
      </c>
      <c r="N54" s="52">
        <v>3546491.9291000003</v>
      </c>
      <c r="O54" s="57">
        <v>0</v>
      </c>
      <c r="P54" s="53">
        <f t="shared" si="2"/>
        <v>28186311.889900003</v>
      </c>
      <c r="Q54" s="53">
        <f t="shared" si="3"/>
        <v>10772295.804976575</v>
      </c>
      <c r="R54" s="53">
        <f t="shared" si="4"/>
        <v>38958607.694876581</v>
      </c>
      <c r="S54" s="58">
        <v>0</v>
      </c>
    </row>
    <row r="55" spans="1:19" x14ac:dyDescent="0.25">
      <c r="A55" s="49" t="s">
        <v>123</v>
      </c>
      <c r="B55" s="49" t="s">
        <v>124</v>
      </c>
      <c r="C55" s="50">
        <v>35.725463180008944</v>
      </c>
      <c r="D55" s="51">
        <f>VLOOKUP(B55,'Costdrivere 2021'!B:M,12,0)</f>
        <v>2.4637009129111723E-2</v>
      </c>
      <c r="E55" s="52">
        <f>SUM(VLOOKUP($B55,'Costdrivere 2021'!$B$4:$L$105,2,FALSE),VLOOKUP($B55,'Costdrivere 2021'!$B$4:$L$105,3,FALSE),VLOOKUP($B55,'Costdrivere 2021'!$B$4:$L$105,4,FALSE),VLOOKUP($B55,'Costdrivere 2021'!$B$4:$L$105,5,FALSE),VLOOKUP($B55,'Costdrivere 2021'!$B$4:$L$105,6,FALSE),VLOOKUP($B55,'Costdrivere 2021'!$B$4:$L$105,7,FALSE),VLOOKUP($B55,'Costdrivere 2021'!$B$4:$L$105,8,FALSE),VLOOKUP($B55,'Costdrivere 2021'!$B$4:$L$105,9,FALSE),VLOOKUP($B55,'Costdrivere 2021'!$B$4:$L$105,10,FALSE),VLOOKUP($B55,'Costdrivere 2021'!$B$4:$L$105,11,FALSE))</f>
        <v>21215702.765168037</v>
      </c>
      <c r="F55" s="52">
        <f>VLOOKUP(B55,'Costdrivere 2021'!B:AP,39,0)+VLOOKUP(B55,'Costdrivere 2021'!B:AP,40,0)+VLOOKUP(B55,'Costdrivere 2021'!B:AP,41,0)</f>
        <v>91319764.859370157</v>
      </c>
      <c r="G55" s="53">
        <v>19941534.615200002</v>
      </c>
      <c r="H55" s="5">
        <v>41239939.007771105</v>
      </c>
      <c r="I55" s="54">
        <v>633082.30000000005</v>
      </c>
      <c r="J55" s="54">
        <f>VLOOKUP(B55,'Gennemførte investeringer'!B:P,15,0)</f>
        <v>11867384.531728003</v>
      </c>
      <c r="K55" s="55">
        <f t="shared" si="0"/>
        <v>53740405.839499101</v>
      </c>
      <c r="L55" s="53">
        <f t="shared" si="1"/>
        <v>73681940.454699099</v>
      </c>
      <c r="M55" s="56">
        <v>0</v>
      </c>
      <c r="N55" s="52">
        <v>0</v>
      </c>
      <c r="O55" s="57">
        <v>0</v>
      </c>
      <c r="P55" s="53">
        <f t="shared" si="2"/>
        <v>19941534.615200002</v>
      </c>
      <c r="Q55" s="53">
        <f t="shared" si="3"/>
        <v>53740405.839499101</v>
      </c>
      <c r="R55" s="53">
        <f t="shared" si="4"/>
        <v>73681940.454699099</v>
      </c>
      <c r="S55" s="58">
        <v>0</v>
      </c>
    </row>
    <row r="56" spans="1:19" x14ac:dyDescent="0.25">
      <c r="A56" s="49" t="s">
        <v>125</v>
      </c>
      <c r="B56" s="49" t="s">
        <v>126</v>
      </c>
      <c r="C56" s="50">
        <v>36.389505543225056</v>
      </c>
      <c r="D56" s="51">
        <f>VLOOKUP(B56,'Costdrivere 2021'!B:M,12,0)</f>
        <v>3.0837444992665691E-2</v>
      </c>
      <c r="E56" s="52">
        <f>SUM(VLOOKUP($B56,'Costdrivere 2021'!$B$4:$L$105,2,FALSE),VLOOKUP($B56,'Costdrivere 2021'!$B$4:$L$105,3,FALSE),VLOOKUP($B56,'Costdrivere 2021'!$B$4:$L$105,4,FALSE),VLOOKUP($B56,'Costdrivere 2021'!$B$4:$L$105,5,FALSE),VLOOKUP($B56,'Costdrivere 2021'!$B$4:$L$105,6,FALSE),VLOOKUP($B56,'Costdrivere 2021'!$B$4:$L$105,7,FALSE),VLOOKUP($B56,'Costdrivere 2021'!$B$4:$L$105,8,FALSE),VLOOKUP($B56,'Costdrivere 2021'!$B$4:$L$105,9,FALSE),VLOOKUP($B56,'Costdrivere 2021'!$B$4:$L$105,10,FALSE),VLOOKUP($B56,'Costdrivere 2021'!$B$4:$L$105,11,FALSE))</f>
        <v>17065434.188555922</v>
      </c>
      <c r="F56" s="52">
        <f>VLOOKUP(B56,'Costdrivere 2021'!B:AP,39,0)+VLOOKUP(B56,'Costdrivere 2021'!B:AP,40,0)+VLOOKUP(B56,'Costdrivere 2021'!B:AP,41,0)</f>
        <v>43338780.66487477</v>
      </c>
      <c r="G56" s="53">
        <v>13043372.554300001</v>
      </c>
      <c r="H56" s="5">
        <v>25115865.307006981</v>
      </c>
      <c r="I56" s="54">
        <v>158237.46610000002</v>
      </c>
      <c r="J56" s="54">
        <f>VLOOKUP(B56,'Gennemførte investeringer'!B:P,15,0)</f>
        <v>4884469.0620124238</v>
      </c>
      <c r="K56" s="55">
        <f t="shared" si="0"/>
        <v>30158571.835119404</v>
      </c>
      <c r="L56" s="53">
        <f t="shared" si="1"/>
        <v>43201944.389419407</v>
      </c>
      <c r="M56" s="56">
        <v>0</v>
      </c>
      <c r="N56" s="52">
        <v>0</v>
      </c>
      <c r="O56" s="57">
        <v>0</v>
      </c>
      <c r="P56" s="53">
        <f t="shared" si="2"/>
        <v>13043372.554300001</v>
      </c>
      <c r="Q56" s="53">
        <f t="shared" si="3"/>
        <v>30158571.835119404</v>
      </c>
      <c r="R56" s="53">
        <f t="shared" si="4"/>
        <v>43201944.389419407</v>
      </c>
      <c r="S56" s="58">
        <v>0</v>
      </c>
    </row>
    <row r="57" spans="1:19" x14ac:dyDescent="0.25">
      <c r="A57" s="49" t="s">
        <v>127</v>
      </c>
      <c r="B57" s="49" t="s">
        <v>128</v>
      </c>
      <c r="C57" s="50">
        <v>33.517669483631366</v>
      </c>
      <c r="D57" s="51">
        <f>VLOOKUP(B57,'Costdrivere 2021'!B:M,12,0)</f>
        <v>3.3871871149226421E-2</v>
      </c>
      <c r="E57" s="52">
        <f>SUM(VLOOKUP($B57,'Costdrivere 2021'!$B$4:$L$105,2,FALSE),VLOOKUP($B57,'Costdrivere 2021'!$B$4:$L$105,3,FALSE),VLOOKUP($B57,'Costdrivere 2021'!$B$4:$L$105,4,FALSE),VLOOKUP($B57,'Costdrivere 2021'!$B$4:$L$105,5,FALSE),VLOOKUP($B57,'Costdrivere 2021'!$B$4:$L$105,6,FALSE),VLOOKUP($B57,'Costdrivere 2021'!$B$4:$L$105,7,FALSE),VLOOKUP($B57,'Costdrivere 2021'!$B$4:$L$105,8,FALSE),VLOOKUP($B57,'Costdrivere 2021'!$B$4:$L$105,9,FALSE),VLOOKUP($B57,'Costdrivere 2021'!$B$4:$L$105,10,FALSE),VLOOKUP($B57,'Costdrivere 2021'!$B$4:$L$105,11,FALSE))</f>
        <v>53941682.711488359</v>
      </c>
      <c r="F57" s="52">
        <f>VLOOKUP(B57,'Costdrivere 2021'!B:AP,39,0)+VLOOKUP(B57,'Costdrivere 2021'!B:AP,40,0)+VLOOKUP(B57,'Costdrivere 2021'!B:AP,41,0)</f>
        <v>191732731.59588045</v>
      </c>
      <c r="G57" s="53">
        <v>65331768.713900007</v>
      </c>
      <c r="H57" s="5">
        <v>95270130.528055131</v>
      </c>
      <c r="I57" s="54">
        <v>2360922.4181000004</v>
      </c>
      <c r="J57" s="54">
        <f>VLOOKUP(B57,'Gennemførte investeringer'!B:P,15,0)</f>
        <v>29010918.728047285</v>
      </c>
      <c r="K57" s="55">
        <f t="shared" si="0"/>
        <v>126641971.67420241</v>
      </c>
      <c r="L57" s="53">
        <f t="shared" si="1"/>
        <v>191973740.38810241</v>
      </c>
      <c r="M57" s="56">
        <v>0</v>
      </c>
      <c r="N57" s="52">
        <v>0</v>
      </c>
      <c r="O57" s="57">
        <v>0</v>
      </c>
      <c r="P57" s="53">
        <f t="shared" si="2"/>
        <v>65331768.713900007</v>
      </c>
      <c r="Q57" s="53">
        <f t="shared" si="3"/>
        <v>126641971.67420241</v>
      </c>
      <c r="R57" s="53">
        <f t="shared" si="4"/>
        <v>191973740.38810241</v>
      </c>
      <c r="S57" s="58">
        <v>0</v>
      </c>
    </row>
    <row r="58" spans="1:19" x14ac:dyDescent="0.25">
      <c r="A58" s="49" t="s">
        <v>129</v>
      </c>
      <c r="B58" s="49" t="s">
        <v>130</v>
      </c>
      <c r="C58" s="50">
        <v>35.666917623877325</v>
      </c>
      <c r="D58" s="51">
        <f>VLOOKUP(B58,'Costdrivere 2021'!B:M,12,0)</f>
        <v>3.9256896551724138E-2</v>
      </c>
      <c r="E58" s="52">
        <f>SUM(VLOOKUP($B58,'Costdrivere 2021'!$B$4:$L$105,2,FALSE),VLOOKUP($B58,'Costdrivere 2021'!$B$4:$L$105,3,FALSE),VLOOKUP($B58,'Costdrivere 2021'!$B$4:$L$105,4,FALSE),VLOOKUP($B58,'Costdrivere 2021'!$B$4:$L$105,5,FALSE),VLOOKUP($B58,'Costdrivere 2021'!$B$4:$L$105,6,FALSE),VLOOKUP($B58,'Costdrivere 2021'!$B$4:$L$105,7,FALSE),VLOOKUP($B58,'Costdrivere 2021'!$B$4:$L$105,8,FALSE),VLOOKUP($B58,'Costdrivere 2021'!$B$4:$L$105,9,FALSE),VLOOKUP($B58,'Costdrivere 2021'!$B$4:$L$105,10,FALSE),VLOOKUP($B58,'Costdrivere 2021'!$B$4:$L$105,11,FALSE))</f>
        <v>36334947.307544887</v>
      </c>
      <c r="F58" s="52">
        <f>VLOOKUP(B58,'Costdrivere 2021'!B:AP,39,0)+VLOOKUP(B58,'Costdrivere 2021'!B:AP,40,0)+VLOOKUP(B58,'Costdrivere 2021'!B:AP,41,0)</f>
        <v>93832020.746747479</v>
      </c>
      <c r="G58" s="53">
        <v>26368455.695800003</v>
      </c>
      <c r="H58" s="5">
        <v>55829971.381522931</v>
      </c>
      <c r="I58" s="54">
        <v>5417765.8218</v>
      </c>
      <c r="J58" s="54">
        <f>VLOOKUP(B58,'Gennemførte investeringer'!B:P,15,0)</f>
        <v>24405518.842972267</v>
      </c>
      <c r="K58" s="55">
        <f t="shared" si="0"/>
        <v>85653256.046295196</v>
      </c>
      <c r="L58" s="53">
        <f t="shared" si="1"/>
        <v>112021711.7420952</v>
      </c>
      <c r="M58" s="56">
        <v>0</v>
      </c>
      <c r="N58" s="52">
        <v>0</v>
      </c>
      <c r="O58" s="57">
        <v>0</v>
      </c>
      <c r="P58" s="53">
        <f t="shared" si="2"/>
        <v>26368455.695800003</v>
      </c>
      <c r="Q58" s="53">
        <f t="shared" si="3"/>
        <v>85653256.046295196</v>
      </c>
      <c r="R58" s="53">
        <f t="shared" si="4"/>
        <v>112021711.7420952</v>
      </c>
      <c r="S58" s="58">
        <v>0</v>
      </c>
    </row>
    <row r="59" spans="1:19" x14ac:dyDescent="0.25">
      <c r="A59" s="49" t="s">
        <v>131</v>
      </c>
      <c r="B59" s="49" t="s">
        <v>132</v>
      </c>
      <c r="C59" s="50">
        <v>35.618015929610586</v>
      </c>
      <c r="D59" s="51">
        <f>VLOOKUP(B59,'Costdrivere 2021'!B:M,12,0)</f>
        <v>2.510416666666667E-2</v>
      </c>
      <c r="E59" s="52">
        <f>SUM(VLOOKUP($B59,'Costdrivere 2021'!$B$4:$L$105,2,FALSE),VLOOKUP($B59,'Costdrivere 2021'!$B$4:$L$105,3,FALSE),VLOOKUP($B59,'Costdrivere 2021'!$B$4:$L$105,4,FALSE),VLOOKUP($B59,'Costdrivere 2021'!$B$4:$L$105,5,FALSE),VLOOKUP($B59,'Costdrivere 2021'!$B$4:$L$105,6,FALSE),VLOOKUP($B59,'Costdrivere 2021'!$B$4:$L$105,7,FALSE),VLOOKUP($B59,'Costdrivere 2021'!$B$4:$L$105,8,FALSE),VLOOKUP($B59,'Costdrivere 2021'!$B$4:$L$105,9,FALSE),VLOOKUP($B59,'Costdrivere 2021'!$B$4:$L$105,10,FALSE),VLOOKUP($B59,'Costdrivere 2021'!$B$4:$L$105,11,FALSE))</f>
        <v>16942121.789670117</v>
      </c>
      <c r="F59" s="52">
        <f>VLOOKUP(B59,'Costdrivere 2021'!B:AP,39,0)+VLOOKUP(B59,'Costdrivere 2021'!B:AP,40,0)+VLOOKUP(B59,'Costdrivere 2021'!B:AP,41,0)</f>
        <v>50179657.149341106</v>
      </c>
      <c r="G59" s="53">
        <v>31002783.676300004</v>
      </c>
      <c r="H59" s="5">
        <v>33214353.480850827</v>
      </c>
      <c r="I59" s="54">
        <v>190631.01320000002</v>
      </c>
      <c r="J59" s="54">
        <f>VLOOKUP(B59,'Gennemførte investeringer'!B:P,15,0)</f>
        <v>5760107.5899051325</v>
      </c>
      <c r="K59" s="55">
        <f t="shared" si="0"/>
        <v>39165092.083955958</v>
      </c>
      <c r="L59" s="53">
        <f t="shared" si="1"/>
        <v>70167875.760255963</v>
      </c>
      <c r="M59" s="56">
        <v>0</v>
      </c>
      <c r="N59" s="52">
        <v>0</v>
      </c>
      <c r="O59" s="57">
        <v>0</v>
      </c>
      <c r="P59" s="53">
        <f t="shared" si="2"/>
        <v>31002783.676300004</v>
      </c>
      <c r="Q59" s="53">
        <f t="shared" si="3"/>
        <v>39165092.083955958</v>
      </c>
      <c r="R59" s="53">
        <f t="shared" si="4"/>
        <v>70167875.760255963</v>
      </c>
      <c r="S59" s="58">
        <v>0</v>
      </c>
    </row>
    <row r="60" spans="1:19" x14ac:dyDescent="0.25">
      <c r="A60" s="49" t="s">
        <v>133</v>
      </c>
      <c r="B60" s="49" t="s">
        <v>134</v>
      </c>
      <c r="C60" s="50">
        <v>31.596688788731729</v>
      </c>
      <c r="D60" s="51">
        <f>VLOOKUP(B60,'Costdrivere 2021'!B:M,12,0)</f>
        <v>2.7887420628110518E-2</v>
      </c>
      <c r="E60" s="52">
        <f>SUM(VLOOKUP($B60,'Costdrivere 2021'!$B$4:$L$105,2,FALSE),VLOOKUP($B60,'Costdrivere 2021'!$B$4:$L$105,3,FALSE),VLOOKUP($B60,'Costdrivere 2021'!$B$4:$L$105,4,FALSE),VLOOKUP($B60,'Costdrivere 2021'!$B$4:$L$105,5,FALSE),VLOOKUP($B60,'Costdrivere 2021'!$B$4:$L$105,6,FALSE),VLOOKUP($B60,'Costdrivere 2021'!$B$4:$L$105,7,FALSE),VLOOKUP($B60,'Costdrivere 2021'!$B$4:$L$105,8,FALSE),VLOOKUP($B60,'Costdrivere 2021'!$B$4:$L$105,9,FALSE),VLOOKUP($B60,'Costdrivere 2021'!$B$4:$L$105,10,FALSE),VLOOKUP($B60,'Costdrivere 2021'!$B$4:$L$105,11,FALSE))</f>
        <v>24232129.114888914</v>
      </c>
      <c r="F60" s="52">
        <f>VLOOKUP(B60,'Costdrivere 2021'!B:AP,39,0)+VLOOKUP(B60,'Costdrivere 2021'!B:AP,40,0)+VLOOKUP(B60,'Costdrivere 2021'!B:AP,41,0)</f>
        <v>51502260.335447885</v>
      </c>
      <c r="G60" s="53">
        <v>15321136.983649001</v>
      </c>
      <c r="H60" s="5">
        <v>31202339.330369391</v>
      </c>
      <c r="I60" s="54">
        <v>2834460.9554000003</v>
      </c>
      <c r="J60" s="54">
        <f>VLOOKUP(B60,'Gennemførte investeringer'!B:P,15,0)</f>
        <v>7872510.6733148051</v>
      </c>
      <c r="K60" s="55">
        <f t="shared" si="0"/>
        <v>41909310.95908419</v>
      </c>
      <c r="L60" s="53">
        <f t="shared" si="1"/>
        <v>57230447.942733191</v>
      </c>
      <c r="M60" s="56">
        <v>0</v>
      </c>
      <c r="N60" s="52">
        <v>0</v>
      </c>
      <c r="O60" s="57">
        <v>0</v>
      </c>
      <c r="P60" s="53">
        <f t="shared" si="2"/>
        <v>15321136.983649001</v>
      </c>
      <c r="Q60" s="53">
        <f t="shared" si="3"/>
        <v>41909310.95908419</v>
      </c>
      <c r="R60" s="53">
        <f t="shared" si="4"/>
        <v>57230447.942733191</v>
      </c>
      <c r="S60" s="58">
        <v>0</v>
      </c>
    </row>
    <row r="61" spans="1:19" x14ac:dyDescent="0.25">
      <c r="A61" s="49" t="s">
        <v>135</v>
      </c>
      <c r="B61" s="49" t="s">
        <v>136</v>
      </c>
      <c r="C61" s="50">
        <v>33.346784190072221</v>
      </c>
      <c r="D61" s="51">
        <f>VLOOKUP(B61,'Costdrivere 2021'!B:M,12,0)</f>
        <v>2.0972434004909755E-2</v>
      </c>
      <c r="E61" s="52">
        <f>SUM(VLOOKUP($B61,'Costdrivere 2021'!$B$4:$L$105,2,FALSE),VLOOKUP($B61,'Costdrivere 2021'!$B$4:$L$105,3,FALSE),VLOOKUP($B61,'Costdrivere 2021'!$B$4:$L$105,4,FALSE),VLOOKUP($B61,'Costdrivere 2021'!$B$4:$L$105,5,FALSE),VLOOKUP($B61,'Costdrivere 2021'!$B$4:$L$105,6,FALSE),VLOOKUP($B61,'Costdrivere 2021'!$B$4:$L$105,7,FALSE),VLOOKUP($B61,'Costdrivere 2021'!$B$4:$L$105,8,FALSE),VLOOKUP($B61,'Costdrivere 2021'!$B$4:$L$105,9,FALSE),VLOOKUP($B61,'Costdrivere 2021'!$B$4:$L$105,10,FALSE),VLOOKUP($B61,'Costdrivere 2021'!$B$4:$L$105,11,FALSE))</f>
        <v>39642781.968288571</v>
      </c>
      <c r="F61" s="52">
        <f>VLOOKUP(B61,'Costdrivere 2021'!B:AP,39,0)+VLOOKUP(B61,'Costdrivere 2021'!B:AP,40,0)+VLOOKUP(B61,'Costdrivere 2021'!B:AP,41,0)</f>
        <v>102739154.88401303</v>
      </c>
      <c r="G61" s="53">
        <v>35257407.7553</v>
      </c>
      <c r="H61" s="5">
        <v>49881157.670280375</v>
      </c>
      <c r="I61" s="54">
        <v>8270795.853600001</v>
      </c>
      <c r="J61" s="54">
        <f>VLOOKUP(B61,'Gennemførte investeringer'!B:P,15,0)</f>
        <v>24062198.97049351</v>
      </c>
      <c r="K61" s="55">
        <f t="shared" si="0"/>
        <v>82214152.494373888</v>
      </c>
      <c r="L61" s="53">
        <f t="shared" si="1"/>
        <v>117471560.24967389</v>
      </c>
      <c r="M61" s="56">
        <v>0</v>
      </c>
      <c r="N61" s="52">
        <v>0</v>
      </c>
      <c r="O61" s="57">
        <v>0</v>
      </c>
      <c r="P61" s="53">
        <f t="shared" si="2"/>
        <v>35257407.7553</v>
      </c>
      <c r="Q61" s="53">
        <f t="shared" si="3"/>
        <v>82214152.494373888</v>
      </c>
      <c r="R61" s="53">
        <f t="shared" si="4"/>
        <v>117471560.24967389</v>
      </c>
      <c r="S61" s="58">
        <v>0</v>
      </c>
    </row>
    <row r="62" spans="1:19" x14ac:dyDescent="0.25">
      <c r="A62" s="49" t="s">
        <v>137</v>
      </c>
      <c r="B62" s="49" t="s">
        <v>138</v>
      </c>
      <c r="C62" s="50">
        <v>34.229186223474443</v>
      </c>
      <c r="D62" s="51">
        <f>VLOOKUP(B62,'Costdrivere 2021'!B:M,12,0)</f>
        <v>0.11029760419266284</v>
      </c>
      <c r="E62" s="52">
        <f>SUM(VLOOKUP($B62,'Costdrivere 2021'!$B$4:$L$105,2,FALSE),VLOOKUP($B62,'Costdrivere 2021'!$B$4:$L$105,3,FALSE),VLOOKUP($B62,'Costdrivere 2021'!$B$4:$L$105,4,FALSE),VLOOKUP($B62,'Costdrivere 2021'!$B$4:$L$105,5,FALSE),VLOOKUP($B62,'Costdrivere 2021'!$B$4:$L$105,6,FALSE),VLOOKUP($B62,'Costdrivere 2021'!$B$4:$L$105,7,FALSE),VLOOKUP($B62,'Costdrivere 2021'!$B$4:$L$105,8,FALSE),VLOOKUP($B62,'Costdrivere 2021'!$B$4:$L$105,9,FALSE),VLOOKUP($B62,'Costdrivere 2021'!$B$4:$L$105,10,FALSE),VLOOKUP($B62,'Costdrivere 2021'!$B$4:$L$105,11,FALSE))</f>
        <v>9583232.9632160235</v>
      </c>
      <c r="F62" s="52">
        <f>VLOOKUP(B62,'Costdrivere 2021'!B:AP,39,0)+VLOOKUP(B62,'Costdrivere 2021'!B:AP,40,0)+VLOOKUP(B62,'Costdrivere 2021'!B:AP,41,0)</f>
        <v>50896974.831493326</v>
      </c>
      <c r="G62" s="53">
        <v>8767042.0798000004</v>
      </c>
      <c r="H62" s="5">
        <v>16990070.082260557</v>
      </c>
      <c r="I62" s="54">
        <v>7929257.4841000009</v>
      </c>
      <c r="J62" s="54">
        <f>VLOOKUP(B62,'Gennemførte investeringer'!B:P,15,0)</f>
        <v>18640365.044970479</v>
      </c>
      <c r="K62" s="55">
        <f t="shared" si="0"/>
        <v>43559692.611331031</v>
      </c>
      <c r="L62" s="53">
        <f t="shared" si="1"/>
        <v>52326734.691131033</v>
      </c>
      <c r="M62" s="56">
        <v>0</v>
      </c>
      <c r="N62" s="52">
        <v>0</v>
      </c>
      <c r="O62" s="57">
        <v>0</v>
      </c>
      <c r="P62" s="53">
        <f t="shared" si="2"/>
        <v>8767042.0798000004</v>
      </c>
      <c r="Q62" s="53">
        <f t="shared" si="3"/>
        <v>43559692.611331031</v>
      </c>
      <c r="R62" s="53">
        <f t="shared" si="4"/>
        <v>52326734.691131033</v>
      </c>
      <c r="S62" s="58">
        <v>0</v>
      </c>
    </row>
    <row r="63" spans="1:19" x14ac:dyDescent="0.25">
      <c r="A63" s="49" t="s">
        <v>139</v>
      </c>
      <c r="B63" s="49" t="s">
        <v>140</v>
      </c>
      <c r="C63" s="50">
        <v>31.447438661583984</v>
      </c>
      <c r="D63" s="51">
        <f>VLOOKUP(B63,'Costdrivere 2021'!B:M,12,0)</f>
        <v>2.4587751960795413E-2</v>
      </c>
      <c r="E63" s="52">
        <f>SUM(VLOOKUP($B63,'Costdrivere 2021'!$B$4:$L$105,2,FALSE),VLOOKUP($B63,'Costdrivere 2021'!$B$4:$L$105,3,FALSE),VLOOKUP($B63,'Costdrivere 2021'!$B$4:$L$105,4,FALSE),VLOOKUP($B63,'Costdrivere 2021'!$B$4:$L$105,5,FALSE),VLOOKUP($B63,'Costdrivere 2021'!$B$4:$L$105,6,FALSE),VLOOKUP($B63,'Costdrivere 2021'!$B$4:$L$105,7,FALSE),VLOOKUP($B63,'Costdrivere 2021'!$B$4:$L$105,8,FALSE),VLOOKUP($B63,'Costdrivere 2021'!$B$4:$L$105,9,FALSE),VLOOKUP($B63,'Costdrivere 2021'!$B$4:$L$105,10,FALSE),VLOOKUP($B63,'Costdrivere 2021'!$B$4:$L$105,11,FALSE))</f>
        <v>27716695.517227426</v>
      </c>
      <c r="F63" s="52">
        <f>VLOOKUP(B63,'Costdrivere 2021'!B:AP,39,0)+VLOOKUP(B63,'Costdrivere 2021'!B:AP,40,0)+VLOOKUP(B63,'Costdrivere 2021'!B:AP,41,0)</f>
        <v>117139349.23907904</v>
      </c>
      <c r="G63" s="53">
        <v>29364761.984100003</v>
      </c>
      <c r="H63" s="5">
        <v>56430122.396581821</v>
      </c>
      <c r="I63" s="54">
        <v>11286121.700000001</v>
      </c>
      <c r="J63" s="54">
        <f>VLOOKUP(B63,'Gennemførte investeringer'!B:P,15,0)</f>
        <v>26946610.487554949</v>
      </c>
      <c r="K63" s="55">
        <f t="shared" si="0"/>
        <v>94662854.584136769</v>
      </c>
      <c r="L63" s="53">
        <f t="shared" si="1"/>
        <v>124027616.56823677</v>
      </c>
      <c r="M63" s="56">
        <v>0</v>
      </c>
      <c r="N63" s="52">
        <v>0</v>
      </c>
      <c r="O63" s="57">
        <v>0</v>
      </c>
      <c r="P63" s="53">
        <f t="shared" si="2"/>
        <v>29364761.984100003</v>
      </c>
      <c r="Q63" s="53">
        <f t="shared" si="3"/>
        <v>94662854.584136769</v>
      </c>
      <c r="R63" s="53">
        <f t="shared" si="4"/>
        <v>124027616.56823677</v>
      </c>
      <c r="S63" s="58">
        <v>0</v>
      </c>
    </row>
    <row r="64" spans="1:19" x14ac:dyDescent="0.25">
      <c r="A64" s="49" t="s">
        <v>141</v>
      </c>
      <c r="B64" s="49" t="s">
        <v>142</v>
      </c>
      <c r="C64" s="50">
        <v>31.884842728561395</v>
      </c>
      <c r="D64" s="51">
        <f>VLOOKUP(B64,'Costdrivere 2021'!B:M,12,0)</f>
        <v>2.0176954207590709E-2</v>
      </c>
      <c r="E64" s="52">
        <f>SUM(VLOOKUP($B64,'Costdrivere 2021'!$B$4:$L$105,2,FALSE),VLOOKUP($B64,'Costdrivere 2021'!$B$4:$L$105,3,FALSE),VLOOKUP($B64,'Costdrivere 2021'!$B$4:$L$105,4,FALSE),VLOOKUP($B64,'Costdrivere 2021'!$B$4:$L$105,5,FALSE),VLOOKUP($B64,'Costdrivere 2021'!$B$4:$L$105,6,FALSE),VLOOKUP($B64,'Costdrivere 2021'!$B$4:$L$105,7,FALSE),VLOOKUP($B64,'Costdrivere 2021'!$B$4:$L$105,8,FALSE),VLOOKUP($B64,'Costdrivere 2021'!$B$4:$L$105,9,FALSE),VLOOKUP($B64,'Costdrivere 2021'!$B$4:$L$105,10,FALSE),VLOOKUP($B64,'Costdrivere 2021'!$B$4:$L$105,11,FALSE))</f>
        <v>25589310.627047561</v>
      </c>
      <c r="F64" s="52">
        <f>VLOOKUP(B64,'Costdrivere 2021'!B:AP,39,0)+VLOOKUP(B64,'Costdrivere 2021'!B:AP,40,0)+VLOOKUP(B64,'Costdrivere 2021'!B:AP,41,0)</f>
        <v>108618679.39369425</v>
      </c>
      <c r="G64" s="53">
        <v>23917120.898200002</v>
      </c>
      <c r="H64" s="5">
        <v>41668324.191800006</v>
      </c>
      <c r="I64" s="54">
        <v>5221173.2</v>
      </c>
      <c r="J64" s="54">
        <f>VLOOKUP(B64,'Gennemførte investeringer'!B:P,15,0)</f>
        <v>12749703.515664272</v>
      </c>
      <c r="K64" s="55">
        <f t="shared" si="0"/>
        <v>59639200.907464281</v>
      </c>
      <c r="L64" s="53">
        <f t="shared" si="1"/>
        <v>83556321.805664286</v>
      </c>
      <c r="M64" s="56">
        <v>0</v>
      </c>
      <c r="N64" s="52">
        <v>0</v>
      </c>
      <c r="O64" s="57">
        <v>0</v>
      </c>
      <c r="P64" s="53">
        <f t="shared" si="2"/>
        <v>23917120.898200002</v>
      </c>
      <c r="Q64" s="53">
        <f t="shared" si="3"/>
        <v>59639200.907464281</v>
      </c>
      <c r="R64" s="53">
        <f t="shared" si="4"/>
        <v>83556321.805664286</v>
      </c>
      <c r="S64" s="58">
        <v>0</v>
      </c>
    </row>
    <row r="65" spans="1:19" x14ac:dyDescent="0.25">
      <c r="A65" s="49" t="s">
        <v>143</v>
      </c>
      <c r="B65" s="49" t="s">
        <v>144</v>
      </c>
      <c r="C65" s="50">
        <v>32.267718204175253</v>
      </c>
      <c r="D65" s="51">
        <f>VLOOKUP(B65,'Costdrivere 2021'!B:M,12,0)</f>
        <v>1.6876807403123192E-2</v>
      </c>
      <c r="E65" s="52">
        <f>SUM(VLOOKUP($B65,'Costdrivere 2021'!$B$4:$L$105,2,FALSE),VLOOKUP($B65,'Costdrivere 2021'!$B$4:$L$105,3,FALSE),VLOOKUP($B65,'Costdrivere 2021'!$B$4:$L$105,4,FALSE),VLOOKUP($B65,'Costdrivere 2021'!$B$4:$L$105,5,FALSE),VLOOKUP($B65,'Costdrivere 2021'!$B$4:$L$105,6,FALSE),VLOOKUP($B65,'Costdrivere 2021'!$B$4:$L$105,7,FALSE),VLOOKUP($B65,'Costdrivere 2021'!$B$4:$L$105,8,FALSE),VLOOKUP($B65,'Costdrivere 2021'!$B$4:$L$105,9,FALSE),VLOOKUP($B65,'Costdrivere 2021'!$B$4:$L$105,10,FALSE),VLOOKUP($B65,'Costdrivere 2021'!$B$4:$L$105,11,FALSE))</f>
        <v>23695636.305389043</v>
      </c>
      <c r="F65" s="52">
        <f>VLOOKUP(B65,'Costdrivere 2021'!B:AP,39,0)+VLOOKUP(B65,'Costdrivere 2021'!B:AP,40,0)+VLOOKUP(B65,'Costdrivere 2021'!B:AP,41,0)</f>
        <v>70590987.057350665</v>
      </c>
      <c r="G65" s="53">
        <v>15560655.595289001</v>
      </c>
      <c r="H65" s="5">
        <v>30276433.201282527</v>
      </c>
      <c r="I65" s="54">
        <v>5145059.8521000007</v>
      </c>
      <c r="J65" s="54">
        <f>VLOOKUP(B65,'Gennemførte investeringer'!B:P,15,0)</f>
        <v>9186648.9575495925</v>
      </c>
      <c r="K65" s="55">
        <f t="shared" si="0"/>
        <v>44608142.010932125</v>
      </c>
      <c r="L65" s="53">
        <f t="shared" si="1"/>
        <v>60168797.606221125</v>
      </c>
      <c r="M65" s="56">
        <v>0</v>
      </c>
      <c r="N65" s="52">
        <v>0</v>
      </c>
      <c r="O65" s="57">
        <v>0</v>
      </c>
      <c r="P65" s="53">
        <f t="shared" si="2"/>
        <v>15560655.595289001</v>
      </c>
      <c r="Q65" s="53">
        <f t="shared" si="3"/>
        <v>44608142.010932125</v>
      </c>
      <c r="R65" s="53">
        <f t="shared" si="4"/>
        <v>60168797.606221125</v>
      </c>
      <c r="S65" s="58">
        <v>0</v>
      </c>
    </row>
    <row r="66" spans="1:19" x14ac:dyDescent="0.25">
      <c r="A66" s="49" t="s">
        <v>145</v>
      </c>
      <c r="B66" s="49" t="s">
        <v>146</v>
      </c>
      <c r="C66" s="50">
        <v>32.431099278571644</v>
      </c>
      <c r="D66" s="51">
        <f>VLOOKUP(B66,'Costdrivere 2021'!B:M,12,0)</f>
        <v>5.6179775280898881E-4</v>
      </c>
      <c r="E66" s="52">
        <f>SUM(VLOOKUP($B66,'Costdrivere 2021'!$B$4:$L$105,2,FALSE),VLOOKUP($B66,'Costdrivere 2021'!$B$4:$L$105,3,FALSE),VLOOKUP($B66,'Costdrivere 2021'!$B$4:$L$105,4,FALSE),VLOOKUP($B66,'Costdrivere 2021'!$B$4:$L$105,5,FALSE),VLOOKUP($B66,'Costdrivere 2021'!$B$4:$L$105,6,FALSE),VLOOKUP($B66,'Costdrivere 2021'!$B$4:$L$105,7,FALSE),VLOOKUP($B66,'Costdrivere 2021'!$B$4:$L$105,8,FALSE),VLOOKUP($B66,'Costdrivere 2021'!$B$4:$L$105,9,FALSE),VLOOKUP($B66,'Costdrivere 2021'!$B$4:$L$105,10,FALSE),VLOOKUP($B66,'Costdrivere 2021'!$B$4:$L$105,11,FALSE))</f>
        <v>23695501.352974005</v>
      </c>
      <c r="F66" s="52">
        <f>VLOOKUP(B66,'Costdrivere 2021'!B:AP,39,0)+VLOOKUP(B66,'Costdrivere 2021'!B:AP,40,0)+VLOOKUP(B66,'Costdrivere 2021'!B:AP,41,0)</f>
        <v>25976448.266141523</v>
      </c>
      <c r="G66" s="53">
        <v>26845814.799500003</v>
      </c>
      <c r="H66" s="5">
        <v>14081366.647395901</v>
      </c>
      <c r="I66" s="54">
        <v>1134960.0491000002</v>
      </c>
      <c r="J66" s="54">
        <f>VLOOKUP(B66,'Gennemførte investeringer'!B:P,15,0)</f>
        <v>13872817.890212677</v>
      </c>
      <c r="K66" s="55">
        <f t="shared" si="0"/>
        <v>29089144.586708579</v>
      </c>
      <c r="L66" s="53">
        <f t="shared" si="1"/>
        <v>55934959.386208579</v>
      </c>
      <c r="M66" s="56">
        <v>1720351.8349531367</v>
      </c>
      <c r="N66" s="52">
        <v>1288636.5134000001</v>
      </c>
      <c r="O66" s="57">
        <v>5374863.7105</v>
      </c>
      <c r="P66" s="53">
        <f t="shared" si="2"/>
        <v>25557178.286100004</v>
      </c>
      <c r="Q66" s="53">
        <f t="shared" si="3"/>
        <v>21993929.041255444</v>
      </c>
      <c r="R66" s="53">
        <f t="shared" si="4"/>
        <v>47551107.327355444</v>
      </c>
      <c r="S66" s="58">
        <v>0</v>
      </c>
    </row>
    <row r="67" spans="1:19" x14ac:dyDescent="0.25">
      <c r="A67" s="49" t="s">
        <v>147</v>
      </c>
      <c r="B67" s="49" t="s">
        <v>148</v>
      </c>
      <c r="C67" s="50">
        <v>25.3072743524115</v>
      </c>
      <c r="D67" s="51">
        <f>VLOOKUP(B67,'Costdrivere 2021'!B:M,12,0)</f>
        <v>4.3478260869565227E-3</v>
      </c>
      <c r="E67" s="52">
        <f>SUM(VLOOKUP($B67,'Costdrivere 2021'!$B$4:$L$105,2,FALSE),VLOOKUP($B67,'Costdrivere 2021'!$B$4:$L$105,3,FALSE),VLOOKUP($B67,'Costdrivere 2021'!$B$4:$L$105,4,FALSE),VLOOKUP($B67,'Costdrivere 2021'!$B$4:$L$105,5,FALSE),VLOOKUP($B67,'Costdrivere 2021'!$B$4:$L$105,6,FALSE),VLOOKUP($B67,'Costdrivere 2021'!$B$4:$L$105,7,FALSE),VLOOKUP($B67,'Costdrivere 2021'!$B$4:$L$105,8,FALSE),VLOOKUP($B67,'Costdrivere 2021'!$B$4:$L$105,9,FALSE),VLOOKUP($B67,'Costdrivere 2021'!$B$4:$L$105,10,FALSE),VLOOKUP($B67,'Costdrivere 2021'!$B$4:$L$105,11,FALSE))</f>
        <v>13499084.004271477</v>
      </c>
      <c r="F67" s="52">
        <f>VLOOKUP(B67,'Costdrivere 2021'!B:AP,39,0)+VLOOKUP(B67,'Costdrivere 2021'!B:AP,40,0)+VLOOKUP(B67,'Costdrivere 2021'!B:AP,41,0)</f>
        <v>7994083.7839061124</v>
      </c>
      <c r="G67" s="53">
        <v>11653596.377800001</v>
      </c>
      <c r="H67" s="5">
        <v>3202080.2765066661</v>
      </c>
      <c r="I67" s="54">
        <v>612013</v>
      </c>
      <c r="J67" s="54">
        <f>VLOOKUP(B67,'Gennemførte investeringer'!B:P,15,0)</f>
        <v>4498108.0400382103</v>
      </c>
      <c r="K67" s="55">
        <f t="shared" si="0"/>
        <v>8312201.3165448764</v>
      </c>
      <c r="L67" s="53">
        <f t="shared" si="1"/>
        <v>19965797.694344878</v>
      </c>
      <c r="M67" s="56">
        <v>0</v>
      </c>
      <c r="N67" s="52">
        <v>0</v>
      </c>
      <c r="O67" s="57">
        <v>0</v>
      </c>
      <c r="P67" s="53">
        <f t="shared" si="2"/>
        <v>11653596.377800001</v>
      </c>
      <c r="Q67" s="53">
        <f t="shared" si="3"/>
        <v>8312201.3165448764</v>
      </c>
      <c r="R67" s="53">
        <f t="shared" si="4"/>
        <v>19965797.694344878</v>
      </c>
      <c r="S67" s="58">
        <v>0</v>
      </c>
    </row>
    <row r="68" spans="1:19" x14ac:dyDescent="0.25">
      <c r="A68" s="49" t="s">
        <v>149</v>
      </c>
      <c r="B68" s="49" t="s">
        <v>150</v>
      </c>
      <c r="C68" s="50">
        <v>34.760732475523156</v>
      </c>
      <c r="D68" s="51">
        <f>VLOOKUP(B68,'Costdrivere 2021'!B:M,12,0)</f>
        <v>2.5208283302237084E-2</v>
      </c>
      <c r="E68" s="52">
        <f>SUM(VLOOKUP($B68,'Costdrivere 2021'!$B$4:$L$105,2,FALSE),VLOOKUP($B68,'Costdrivere 2021'!$B$4:$L$105,3,FALSE),VLOOKUP($B68,'Costdrivere 2021'!$B$4:$L$105,4,FALSE),VLOOKUP($B68,'Costdrivere 2021'!$B$4:$L$105,5,FALSE),VLOOKUP($B68,'Costdrivere 2021'!$B$4:$L$105,6,FALSE),VLOOKUP($B68,'Costdrivere 2021'!$B$4:$L$105,7,FALSE),VLOOKUP($B68,'Costdrivere 2021'!$B$4:$L$105,8,FALSE),VLOOKUP($B68,'Costdrivere 2021'!$B$4:$L$105,9,FALSE),VLOOKUP($B68,'Costdrivere 2021'!$B$4:$L$105,10,FALSE),VLOOKUP($B68,'Costdrivere 2021'!$B$4:$L$105,11,FALSE))</f>
        <v>27103953.682549682</v>
      </c>
      <c r="F68" s="52">
        <f>VLOOKUP(B68,'Costdrivere 2021'!B:AP,39,0)+VLOOKUP(B68,'Costdrivere 2021'!B:AP,40,0)+VLOOKUP(B68,'Costdrivere 2021'!B:AP,41,0)</f>
        <v>60826178.338090569</v>
      </c>
      <c r="G68" s="53">
        <v>23526284.379900001</v>
      </c>
      <c r="H68" s="5">
        <v>32209104.333538491</v>
      </c>
      <c r="I68" s="54">
        <v>219526.05320000002</v>
      </c>
      <c r="J68" s="54">
        <f>VLOOKUP(B68,'Gennemførte investeringer'!B:P,15,0)</f>
        <v>8975633.9298894722</v>
      </c>
      <c r="K68" s="55">
        <f t="shared" si="0"/>
        <v>41404264.316627964</v>
      </c>
      <c r="L68" s="53">
        <f t="shared" si="1"/>
        <v>64930548.696527965</v>
      </c>
      <c r="M68" s="56">
        <v>0</v>
      </c>
      <c r="N68" s="52">
        <v>0</v>
      </c>
      <c r="O68" s="57">
        <v>0</v>
      </c>
      <c r="P68" s="53">
        <f t="shared" si="2"/>
        <v>23526284.379900001</v>
      </c>
      <c r="Q68" s="53">
        <f t="shared" si="3"/>
        <v>41404264.316627964</v>
      </c>
      <c r="R68" s="53">
        <f t="shared" si="4"/>
        <v>64930548.696527965</v>
      </c>
      <c r="S68" s="58">
        <v>0</v>
      </c>
    </row>
    <row r="69" spans="1:19" x14ac:dyDescent="0.25">
      <c r="A69" s="49" t="s">
        <v>151</v>
      </c>
      <c r="B69" s="49" t="s">
        <v>152</v>
      </c>
      <c r="C69" s="50">
        <v>33.350716859891129</v>
      </c>
      <c r="D69" s="51">
        <f>VLOOKUP(B69,'Costdrivere 2021'!B:M,12,0)</f>
        <v>6.2509953409572216E-2</v>
      </c>
      <c r="E69" s="52">
        <f>SUM(VLOOKUP($B69,'Costdrivere 2021'!$B$4:$L$105,2,FALSE),VLOOKUP($B69,'Costdrivere 2021'!$B$4:$L$105,3,FALSE),VLOOKUP($B69,'Costdrivere 2021'!$B$4:$L$105,4,FALSE),VLOOKUP($B69,'Costdrivere 2021'!$B$4:$L$105,5,FALSE),VLOOKUP($B69,'Costdrivere 2021'!$B$4:$L$105,6,FALSE),VLOOKUP($B69,'Costdrivere 2021'!$B$4:$L$105,7,FALSE),VLOOKUP($B69,'Costdrivere 2021'!$B$4:$L$105,8,FALSE),VLOOKUP($B69,'Costdrivere 2021'!$B$4:$L$105,9,FALSE),VLOOKUP($B69,'Costdrivere 2021'!$B$4:$L$105,10,FALSE),VLOOKUP($B69,'Costdrivere 2021'!$B$4:$L$105,11,FALSE))</f>
        <v>46444269.998300329</v>
      </c>
      <c r="F69" s="52">
        <f>VLOOKUP(B69,'Costdrivere 2021'!B:AP,39,0)+VLOOKUP(B69,'Costdrivere 2021'!B:AP,40,0)+VLOOKUP(B69,'Costdrivere 2021'!B:AP,41,0)</f>
        <v>176371037.38371462</v>
      </c>
      <c r="G69" s="53">
        <v>39884664.728225</v>
      </c>
      <c r="H69" s="5">
        <v>80653753.835082889</v>
      </c>
      <c r="I69" s="54">
        <v>3816585.6667880001</v>
      </c>
      <c r="J69" s="54">
        <f>VLOOKUP(B69,'Gennemførte investeringer'!B:P,15,0)</f>
        <v>31985972.297720604</v>
      </c>
      <c r="K69" s="55">
        <f t="shared" ref="K69:K104" si="5">SUM(H69:J69)</f>
        <v>116456311.79959148</v>
      </c>
      <c r="L69" s="53">
        <f t="shared" ref="L69:L104" si="6">G69+K69</f>
        <v>156340976.52781647</v>
      </c>
      <c r="M69" s="56">
        <v>0</v>
      </c>
      <c r="N69" s="52">
        <v>0</v>
      </c>
      <c r="O69" s="57">
        <v>0</v>
      </c>
      <c r="P69" s="53">
        <f t="shared" ref="P69:P104" si="7">G69-N69</f>
        <v>39884664.728225</v>
      </c>
      <c r="Q69" s="53">
        <f t="shared" ref="Q69:Q104" si="8">K69-M69-O69</f>
        <v>116456311.79959148</v>
      </c>
      <c r="R69" s="53">
        <f t="shared" ref="R69:R104" si="9">P69+Q69</f>
        <v>156340976.52781647</v>
      </c>
      <c r="S69" s="58">
        <v>0</v>
      </c>
    </row>
    <row r="70" spans="1:19" x14ac:dyDescent="0.25">
      <c r="A70" s="49" t="s">
        <v>153</v>
      </c>
      <c r="B70" s="49" t="s">
        <v>154</v>
      </c>
      <c r="C70" s="50">
        <v>34.025020305214376</v>
      </c>
      <c r="D70" s="51">
        <f>VLOOKUP(B70,'Costdrivere 2021'!B:M,12,0)</f>
        <v>3.3290485192186518E-2</v>
      </c>
      <c r="E70" s="52">
        <f>SUM(VLOOKUP($B70,'Costdrivere 2021'!$B$4:$L$105,2,FALSE),VLOOKUP($B70,'Costdrivere 2021'!$B$4:$L$105,3,FALSE),VLOOKUP($B70,'Costdrivere 2021'!$B$4:$L$105,4,FALSE),VLOOKUP($B70,'Costdrivere 2021'!$B$4:$L$105,5,FALSE),VLOOKUP($B70,'Costdrivere 2021'!$B$4:$L$105,6,FALSE),VLOOKUP($B70,'Costdrivere 2021'!$B$4:$L$105,7,FALSE),VLOOKUP($B70,'Costdrivere 2021'!$B$4:$L$105,8,FALSE),VLOOKUP($B70,'Costdrivere 2021'!$B$4:$L$105,9,FALSE),VLOOKUP($B70,'Costdrivere 2021'!$B$4:$L$105,10,FALSE),VLOOKUP($B70,'Costdrivere 2021'!$B$4:$L$105,11,FALSE))</f>
        <v>12481338.478514777</v>
      </c>
      <c r="F70" s="52">
        <f>VLOOKUP(B70,'Costdrivere 2021'!B:AP,39,0)+VLOOKUP(B70,'Costdrivere 2021'!B:AP,40,0)+VLOOKUP(B70,'Costdrivere 2021'!B:AP,41,0)</f>
        <v>34524898.489970349</v>
      </c>
      <c r="G70" s="53">
        <v>10677649.345700001</v>
      </c>
      <c r="H70" s="5">
        <v>18507773.115837242</v>
      </c>
      <c r="I70" s="54">
        <v>1282233.4528000001</v>
      </c>
      <c r="J70" s="54">
        <f>VLOOKUP(B70,'Gennemførte investeringer'!B:P,15,0)</f>
        <v>6075262.3644690122</v>
      </c>
      <c r="K70" s="55">
        <f t="shared" si="5"/>
        <v>25865268.933106259</v>
      </c>
      <c r="L70" s="53">
        <f t="shared" si="6"/>
        <v>36542918.278806262</v>
      </c>
      <c r="M70" s="56">
        <v>0</v>
      </c>
      <c r="N70" s="52">
        <v>0</v>
      </c>
      <c r="O70" s="57">
        <v>0</v>
      </c>
      <c r="P70" s="53">
        <f t="shared" si="7"/>
        <v>10677649.345700001</v>
      </c>
      <c r="Q70" s="53">
        <f t="shared" si="8"/>
        <v>25865268.933106259</v>
      </c>
      <c r="R70" s="53">
        <f t="shared" si="9"/>
        <v>36542918.278806262</v>
      </c>
      <c r="S70" s="58">
        <v>0</v>
      </c>
    </row>
    <row r="71" spans="1:19" x14ac:dyDescent="0.25">
      <c r="A71" s="49" t="s">
        <v>155</v>
      </c>
      <c r="B71" s="49" t="s">
        <v>156</v>
      </c>
      <c r="C71" s="50">
        <v>31.110149748026057</v>
      </c>
      <c r="D71" s="51">
        <f>VLOOKUP(B71,'Costdrivere 2021'!B:M,12,0)</f>
        <v>2.0118724073809182E-2</v>
      </c>
      <c r="E71" s="52">
        <f>SUM(VLOOKUP($B71,'Costdrivere 2021'!$B$4:$L$105,2,FALSE),VLOOKUP($B71,'Costdrivere 2021'!$B$4:$L$105,3,FALSE),VLOOKUP($B71,'Costdrivere 2021'!$B$4:$L$105,4,FALSE),VLOOKUP($B71,'Costdrivere 2021'!$B$4:$L$105,5,FALSE),VLOOKUP($B71,'Costdrivere 2021'!$B$4:$L$105,6,FALSE),VLOOKUP($B71,'Costdrivere 2021'!$B$4:$L$105,7,FALSE),VLOOKUP($B71,'Costdrivere 2021'!$B$4:$L$105,8,FALSE),VLOOKUP($B71,'Costdrivere 2021'!$B$4:$L$105,9,FALSE),VLOOKUP($B71,'Costdrivere 2021'!$B$4:$L$105,10,FALSE),VLOOKUP($B71,'Costdrivere 2021'!$B$4:$L$105,11,FALSE))</f>
        <v>19430345.181181639</v>
      </c>
      <c r="F71" s="52">
        <f>VLOOKUP(B71,'Costdrivere 2021'!B:AP,39,0)+VLOOKUP(B71,'Costdrivere 2021'!B:AP,40,0)+VLOOKUP(B71,'Costdrivere 2021'!B:AP,41,0)</f>
        <v>65880133.854740173</v>
      </c>
      <c r="G71" s="53">
        <v>22075960.051700003</v>
      </c>
      <c r="H71" s="5">
        <v>31659046.777740236</v>
      </c>
      <c r="I71" s="54">
        <v>2815511.6283000004</v>
      </c>
      <c r="J71" s="54">
        <f>VLOOKUP(B71,'Gennemførte investeringer'!B:P,15,0)</f>
        <v>13593233.543057507</v>
      </c>
      <c r="K71" s="55">
        <f t="shared" si="5"/>
        <v>48067791.949097745</v>
      </c>
      <c r="L71" s="53">
        <f t="shared" si="6"/>
        <v>70143752.000797749</v>
      </c>
      <c r="M71" s="56">
        <v>0</v>
      </c>
      <c r="N71" s="52">
        <v>0</v>
      </c>
      <c r="O71" s="57">
        <v>0</v>
      </c>
      <c r="P71" s="53">
        <f t="shared" si="7"/>
        <v>22075960.051700003</v>
      </c>
      <c r="Q71" s="53">
        <f t="shared" si="8"/>
        <v>48067791.949097745</v>
      </c>
      <c r="R71" s="53">
        <f t="shared" si="9"/>
        <v>70143752.000797749</v>
      </c>
      <c r="S71" s="58">
        <v>0</v>
      </c>
    </row>
    <row r="72" spans="1:19" x14ac:dyDescent="0.25">
      <c r="A72" s="49" t="s">
        <v>157</v>
      </c>
      <c r="B72" s="49" t="s">
        <v>158</v>
      </c>
      <c r="C72" s="50">
        <v>33.001633257930472</v>
      </c>
      <c r="D72" s="51">
        <f>VLOOKUP(B72,'Costdrivere 2021'!B:M,12,0)</f>
        <v>3.8187180658829409E-2</v>
      </c>
      <c r="E72" s="52">
        <f>SUM(VLOOKUP($B72,'Costdrivere 2021'!$B$4:$L$105,2,FALSE),VLOOKUP($B72,'Costdrivere 2021'!$B$4:$L$105,3,FALSE),VLOOKUP($B72,'Costdrivere 2021'!$B$4:$L$105,4,FALSE),VLOOKUP($B72,'Costdrivere 2021'!$B$4:$L$105,5,FALSE),VLOOKUP($B72,'Costdrivere 2021'!$B$4:$L$105,6,FALSE),VLOOKUP($B72,'Costdrivere 2021'!$B$4:$L$105,7,FALSE),VLOOKUP($B72,'Costdrivere 2021'!$B$4:$L$105,8,FALSE),VLOOKUP($B72,'Costdrivere 2021'!$B$4:$L$105,9,FALSE),VLOOKUP($B72,'Costdrivere 2021'!$B$4:$L$105,10,FALSE),VLOOKUP($B72,'Costdrivere 2021'!$B$4:$L$105,11,FALSE))</f>
        <v>52893308.714927137</v>
      </c>
      <c r="F72" s="52">
        <f>VLOOKUP(B72,'Costdrivere 2021'!B:AP,39,0)+VLOOKUP(B72,'Costdrivere 2021'!B:AP,40,0)+VLOOKUP(B72,'Costdrivere 2021'!B:AP,41,0)</f>
        <v>197748835.60757142</v>
      </c>
      <c r="G72" s="53">
        <v>47447247.054262005</v>
      </c>
      <c r="H72" s="5">
        <v>93737269.523708224</v>
      </c>
      <c r="I72" s="54">
        <v>1699877.6253840001</v>
      </c>
      <c r="J72" s="54">
        <f>VLOOKUP(B72,'Gennemførte investeringer'!B:P,15,0)</f>
        <v>29151400.357873566</v>
      </c>
      <c r="K72" s="55">
        <f t="shared" si="5"/>
        <v>124588547.50696579</v>
      </c>
      <c r="L72" s="53">
        <f t="shared" si="6"/>
        <v>172035794.5612278</v>
      </c>
      <c r="M72" s="56">
        <v>0</v>
      </c>
      <c r="N72" s="52">
        <v>0</v>
      </c>
      <c r="O72" s="57">
        <v>0</v>
      </c>
      <c r="P72" s="53">
        <f t="shared" si="7"/>
        <v>47447247.054262005</v>
      </c>
      <c r="Q72" s="53">
        <f t="shared" si="8"/>
        <v>124588547.50696579</v>
      </c>
      <c r="R72" s="53">
        <f t="shared" si="9"/>
        <v>172035794.5612278</v>
      </c>
      <c r="S72" s="58">
        <v>0</v>
      </c>
    </row>
    <row r="73" spans="1:19" x14ac:dyDescent="0.25">
      <c r="A73" s="49" t="s">
        <v>159</v>
      </c>
      <c r="B73" s="49" t="s">
        <v>160</v>
      </c>
      <c r="C73" s="50">
        <v>35.018121605078925</v>
      </c>
      <c r="D73" s="51">
        <f>VLOOKUP(B73,'Costdrivere 2021'!B:M,12,0)</f>
        <v>2.4907652699526137E-2</v>
      </c>
      <c r="E73" s="52">
        <f>SUM(VLOOKUP($B73,'Costdrivere 2021'!$B$4:$L$105,2,FALSE),VLOOKUP($B73,'Costdrivere 2021'!$B$4:$L$105,3,FALSE),VLOOKUP($B73,'Costdrivere 2021'!$B$4:$L$105,4,FALSE),VLOOKUP($B73,'Costdrivere 2021'!$B$4:$L$105,5,FALSE),VLOOKUP($B73,'Costdrivere 2021'!$B$4:$L$105,6,FALSE),VLOOKUP($B73,'Costdrivere 2021'!$B$4:$L$105,7,FALSE),VLOOKUP($B73,'Costdrivere 2021'!$B$4:$L$105,8,FALSE),VLOOKUP($B73,'Costdrivere 2021'!$B$4:$L$105,9,FALSE),VLOOKUP($B73,'Costdrivere 2021'!$B$4:$L$105,10,FALSE),VLOOKUP($B73,'Costdrivere 2021'!$B$4:$L$105,11,FALSE))</f>
        <v>12660633.93785149</v>
      </c>
      <c r="F73" s="52">
        <f>VLOOKUP(B73,'Costdrivere 2021'!B:AP,39,0)+VLOOKUP(B73,'Costdrivere 2021'!B:AP,40,0)+VLOOKUP(B73,'Costdrivere 2021'!B:AP,41,0)</f>
        <v>64624099.501801252</v>
      </c>
      <c r="G73" s="53">
        <v>12136567.078862002</v>
      </c>
      <c r="H73" s="5">
        <v>36266666.609927058</v>
      </c>
      <c r="I73" s="54">
        <v>1010323.1000000001</v>
      </c>
      <c r="J73" s="54">
        <f>VLOOKUP(B73,'Gennemførte investeringer'!B:P,15,0)</f>
        <v>7543657.86921506</v>
      </c>
      <c r="K73" s="55">
        <f t="shared" si="5"/>
        <v>44820647.579142123</v>
      </c>
      <c r="L73" s="53">
        <f t="shared" si="6"/>
        <v>56957214.658004127</v>
      </c>
      <c r="M73" s="56">
        <v>0</v>
      </c>
      <c r="N73" s="52">
        <v>0</v>
      </c>
      <c r="O73" s="57">
        <v>0</v>
      </c>
      <c r="P73" s="53">
        <f t="shared" si="7"/>
        <v>12136567.078862002</v>
      </c>
      <c r="Q73" s="53">
        <f t="shared" si="8"/>
        <v>44820647.579142123</v>
      </c>
      <c r="R73" s="53">
        <f t="shared" si="9"/>
        <v>56957214.658004127</v>
      </c>
      <c r="S73" s="58">
        <v>0</v>
      </c>
    </row>
    <row r="74" spans="1:19" x14ac:dyDescent="0.25">
      <c r="A74" s="49" t="s">
        <v>161</v>
      </c>
      <c r="B74" s="49" t="s">
        <v>162</v>
      </c>
      <c r="C74" s="50">
        <v>33.739926004633638</v>
      </c>
      <c r="D74" s="51">
        <f>VLOOKUP(B74,'Costdrivere 2021'!B:M,12,0)</f>
        <v>2.6373719334523926E-2</v>
      </c>
      <c r="E74" s="52">
        <f>SUM(VLOOKUP($B74,'Costdrivere 2021'!$B$4:$L$105,2,FALSE),VLOOKUP($B74,'Costdrivere 2021'!$B$4:$L$105,3,FALSE),VLOOKUP($B74,'Costdrivere 2021'!$B$4:$L$105,4,FALSE),VLOOKUP($B74,'Costdrivere 2021'!$B$4:$L$105,5,FALSE),VLOOKUP($B74,'Costdrivere 2021'!$B$4:$L$105,6,FALSE),VLOOKUP($B74,'Costdrivere 2021'!$B$4:$L$105,7,FALSE),VLOOKUP($B74,'Costdrivere 2021'!$B$4:$L$105,8,FALSE),VLOOKUP($B74,'Costdrivere 2021'!$B$4:$L$105,9,FALSE),VLOOKUP($B74,'Costdrivere 2021'!$B$4:$L$105,10,FALSE),VLOOKUP($B74,'Costdrivere 2021'!$B$4:$L$105,11,FALSE))</f>
        <v>16616094.201208226</v>
      </c>
      <c r="F74" s="52">
        <f>VLOOKUP(B74,'Costdrivere 2021'!B:AP,39,0)+VLOOKUP(B74,'Costdrivere 2021'!B:AP,40,0)+VLOOKUP(B74,'Costdrivere 2021'!B:AP,41,0)</f>
        <v>99765821.799999982</v>
      </c>
      <c r="G74" s="53">
        <v>16122895.554500001</v>
      </c>
      <c r="H74" s="5">
        <v>54671088.579926245</v>
      </c>
      <c r="I74" s="54">
        <v>1318712.4375</v>
      </c>
      <c r="J74" s="54">
        <f>VLOOKUP(B74,'Gennemførte investeringer'!B:P,15,0)</f>
        <v>13385830.805400813</v>
      </c>
      <c r="K74" s="55">
        <f t="shared" si="5"/>
        <v>69375631.822827056</v>
      </c>
      <c r="L74" s="53">
        <f t="shared" si="6"/>
        <v>85498527.377327055</v>
      </c>
      <c r="M74" s="56">
        <v>0</v>
      </c>
      <c r="N74" s="52">
        <v>0</v>
      </c>
      <c r="O74" s="57">
        <v>0</v>
      </c>
      <c r="P74" s="53">
        <f t="shared" si="7"/>
        <v>16122895.554500001</v>
      </c>
      <c r="Q74" s="53">
        <f t="shared" si="8"/>
        <v>69375631.822827056</v>
      </c>
      <c r="R74" s="53">
        <f t="shared" si="9"/>
        <v>85498527.377327055</v>
      </c>
      <c r="S74" s="58">
        <v>0</v>
      </c>
    </row>
    <row r="75" spans="1:19" x14ac:dyDescent="0.25">
      <c r="A75" s="49" t="s">
        <v>163</v>
      </c>
      <c r="B75" s="49" t="s">
        <v>164</v>
      </c>
      <c r="C75" s="50">
        <v>30.169566695057146</v>
      </c>
      <c r="D75" s="51">
        <f>VLOOKUP(B75,'Costdrivere 2021'!B:M,12,0)</f>
        <v>0</v>
      </c>
      <c r="E75" s="52">
        <f>SUM(VLOOKUP($B75,'Costdrivere 2021'!$B$4:$L$105,2,FALSE),VLOOKUP($B75,'Costdrivere 2021'!$B$4:$L$105,3,FALSE),VLOOKUP($B75,'Costdrivere 2021'!$B$4:$L$105,4,FALSE),VLOOKUP($B75,'Costdrivere 2021'!$B$4:$L$105,5,FALSE),VLOOKUP($B75,'Costdrivere 2021'!$B$4:$L$105,6,FALSE),VLOOKUP($B75,'Costdrivere 2021'!$B$4:$L$105,7,FALSE),VLOOKUP($B75,'Costdrivere 2021'!$B$4:$L$105,8,FALSE),VLOOKUP($B75,'Costdrivere 2021'!$B$4:$L$105,9,FALSE),VLOOKUP($B75,'Costdrivere 2021'!$B$4:$L$105,10,FALSE),VLOOKUP($B75,'Costdrivere 2021'!$B$4:$L$105,11,FALSE))</f>
        <v>15186454.787833802</v>
      </c>
      <c r="F75" s="52">
        <f>VLOOKUP(B75,'Costdrivere 2021'!B:AP,39,0)+VLOOKUP(B75,'Costdrivere 2021'!B:AP,40,0)+VLOOKUP(B75,'Costdrivere 2021'!B:AP,41,0)</f>
        <v>12720440.84552216</v>
      </c>
      <c r="G75" s="53">
        <v>11352869.242400002</v>
      </c>
      <c r="H75" s="5">
        <v>2687179.7880954971</v>
      </c>
      <c r="I75" s="54">
        <v>65038.922500000008</v>
      </c>
      <c r="J75" s="54">
        <f>VLOOKUP(B75,'Gennemførte investeringer'!B:P,15,0)</f>
        <v>2402135.1615103888</v>
      </c>
      <c r="K75" s="55">
        <f t="shared" si="5"/>
        <v>5154353.8721058853</v>
      </c>
      <c r="L75" s="53">
        <f t="shared" si="6"/>
        <v>16507223.114505887</v>
      </c>
      <c r="M75" s="56">
        <v>0</v>
      </c>
      <c r="N75" s="52">
        <v>1507985.5042160002</v>
      </c>
      <c r="O75" s="57">
        <v>0</v>
      </c>
      <c r="P75" s="53">
        <f t="shared" si="7"/>
        <v>9844883.7381840013</v>
      </c>
      <c r="Q75" s="53">
        <f t="shared" si="8"/>
        <v>5154353.8721058853</v>
      </c>
      <c r="R75" s="53">
        <f t="shared" si="9"/>
        <v>14999237.610289887</v>
      </c>
      <c r="S75" s="58">
        <v>0</v>
      </c>
    </row>
    <row r="76" spans="1:19" x14ac:dyDescent="0.25">
      <c r="A76" s="49" t="s">
        <v>165</v>
      </c>
      <c r="B76" s="49" t="s">
        <v>166</v>
      </c>
      <c r="C76" s="50">
        <v>30.17287944805204</v>
      </c>
      <c r="D76" s="51">
        <f>VLOOKUP(B76,'Costdrivere 2021'!B:M,12,0)</f>
        <v>2.2894559759821936E-2</v>
      </c>
      <c r="E76" s="52">
        <f>SUM(VLOOKUP($B76,'Costdrivere 2021'!$B$4:$L$105,2,FALSE),VLOOKUP($B76,'Costdrivere 2021'!$B$4:$L$105,3,FALSE),VLOOKUP($B76,'Costdrivere 2021'!$B$4:$L$105,4,FALSE),VLOOKUP($B76,'Costdrivere 2021'!$B$4:$L$105,5,FALSE),VLOOKUP($B76,'Costdrivere 2021'!$B$4:$L$105,6,FALSE),VLOOKUP($B76,'Costdrivere 2021'!$B$4:$L$105,7,FALSE),VLOOKUP($B76,'Costdrivere 2021'!$B$4:$L$105,8,FALSE),VLOOKUP($B76,'Costdrivere 2021'!$B$4:$L$105,9,FALSE),VLOOKUP($B76,'Costdrivere 2021'!$B$4:$L$105,10,FALSE),VLOOKUP($B76,'Costdrivere 2021'!$B$4:$L$105,11,FALSE))</f>
        <v>18028593.954733692</v>
      </c>
      <c r="F76" s="52">
        <f>VLOOKUP(B76,'Costdrivere 2021'!B:AP,39,0)+VLOOKUP(B76,'Costdrivere 2021'!B:AP,40,0)+VLOOKUP(B76,'Costdrivere 2021'!B:AP,41,0)</f>
        <v>68060361.259377033</v>
      </c>
      <c r="G76" s="53">
        <v>22279696.169500001</v>
      </c>
      <c r="H76" s="5">
        <v>29521643.833818778</v>
      </c>
      <c r="I76" s="54">
        <v>4159891.4897000003</v>
      </c>
      <c r="J76" s="54">
        <f>VLOOKUP(B76,'Gennemførte investeringer'!B:P,15,0)</f>
        <v>13826068.246023433</v>
      </c>
      <c r="K76" s="55">
        <f t="shared" si="5"/>
        <v>47507603.569542207</v>
      </c>
      <c r="L76" s="53">
        <f t="shared" si="6"/>
        <v>69787299.739042208</v>
      </c>
      <c r="M76" s="56">
        <v>0</v>
      </c>
      <c r="N76" s="52">
        <v>0</v>
      </c>
      <c r="O76" s="57">
        <v>0</v>
      </c>
      <c r="P76" s="53">
        <f t="shared" si="7"/>
        <v>22279696.169500001</v>
      </c>
      <c r="Q76" s="53">
        <f t="shared" si="8"/>
        <v>47507603.569542207</v>
      </c>
      <c r="R76" s="53">
        <f t="shared" si="9"/>
        <v>69787299.739042208</v>
      </c>
      <c r="S76" s="58">
        <v>0</v>
      </c>
    </row>
    <row r="77" spans="1:19" x14ac:dyDescent="0.25">
      <c r="A77" s="49" t="s">
        <v>167</v>
      </c>
      <c r="B77" s="49" t="s">
        <v>168</v>
      </c>
      <c r="C77" s="50">
        <v>35.78537309117123</v>
      </c>
      <c r="D77" s="51">
        <f>VLOOKUP(B77,'Costdrivere 2021'!B:M,12,0)</f>
        <v>4.7211427249595192E-2</v>
      </c>
      <c r="E77" s="52">
        <f>SUM(VLOOKUP($B77,'Costdrivere 2021'!$B$4:$L$105,2,FALSE),VLOOKUP($B77,'Costdrivere 2021'!$B$4:$L$105,3,FALSE),VLOOKUP($B77,'Costdrivere 2021'!$B$4:$L$105,4,FALSE),VLOOKUP($B77,'Costdrivere 2021'!$B$4:$L$105,5,FALSE),VLOOKUP($B77,'Costdrivere 2021'!$B$4:$L$105,6,FALSE),VLOOKUP($B77,'Costdrivere 2021'!$B$4:$L$105,7,FALSE),VLOOKUP($B77,'Costdrivere 2021'!$B$4:$L$105,8,FALSE),VLOOKUP($B77,'Costdrivere 2021'!$B$4:$L$105,9,FALSE),VLOOKUP($B77,'Costdrivere 2021'!$B$4:$L$105,10,FALSE),VLOOKUP($B77,'Costdrivere 2021'!$B$4:$L$105,11,FALSE))</f>
        <v>41649300.149618998</v>
      </c>
      <c r="F77" s="52">
        <f>VLOOKUP(B77,'Costdrivere 2021'!B:AP,39,0)+VLOOKUP(B77,'Costdrivere 2021'!B:AP,40,0)+VLOOKUP(B77,'Costdrivere 2021'!B:AP,41,0)</f>
        <v>124278448.16194201</v>
      </c>
      <c r="G77" s="53">
        <v>71296588.877200007</v>
      </c>
      <c r="H77" s="5">
        <v>64896571.307829797</v>
      </c>
      <c r="I77" s="54">
        <v>3669411.2286000005</v>
      </c>
      <c r="J77" s="54">
        <f>VLOOKUP(B77,'Gennemførte investeringer'!B:P,15,0)</f>
        <v>17877962.721594583</v>
      </c>
      <c r="K77" s="55">
        <f t="shared" si="5"/>
        <v>86443945.25802438</v>
      </c>
      <c r="L77" s="53">
        <f t="shared" si="6"/>
        <v>157740534.1352244</v>
      </c>
      <c r="M77" s="56">
        <v>0</v>
      </c>
      <c r="N77" s="52">
        <v>0</v>
      </c>
      <c r="O77" s="57">
        <v>0</v>
      </c>
      <c r="P77" s="53">
        <f t="shared" si="7"/>
        <v>71296588.877200007</v>
      </c>
      <c r="Q77" s="53">
        <f t="shared" si="8"/>
        <v>86443945.25802438</v>
      </c>
      <c r="R77" s="53">
        <f t="shared" si="9"/>
        <v>157740534.1352244</v>
      </c>
      <c r="S77" s="58">
        <v>0</v>
      </c>
    </row>
    <row r="78" spans="1:19" x14ac:dyDescent="0.25">
      <c r="A78" s="49" t="s">
        <v>169</v>
      </c>
      <c r="B78" s="49" t="s">
        <v>170</v>
      </c>
      <c r="C78" s="50">
        <v>43.185124962631136</v>
      </c>
      <c r="D78" s="51">
        <f>VLOOKUP(B78,'Costdrivere 2021'!B:M,12,0)</f>
        <v>6.897918080518399E-2</v>
      </c>
      <c r="E78" s="52">
        <f>SUM(VLOOKUP($B78,'Costdrivere 2021'!$B$4:$L$105,2,FALSE),VLOOKUP($B78,'Costdrivere 2021'!$B$4:$L$105,3,FALSE),VLOOKUP($B78,'Costdrivere 2021'!$B$4:$L$105,4,FALSE),VLOOKUP($B78,'Costdrivere 2021'!$B$4:$L$105,5,FALSE),VLOOKUP($B78,'Costdrivere 2021'!$B$4:$L$105,6,FALSE),VLOOKUP($B78,'Costdrivere 2021'!$B$4:$L$105,7,FALSE),VLOOKUP($B78,'Costdrivere 2021'!$B$4:$L$105,8,FALSE),VLOOKUP($B78,'Costdrivere 2021'!$B$4:$L$105,9,FALSE),VLOOKUP($B78,'Costdrivere 2021'!$B$4:$L$105,10,FALSE),VLOOKUP($B78,'Costdrivere 2021'!$B$4:$L$105,11,FALSE))</f>
        <v>19255388.486841843</v>
      </c>
      <c r="F78" s="52">
        <f>VLOOKUP(B78,'Costdrivere 2021'!B:AP,39,0)+VLOOKUP(B78,'Costdrivere 2021'!B:AP,40,0)+VLOOKUP(B78,'Costdrivere 2021'!B:AP,41,0)</f>
        <v>68462748.945302486</v>
      </c>
      <c r="G78" s="53">
        <v>19243838.791900001</v>
      </c>
      <c r="H78" s="5">
        <v>29336919.209792737</v>
      </c>
      <c r="I78" s="54">
        <v>1304290</v>
      </c>
      <c r="J78" s="54">
        <f>VLOOKUP(B78,'Gennemførte investeringer'!B:P,15,0)</f>
        <v>10212337.92922114</v>
      </c>
      <c r="K78" s="55">
        <f t="shared" si="5"/>
        <v>40853547.139013879</v>
      </c>
      <c r="L78" s="53">
        <f t="shared" si="6"/>
        <v>60097385.93091388</v>
      </c>
      <c r="M78" s="56">
        <v>0</v>
      </c>
      <c r="N78" s="52">
        <v>0</v>
      </c>
      <c r="O78" s="57">
        <v>0</v>
      </c>
      <c r="P78" s="53">
        <f t="shared" si="7"/>
        <v>19243838.791900001</v>
      </c>
      <c r="Q78" s="53">
        <f t="shared" si="8"/>
        <v>40853547.139013879</v>
      </c>
      <c r="R78" s="53">
        <f t="shared" si="9"/>
        <v>60097385.93091388</v>
      </c>
      <c r="S78" s="58">
        <v>0</v>
      </c>
    </row>
    <row r="79" spans="1:19" x14ac:dyDescent="0.25">
      <c r="A79" s="49" t="s">
        <v>171</v>
      </c>
      <c r="B79" s="49" t="s">
        <v>172</v>
      </c>
      <c r="C79" s="50">
        <v>33.842090761921519</v>
      </c>
      <c r="D79" s="51">
        <f>VLOOKUP(B79,'Costdrivere 2021'!B:M,12,0)</f>
        <v>5.6280431226623552E-2</v>
      </c>
      <c r="E79" s="52">
        <f>SUM(VLOOKUP($B79,'Costdrivere 2021'!$B$4:$L$105,2,FALSE),VLOOKUP($B79,'Costdrivere 2021'!$B$4:$L$105,3,FALSE),VLOOKUP($B79,'Costdrivere 2021'!$B$4:$L$105,4,FALSE),VLOOKUP($B79,'Costdrivere 2021'!$B$4:$L$105,5,FALSE),VLOOKUP($B79,'Costdrivere 2021'!$B$4:$L$105,6,FALSE),VLOOKUP($B79,'Costdrivere 2021'!$B$4:$L$105,7,FALSE),VLOOKUP($B79,'Costdrivere 2021'!$B$4:$L$105,8,FALSE),VLOOKUP($B79,'Costdrivere 2021'!$B$4:$L$105,9,FALSE),VLOOKUP($B79,'Costdrivere 2021'!$B$4:$L$105,10,FALSE),VLOOKUP($B79,'Costdrivere 2021'!$B$4:$L$105,11,FALSE))</f>
        <v>45644898.002425313</v>
      </c>
      <c r="F79" s="52">
        <f>VLOOKUP(B79,'Costdrivere 2021'!B:AP,39,0)+VLOOKUP(B79,'Costdrivere 2021'!B:AP,40,0)+VLOOKUP(B79,'Costdrivere 2021'!B:AP,41,0)</f>
        <v>183987709.95744577</v>
      </c>
      <c r="G79" s="53">
        <v>50036577.600000001</v>
      </c>
      <c r="H79" s="5">
        <v>88156016.232106149</v>
      </c>
      <c r="I79" s="54">
        <v>4013.2000000000003</v>
      </c>
      <c r="J79" s="54">
        <f>VLOOKUP(B79,'Gennemførte investeringer'!B:P,15,0)</f>
        <v>18722130.512459163</v>
      </c>
      <c r="K79" s="55">
        <f t="shared" si="5"/>
        <v>106882159.94456531</v>
      </c>
      <c r="L79" s="53">
        <f t="shared" si="6"/>
        <v>156918737.54456532</v>
      </c>
      <c r="M79" s="56">
        <v>0</v>
      </c>
      <c r="N79" s="52">
        <v>0</v>
      </c>
      <c r="O79" s="57">
        <v>0</v>
      </c>
      <c r="P79" s="53">
        <f t="shared" si="7"/>
        <v>50036577.600000001</v>
      </c>
      <c r="Q79" s="53">
        <f t="shared" si="8"/>
        <v>106882159.94456531</v>
      </c>
      <c r="R79" s="53">
        <f t="shared" si="9"/>
        <v>156918737.54456532</v>
      </c>
      <c r="S79" s="58">
        <v>0</v>
      </c>
    </row>
    <row r="80" spans="1:19" x14ac:dyDescent="0.25">
      <c r="A80" s="49" t="s">
        <v>173</v>
      </c>
      <c r="B80" s="49" t="s">
        <v>174</v>
      </c>
      <c r="C80" s="50">
        <v>34.950689441779886</v>
      </c>
      <c r="D80" s="51">
        <f>VLOOKUP(B80,'Costdrivere 2021'!B:M,12,0)</f>
        <v>3.6200034766379084E-2</v>
      </c>
      <c r="E80" s="52">
        <f>SUM(VLOOKUP($B80,'Costdrivere 2021'!$B$4:$L$105,2,FALSE),VLOOKUP($B80,'Costdrivere 2021'!$B$4:$L$105,3,FALSE),VLOOKUP($B80,'Costdrivere 2021'!$B$4:$L$105,4,FALSE),VLOOKUP($B80,'Costdrivere 2021'!$B$4:$L$105,5,FALSE),VLOOKUP($B80,'Costdrivere 2021'!$B$4:$L$105,6,FALSE),VLOOKUP($B80,'Costdrivere 2021'!$B$4:$L$105,7,FALSE),VLOOKUP($B80,'Costdrivere 2021'!$B$4:$L$105,8,FALSE),VLOOKUP($B80,'Costdrivere 2021'!$B$4:$L$105,9,FALSE),VLOOKUP($B80,'Costdrivere 2021'!$B$4:$L$105,10,FALSE),VLOOKUP($B80,'Costdrivere 2021'!$B$4:$L$105,11,FALSE))</f>
        <v>53646126.07151179</v>
      </c>
      <c r="F80" s="52">
        <f>VLOOKUP(B80,'Costdrivere 2021'!B:AP,39,0)+VLOOKUP(B80,'Costdrivere 2021'!B:AP,40,0)+VLOOKUP(B80,'Costdrivere 2021'!B:AP,41,0)</f>
        <v>186866380.49506316</v>
      </c>
      <c r="G80" s="53">
        <v>56150998.823000006</v>
      </c>
      <c r="H80" s="5">
        <v>59574538.333420441</v>
      </c>
      <c r="I80" s="54">
        <v>4927177.2043000003</v>
      </c>
      <c r="J80" s="54">
        <f>VLOOKUP(B80,'Gennemførte investeringer'!B:P,15,0)</f>
        <v>28094389.668008566</v>
      </c>
      <c r="K80" s="55">
        <f t="shared" si="5"/>
        <v>92596105.205729008</v>
      </c>
      <c r="L80" s="53">
        <f t="shared" si="6"/>
        <v>148747104.02872902</v>
      </c>
      <c r="M80" s="56">
        <v>0</v>
      </c>
      <c r="N80" s="52">
        <v>0</v>
      </c>
      <c r="O80" s="57">
        <v>0</v>
      </c>
      <c r="P80" s="53">
        <f t="shared" si="7"/>
        <v>56150998.823000006</v>
      </c>
      <c r="Q80" s="53">
        <f t="shared" si="8"/>
        <v>92596105.205729008</v>
      </c>
      <c r="R80" s="53">
        <f t="shared" si="9"/>
        <v>148747104.02872902</v>
      </c>
      <c r="S80" s="58">
        <v>0</v>
      </c>
    </row>
    <row r="81" spans="1:19" x14ac:dyDescent="0.25">
      <c r="A81" s="49" t="s">
        <v>175</v>
      </c>
      <c r="B81" s="49" t="s">
        <v>176</v>
      </c>
      <c r="C81" s="50">
        <v>31.717437106785532</v>
      </c>
      <c r="D81" s="51">
        <f>VLOOKUP(B81,'Costdrivere 2021'!B:M,12,0)</f>
        <v>3.8512448376043874E-2</v>
      </c>
      <c r="E81" s="52">
        <f>SUM(VLOOKUP($B81,'Costdrivere 2021'!$B$4:$L$105,2,FALSE),VLOOKUP($B81,'Costdrivere 2021'!$B$4:$L$105,3,FALSE),VLOOKUP($B81,'Costdrivere 2021'!$B$4:$L$105,4,FALSE),VLOOKUP($B81,'Costdrivere 2021'!$B$4:$L$105,5,FALSE),VLOOKUP($B81,'Costdrivere 2021'!$B$4:$L$105,6,FALSE),VLOOKUP($B81,'Costdrivere 2021'!$B$4:$L$105,7,FALSE),VLOOKUP($B81,'Costdrivere 2021'!$B$4:$L$105,8,FALSE),VLOOKUP($B81,'Costdrivere 2021'!$B$4:$L$105,9,FALSE),VLOOKUP($B81,'Costdrivere 2021'!$B$4:$L$105,10,FALSE),VLOOKUP($B81,'Costdrivere 2021'!$B$4:$L$105,11,FALSE))</f>
        <v>30668537.81677743</v>
      </c>
      <c r="F81" s="52">
        <f>VLOOKUP(B81,'Costdrivere 2021'!B:AP,39,0)+VLOOKUP(B81,'Costdrivere 2021'!B:AP,40,0)+VLOOKUP(B81,'Costdrivere 2021'!B:AP,41,0)</f>
        <v>103379776.06135836</v>
      </c>
      <c r="G81" s="53">
        <v>37806245.769700006</v>
      </c>
      <c r="H81" s="5">
        <v>56335071.236902982</v>
      </c>
      <c r="I81" s="54">
        <v>1205930.4812</v>
      </c>
      <c r="J81" s="54">
        <f>VLOOKUP(B81,'Gennemførte investeringer'!B:P,15,0)</f>
        <v>20714054.178605516</v>
      </c>
      <c r="K81" s="55">
        <f t="shared" si="5"/>
        <v>78255055.896708503</v>
      </c>
      <c r="L81" s="53">
        <f t="shared" si="6"/>
        <v>116061301.66640851</v>
      </c>
      <c r="M81" s="56">
        <v>0</v>
      </c>
      <c r="N81" s="52">
        <v>0</v>
      </c>
      <c r="O81" s="57">
        <v>0</v>
      </c>
      <c r="P81" s="53">
        <f t="shared" si="7"/>
        <v>37806245.769700006</v>
      </c>
      <c r="Q81" s="53">
        <f t="shared" si="8"/>
        <v>78255055.896708503</v>
      </c>
      <c r="R81" s="53">
        <f t="shared" si="9"/>
        <v>116061301.66640851</v>
      </c>
      <c r="S81" s="58">
        <v>2524216</v>
      </c>
    </row>
    <row r="82" spans="1:19" x14ac:dyDescent="0.25">
      <c r="A82" s="49" t="s">
        <v>177</v>
      </c>
      <c r="B82" s="49" t="s">
        <v>178</v>
      </c>
      <c r="C82" s="50">
        <v>36.397702463022505</v>
      </c>
      <c r="D82" s="51">
        <f>VLOOKUP(B82,'Costdrivere 2021'!B:M,12,0)</f>
        <v>1.9115740962987855E-2</v>
      </c>
      <c r="E82" s="52">
        <f>SUM(VLOOKUP($B82,'Costdrivere 2021'!$B$4:$L$105,2,FALSE),VLOOKUP($B82,'Costdrivere 2021'!$B$4:$L$105,3,FALSE),VLOOKUP($B82,'Costdrivere 2021'!$B$4:$L$105,4,FALSE),VLOOKUP($B82,'Costdrivere 2021'!$B$4:$L$105,5,FALSE),VLOOKUP($B82,'Costdrivere 2021'!$B$4:$L$105,6,FALSE),VLOOKUP($B82,'Costdrivere 2021'!$B$4:$L$105,7,FALSE),VLOOKUP($B82,'Costdrivere 2021'!$B$4:$L$105,8,FALSE),VLOOKUP($B82,'Costdrivere 2021'!$B$4:$L$105,9,FALSE),VLOOKUP($B82,'Costdrivere 2021'!$B$4:$L$105,10,FALSE),VLOOKUP($B82,'Costdrivere 2021'!$B$4:$L$105,11,FALSE))</f>
        <v>24202834.937261708</v>
      </c>
      <c r="F82" s="52">
        <f>VLOOKUP(B82,'Costdrivere 2021'!B:AP,39,0)+VLOOKUP(B82,'Costdrivere 2021'!B:AP,40,0)+VLOOKUP(B82,'Costdrivere 2021'!B:AP,41,0)</f>
        <v>99259626.279227942</v>
      </c>
      <c r="G82" s="53">
        <v>28343173.831700001</v>
      </c>
      <c r="H82" s="5">
        <v>48820365.675078101</v>
      </c>
      <c r="I82" s="54">
        <v>1512256.0306000002</v>
      </c>
      <c r="J82" s="54">
        <f>VLOOKUP(B82,'Gennemførte investeringer'!B:P,15,0)</f>
        <v>12857967.432515113</v>
      </c>
      <c r="K82" s="55">
        <f t="shared" si="5"/>
        <v>63190589.13819322</v>
      </c>
      <c r="L82" s="53">
        <f t="shared" si="6"/>
        <v>91533762.969893217</v>
      </c>
      <c r="M82" s="56">
        <v>0</v>
      </c>
      <c r="N82" s="52">
        <v>0</v>
      </c>
      <c r="O82" s="57">
        <v>0</v>
      </c>
      <c r="P82" s="53">
        <f t="shared" si="7"/>
        <v>28343173.831700001</v>
      </c>
      <c r="Q82" s="53">
        <f t="shared" si="8"/>
        <v>63190589.13819322</v>
      </c>
      <c r="R82" s="53">
        <f t="shared" si="9"/>
        <v>91533762.969893217</v>
      </c>
      <c r="S82" s="58">
        <v>0</v>
      </c>
    </row>
    <row r="83" spans="1:19" x14ac:dyDescent="0.25">
      <c r="A83" s="49" t="s">
        <v>179</v>
      </c>
      <c r="B83" s="49" t="s">
        <v>180</v>
      </c>
      <c r="C83" s="50">
        <v>40.591630901226765</v>
      </c>
      <c r="D83" s="51">
        <f>VLOOKUP(B83,'Costdrivere 2021'!B:M,12,0)</f>
        <v>4.1182872013248155E-2</v>
      </c>
      <c r="E83" s="52">
        <f>SUM(VLOOKUP($B83,'Costdrivere 2021'!$B$4:$L$105,2,FALSE),VLOOKUP($B83,'Costdrivere 2021'!$B$4:$L$105,3,FALSE),VLOOKUP($B83,'Costdrivere 2021'!$B$4:$L$105,4,FALSE),VLOOKUP($B83,'Costdrivere 2021'!$B$4:$L$105,5,FALSE),VLOOKUP($B83,'Costdrivere 2021'!$B$4:$L$105,6,FALSE),VLOOKUP($B83,'Costdrivere 2021'!$B$4:$L$105,7,FALSE),VLOOKUP($B83,'Costdrivere 2021'!$B$4:$L$105,8,FALSE),VLOOKUP($B83,'Costdrivere 2021'!$B$4:$L$105,9,FALSE),VLOOKUP($B83,'Costdrivere 2021'!$B$4:$L$105,10,FALSE),VLOOKUP($B83,'Costdrivere 2021'!$B$4:$L$105,11,FALSE))</f>
        <v>11411302.248904936</v>
      </c>
      <c r="F83" s="52">
        <f>VLOOKUP(B83,'Costdrivere 2021'!B:AP,39,0)+VLOOKUP(B83,'Costdrivere 2021'!B:AP,40,0)+VLOOKUP(B83,'Costdrivere 2021'!B:AP,41,0)</f>
        <v>31342152.706298448</v>
      </c>
      <c r="G83" s="53">
        <v>11989234.340000002</v>
      </c>
      <c r="H83" s="5">
        <v>17338420.872370604</v>
      </c>
      <c r="I83" s="54">
        <v>1078040.8335000002</v>
      </c>
      <c r="J83" s="54">
        <f>VLOOKUP(B83,'Gennemførte investeringer'!B:P,15,0)</f>
        <v>5136414.6822429402</v>
      </c>
      <c r="K83" s="55">
        <f t="shared" si="5"/>
        <v>23552876.388113547</v>
      </c>
      <c r="L83" s="53">
        <f t="shared" si="6"/>
        <v>35542110.728113547</v>
      </c>
      <c r="M83" s="56">
        <v>0</v>
      </c>
      <c r="N83" s="52">
        <v>0</v>
      </c>
      <c r="O83" s="57">
        <v>0</v>
      </c>
      <c r="P83" s="53">
        <f t="shared" si="7"/>
        <v>11989234.340000002</v>
      </c>
      <c r="Q83" s="53">
        <f t="shared" si="8"/>
        <v>23552876.388113547</v>
      </c>
      <c r="R83" s="53">
        <f t="shared" si="9"/>
        <v>35542110.728113547</v>
      </c>
      <c r="S83" s="58">
        <v>0</v>
      </c>
    </row>
    <row r="84" spans="1:19" x14ac:dyDescent="0.25">
      <c r="A84" s="49" t="s">
        <v>181</v>
      </c>
      <c r="B84" s="49" t="s">
        <v>182</v>
      </c>
      <c r="C84" s="59">
        <v>31.255078437265571</v>
      </c>
      <c r="D84" s="60">
        <f>VLOOKUP(B84,'Costdrivere 2021'!B:M,12,0)</f>
        <v>0</v>
      </c>
      <c r="E84" s="61">
        <f>SUM(VLOOKUP($B84,'Costdrivere 2021'!$B$4:$L$105,2,FALSE),VLOOKUP($B84,'Costdrivere 2021'!$B$4:$L$105,3,FALSE),VLOOKUP($B84,'Costdrivere 2021'!$B$4:$L$105,4,FALSE),VLOOKUP($B84,'Costdrivere 2021'!$B$4:$L$105,5,FALSE),VLOOKUP($B84,'Costdrivere 2021'!$B$4:$L$105,6,FALSE),VLOOKUP($B84,'Costdrivere 2021'!$B$4:$L$105,7,FALSE),VLOOKUP($B84,'Costdrivere 2021'!$B$4:$L$105,8,FALSE),VLOOKUP($B84,'Costdrivere 2021'!$B$4:$L$105,9,FALSE),VLOOKUP($B84,'Costdrivere 2021'!$B$4:$L$105,10,FALSE),VLOOKUP($B84,'Costdrivere 2021'!$B$4:$L$105,11,FALSE))</f>
        <v>1959852.6704303247</v>
      </c>
      <c r="F84" s="61" t="e">
        <f>VLOOKUP(B84,'Costdrivere 2021'!B:AP,39,0)+VLOOKUP(B84,'Costdrivere 2021'!B:AP,40,0)+VLOOKUP(B84,'Costdrivere 2021'!B:AP,41,0)</f>
        <v>#N/A</v>
      </c>
      <c r="G84" s="53">
        <v>16038384.585600002</v>
      </c>
      <c r="H84" s="5">
        <v>28956712.321653645</v>
      </c>
      <c r="I84" s="54">
        <v>2826810.7929000002</v>
      </c>
      <c r="J84" s="54">
        <f>VLOOKUP(B84,'Gennemførte investeringer'!B:P,15,0)</f>
        <v>8171400.0121542457</v>
      </c>
      <c r="K84" s="55">
        <f t="shared" si="5"/>
        <v>39954923.126707889</v>
      </c>
      <c r="L84" s="53">
        <f t="shared" si="6"/>
        <v>55993307.712307893</v>
      </c>
      <c r="M84" s="56">
        <v>0</v>
      </c>
      <c r="N84" s="52">
        <v>0</v>
      </c>
      <c r="O84" s="57">
        <v>0</v>
      </c>
      <c r="P84" s="53">
        <f t="shared" si="7"/>
        <v>16038384.585600002</v>
      </c>
      <c r="Q84" s="53">
        <f t="shared" si="8"/>
        <v>39954923.126707889</v>
      </c>
      <c r="R84" s="53">
        <f t="shared" si="9"/>
        <v>55993307.712307893</v>
      </c>
      <c r="S84" s="58">
        <v>0</v>
      </c>
    </row>
    <row r="85" spans="1:19" x14ac:dyDescent="0.25">
      <c r="A85" s="49" t="s">
        <v>183</v>
      </c>
      <c r="B85" s="49" t="s">
        <v>184</v>
      </c>
      <c r="C85" s="50">
        <v>29.776801206757181</v>
      </c>
      <c r="D85" s="51">
        <f>VLOOKUP(B85,'Costdrivere 2021'!B:M,12,0)</f>
        <v>1.9412019022913968E-2</v>
      </c>
      <c r="E85" s="52">
        <f>SUM(VLOOKUP($B85,'Costdrivere 2021'!$B$4:$L$105,2,FALSE),VLOOKUP($B85,'Costdrivere 2021'!$B$4:$L$105,3,FALSE),VLOOKUP($B85,'Costdrivere 2021'!$B$4:$L$105,4,FALSE),VLOOKUP($B85,'Costdrivere 2021'!$B$4:$L$105,5,FALSE),VLOOKUP($B85,'Costdrivere 2021'!$B$4:$L$105,6,FALSE),VLOOKUP($B85,'Costdrivere 2021'!$B$4:$L$105,7,FALSE),VLOOKUP($B85,'Costdrivere 2021'!$B$4:$L$105,8,FALSE),VLOOKUP($B85,'Costdrivere 2021'!$B$4:$L$105,9,FALSE),VLOOKUP($B85,'Costdrivere 2021'!$B$4:$L$105,10,FALSE),VLOOKUP($B85,'Costdrivere 2021'!$B$4:$L$105,11,FALSE))</f>
        <v>16606099.48378581</v>
      </c>
      <c r="F85" s="52">
        <f>VLOOKUP(B85,'Costdrivere 2021'!B:AP,39,0)+VLOOKUP(B85,'Costdrivere 2021'!B:AP,40,0)+VLOOKUP(B85,'Costdrivere 2021'!B:AP,41,0)</f>
        <v>47531225.67813877</v>
      </c>
      <c r="G85" s="53">
        <v>15591644.191300001</v>
      </c>
      <c r="H85" s="5">
        <v>31242835.934056811</v>
      </c>
      <c r="I85" s="54">
        <v>1032899.3566000001</v>
      </c>
      <c r="J85" s="54">
        <f>VLOOKUP(B85,'Gennemførte investeringer'!B:P,15,0)</f>
        <v>8961366.874369476</v>
      </c>
      <c r="K85" s="55">
        <f t="shared" si="5"/>
        <v>41237102.165026292</v>
      </c>
      <c r="L85" s="53">
        <f t="shared" si="6"/>
        <v>56828746.356326297</v>
      </c>
      <c r="M85" s="56">
        <v>0</v>
      </c>
      <c r="N85" s="52">
        <v>0</v>
      </c>
      <c r="O85" s="57">
        <v>0</v>
      </c>
      <c r="P85" s="53">
        <f t="shared" si="7"/>
        <v>15591644.191300001</v>
      </c>
      <c r="Q85" s="53">
        <f t="shared" si="8"/>
        <v>41237102.165026292</v>
      </c>
      <c r="R85" s="53">
        <f t="shared" si="9"/>
        <v>56828746.356326297</v>
      </c>
      <c r="S85" s="58">
        <v>0</v>
      </c>
    </row>
    <row r="86" spans="1:19" x14ac:dyDescent="0.25">
      <c r="A86" s="49" t="s">
        <v>185</v>
      </c>
      <c r="B86" s="49" t="s">
        <v>186</v>
      </c>
      <c r="C86" s="50">
        <v>38.781758216327944</v>
      </c>
      <c r="D86" s="51">
        <f>VLOOKUP(B86,'Costdrivere 2021'!B:M,12,0)</f>
        <v>3.0341941999711443E-2</v>
      </c>
      <c r="E86" s="52">
        <f>SUM(VLOOKUP($B86,'Costdrivere 2021'!$B$4:$L$105,2,FALSE),VLOOKUP($B86,'Costdrivere 2021'!$B$4:$L$105,3,FALSE),VLOOKUP($B86,'Costdrivere 2021'!$B$4:$L$105,4,FALSE),VLOOKUP($B86,'Costdrivere 2021'!$B$4:$L$105,5,FALSE),VLOOKUP($B86,'Costdrivere 2021'!$B$4:$L$105,6,FALSE),VLOOKUP($B86,'Costdrivere 2021'!$B$4:$L$105,7,FALSE),VLOOKUP($B86,'Costdrivere 2021'!$B$4:$L$105,8,FALSE),VLOOKUP($B86,'Costdrivere 2021'!$B$4:$L$105,9,FALSE),VLOOKUP($B86,'Costdrivere 2021'!$B$4:$L$105,10,FALSE),VLOOKUP($B86,'Costdrivere 2021'!$B$4:$L$105,11,FALSE))</f>
        <v>15121736.440939352</v>
      </c>
      <c r="F86" s="52">
        <f>VLOOKUP(B86,'Costdrivere 2021'!B:AP,39,0)+VLOOKUP(B86,'Costdrivere 2021'!B:AP,40,0)+VLOOKUP(B86,'Costdrivere 2021'!B:AP,41,0)</f>
        <v>38552493.285110429</v>
      </c>
      <c r="G86" s="53">
        <v>13157113.6654</v>
      </c>
      <c r="H86" s="5">
        <v>20307506.43359017</v>
      </c>
      <c r="I86" s="54">
        <v>612221.68640000001</v>
      </c>
      <c r="J86" s="54">
        <f>VLOOKUP(B86,'Gennemførte investeringer'!B:P,15,0)</f>
        <v>3604743.2434245325</v>
      </c>
      <c r="K86" s="55">
        <f t="shared" si="5"/>
        <v>24524471.363414701</v>
      </c>
      <c r="L86" s="53">
        <f t="shared" si="6"/>
        <v>37681585.028814703</v>
      </c>
      <c r="M86" s="56">
        <v>0</v>
      </c>
      <c r="N86" s="52">
        <v>0</v>
      </c>
      <c r="O86" s="57">
        <v>0</v>
      </c>
      <c r="P86" s="53">
        <f t="shared" si="7"/>
        <v>13157113.6654</v>
      </c>
      <c r="Q86" s="53">
        <f t="shared" si="8"/>
        <v>24524471.363414701</v>
      </c>
      <c r="R86" s="53">
        <f t="shared" si="9"/>
        <v>37681585.028814703</v>
      </c>
      <c r="S86" s="58">
        <v>0</v>
      </c>
    </row>
    <row r="87" spans="1:19" x14ac:dyDescent="0.25">
      <c r="A87" s="49" t="s">
        <v>187</v>
      </c>
      <c r="B87" s="49" t="s">
        <v>188</v>
      </c>
      <c r="C87" s="50">
        <v>31.147943594715144</v>
      </c>
      <c r="D87" s="51">
        <f>VLOOKUP(B87,'Costdrivere 2021'!B:M,12,0)</f>
        <v>3.4549925502404516E-2</v>
      </c>
      <c r="E87" s="52">
        <f>SUM(VLOOKUP($B87,'Costdrivere 2021'!$B$4:$L$105,2,FALSE),VLOOKUP($B87,'Costdrivere 2021'!$B$4:$L$105,3,FALSE),VLOOKUP($B87,'Costdrivere 2021'!$B$4:$L$105,4,FALSE),VLOOKUP($B87,'Costdrivere 2021'!$B$4:$L$105,5,FALSE),VLOOKUP($B87,'Costdrivere 2021'!$B$4:$L$105,6,FALSE),VLOOKUP($B87,'Costdrivere 2021'!$B$4:$L$105,7,FALSE),VLOOKUP($B87,'Costdrivere 2021'!$B$4:$L$105,8,FALSE),VLOOKUP($B87,'Costdrivere 2021'!$B$4:$L$105,9,FALSE),VLOOKUP($B87,'Costdrivere 2021'!$B$4:$L$105,10,FALSE),VLOOKUP($B87,'Costdrivere 2021'!$B$4:$L$105,11,FALSE))</f>
        <v>35591464.132175304</v>
      </c>
      <c r="F87" s="52">
        <f>VLOOKUP(B87,'Costdrivere 2021'!B:AP,39,0)+VLOOKUP(B87,'Costdrivere 2021'!B:AP,40,0)+VLOOKUP(B87,'Costdrivere 2021'!B:AP,41,0)</f>
        <v>108860329.99024811</v>
      </c>
      <c r="G87" s="53">
        <v>35649503.415100001</v>
      </c>
      <c r="H87" s="5">
        <v>59234956.704455689</v>
      </c>
      <c r="I87" s="54">
        <v>10048049.5</v>
      </c>
      <c r="J87" s="54">
        <f>VLOOKUP(B87,'Gennemførte investeringer'!B:P,15,0)</f>
        <v>15653812.317297369</v>
      </c>
      <c r="K87" s="55">
        <f t="shared" si="5"/>
        <v>84936818.521753058</v>
      </c>
      <c r="L87" s="53">
        <f t="shared" si="6"/>
        <v>120586321.93685305</v>
      </c>
      <c r="M87" s="56">
        <v>0</v>
      </c>
      <c r="N87" s="52">
        <v>0</v>
      </c>
      <c r="O87" s="57">
        <v>0</v>
      </c>
      <c r="P87" s="53">
        <f t="shared" si="7"/>
        <v>35649503.415100001</v>
      </c>
      <c r="Q87" s="53">
        <f t="shared" si="8"/>
        <v>84936818.521753058</v>
      </c>
      <c r="R87" s="53">
        <f t="shared" si="9"/>
        <v>120586321.93685305</v>
      </c>
      <c r="S87" s="58">
        <v>0</v>
      </c>
    </row>
    <row r="88" spans="1:19" x14ac:dyDescent="0.25">
      <c r="A88" s="49" t="s">
        <v>189</v>
      </c>
      <c r="B88" s="49" t="s">
        <v>190</v>
      </c>
      <c r="C88" s="50">
        <v>28.104671130188926</v>
      </c>
      <c r="D88" s="51">
        <f>VLOOKUP(B88,'Costdrivere 2021'!B:M,12,0)</f>
        <v>2.5722961924783929E-2</v>
      </c>
      <c r="E88" s="52">
        <f>SUM(VLOOKUP($B88,'Costdrivere 2021'!$B$4:$L$105,2,FALSE),VLOOKUP($B88,'Costdrivere 2021'!$B$4:$L$105,3,FALSE),VLOOKUP($B88,'Costdrivere 2021'!$B$4:$L$105,4,FALSE),VLOOKUP($B88,'Costdrivere 2021'!$B$4:$L$105,5,FALSE),VLOOKUP($B88,'Costdrivere 2021'!$B$4:$L$105,6,FALSE),VLOOKUP($B88,'Costdrivere 2021'!$B$4:$L$105,7,FALSE),VLOOKUP($B88,'Costdrivere 2021'!$B$4:$L$105,8,FALSE),VLOOKUP($B88,'Costdrivere 2021'!$B$4:$L$105,9,FALSE),VLOOKUP($B88,'Costdrivere 2021'!$B$4:$L$105,10,FALSE),VLOOKUP($B88,'Costdrivere 2021'!$B$4:$L$105,11,FALSE))</f>
        <v>25475431.586589187</v>
      </c>
      <c r="F88" s="52">
        <f>VLOOKUP(B88,'Costdrivere 2021'!B:AP,39,0)+VLOOKUP(B88,'Costdrivere 2021'!B:AP,40,0)+VLOOKUP(B88,'Costdrivere 2021'!B:AP,41,0)</f>
        <v>80617348.102169335</v>
      </c>
      <c r="G88" s="53">
        <v>25522021.279579002</v>
      </c>
      <c r="H88" s="5">
        <v>39600749.922940575</v>
      </c>
      <c r="I88" s="54">
        <v>1611299.8</v>
      </c>
      <c r="J88" s="54">
        <f>VLOOKUP(B88,'Gennemførte investeringer'!B:P,15,0)</f>
        <v>13260183.927717611</v>
      </c>
      <c r="K88" s="55">
        <f t="shared" si="5"/>
        <v>54472233.650658183</v>
      </c>
      <c r="L88" s="53">
        <f t="shared" si="6"/>
        <v>79994254.930237189</v>
      </c>
      <c r="M88" s="56">
        <v>0</v>
      </c>
      <c r="N88" s="52">
        <v>0</v>
      </c>
      <c r="O88" s="57">
        <v>0</v>
      </c>
      <c r="P88" s="53">
        <f t="shared" si="7"/>
        <v>25522021.279579002</v>
      </c>
      <c r="Q88" s="53">
        <f t="shared" si="8"/>
        <v>54472233.650658183</v>
      </c>
      <c r="R88" s="53">
        <f t="shared" si="9"/>
        <v>79994254.930237189</v>
      </c>
      <c r="S88" s="58">
        <v>0</v>
      </c>
    </row>
    <row r="89" spans="1:19" x14ac:dyDescent="0.25">
      <c r="A89" s="49" t="s">
        <v>191</v>
      </c>
      <c r="B89" s="49" t="s">
        <v>192</v>
      </c>
      <c r="C89" s="50">
        <v>32.871024422993791</v>
      </c>
      <c r="D89" s="51">
        <f>VLOOKUP(B89,'Costdrivere 2021'!B:M,12,0)</f>
        <v>3.1015025206761342E-2</v>
      </c>
      <c r="E89" s="52">
        <f>SUM(VLOOKUP($B89,'Costdrivere 2021'!$B$4:$L$105,2,FALSE),VLOOKUP($B89,'Costdrivere 2021'!$B$4:$L$105,3,FALSE),VLOOKUP($B89,'Costdrivere 2021'!$B$4:$L$105,4,FALSE),VLOOKUP($B89,'Costdrivere 2021'!$B$4:$L$105,5,FALSE),VLOOKUP($B89,'Costdrivere 2021'!$B$4:$L$105,6,FALSE),VLOOKUP($B89,'Costdrivere 2021'!$B$4:$L$105,7,FALSE),VLOOKUP($B89,'Costdrivere 2021'!$B$4:$L$105,8,FALSE),VLOOKUP($B89,'Costdrivere 2021'!$B$4:$L$105,9,FALSE),VLOOKUP($B89,'Costdrivere 2021'!$B$4:$L$105,10,FALSE),VLOOKUP($B89,'Costdrivere 2021'!$B$4:$L$105,11,FALSE))</f>
        <v>52108018.015970603</v>
      </c>
      <c r="F89" s="52">
        <f>VLOOKUP(B89,'Costdrivere 2021'!B:AP,39,0)+VLOOKUP(B89,'Costdrivere 2021'!B:AP,40,0)+VLOOKUP(B89,'Costdrivere 2021'!B:AP,41,0)</f>
        <v>140431321.84902373</v>
      </c>
      <c r="G89" s="53">
        <v>42094376.803457998</v>
      </c>
      <c r="H89" s="5">
        <v>87253543.475641385</v>
      </c>
      <c r="I89" s="54">
        <v>3902837.0000000005</v>
      </c>
      <c r="J89" s="54">
        <f>VLOOKUP(B89,'Gennemførte investeringer'!B:P,15,0)</f>
        <v>25353867.422960911</v>
      </c>
      <c r="K89" s="55">
        <f t="shared" si="5"/>
        <v>116510247.89860229</v>
      </c>
      <c r="L89" s="53">
        <f t="shared" si="6"/>
        <v>158604624.70206028</v>
      </c>
      <c r="M89" s="56">
        <v>0</v>
      </c>
      <c r="N89" s="52">
        <v>0</v>
      </c>
      <c r="O89" s="57">
        <v>0</v>
      </c>
      <c r="P89" s="53">
        <f t="shared" si="7"/>
        <v>42094376.803457998</v>
      </c>
      <c r="Q89" s="53">
        <f t="shared" si="8"/>
        <v>116510247.89860229</v>
      </c>
      <c r="R89" s="53">
        <f t="shared" si="9"/>
        <v>158604624.70206028</v>
      </c>
      <c r="S89" s="58">
        <v>0</v>
      </c>
    </row>
    <row r="90" spans="1:19" x14ac:dyDescent="0.25">
      <c r="A90" s="49" t="s">
        <v>193</v>
      </c>
      <c r="B90" s="49" t="s">
        <v>194</v>
      </c>
      <c r="C90" s="50">
        <v>22.261430164760377</v>
      </c>
      <c r="D90" s="51">
        <f>VLOOKUP(B90,'Costdrivere 2021'!B:M,12,0)</f>
        <v>0</v>
      </c>
      <c r="E90" s="52">
        <f>SUM(VLOOKUP($B90,'Costdrivere 2021'!$B$4:$L$105,2,FALSE),VLOOKUP($B90,'Costdrivere 2021'!$B$4:$L$105,3,FALSE),VLOOKUP($B90,'Costdrivere 2021'!$B$4:$L$105,4,FALSE),VLOOKUP($B90,'Costdrivere 2021'!$B$4:$L$105,5,FALSE),VLOOKUP($B90,'Costdrivere 2021'!$B$4:$L$105,6,FALSE),VLOOKUP($B90,'Costdrivere 2021'!$B$4:$L$105,7,FALSE),VLOOKUP($B90,'Costdrivere 2021'!$B$4:$L$105,8,FALSE),VLOOKUP($B90,'Costdrivere 2021'!$B$4:$L$105,9,FALSE),VLOOKUP($B90,'Costdrivere 2021'!$B$4:$L$105,10,FALSE),VLOOKUP($B90,'Costdrivere 2021'!$B$4:$L$105,11,FALSE))</f>
        <v>27996836.945964422</v>
      </c>
      <c r="F90" s="52">
        <f>VLOOKUP(B90,'Costdrivere 2021'!B:AP,39,0)+VLOOKUP(B90,'Costdrivere 2021'!B:AP,40,0)+VLOOKUP(B90,'Costdrivere 2021'!B:AP,41,0)</f>
        <v>29305496.314856905</v>
      </c>
      <c r="G90" s="53">
        <v>21463856.754700001</v>
      </c>
      <c r="H90" s="5">
        <v>8718506.2259247843</v>
      </c>
      <c r="I90" s="54">
        <v>391968.24070000002</v>
      </c>
      <c r="J90" s="54">
        <f>VLOOKUP(B90,'Gennemførte investeringer'!B:P,15,0)</f>
        <v>4926480.9145391732</v>
      </c>
      <c r="K90" s="55">
        <f t="shared" si="5"/>
        <v>14036955.381163958</v>
      </c>
      <c r="L90" s="53">
        <f t="shared" si="6"/>
        <v>35500812.13586396</v>
      </c>
      <c r="M90" s="56">
        <v>396967.51146647561</v>
      </c>
      <c r="N90" s="52">
        <v>0</v>
      </c>
      <c r="O90" s="57">
        <v>0</v>
      </c>
      <c r="P90" s="53">
        <f t="shared" si="7"/>
        <v>21463856.754700001</v>
      </c>
      <c r="Q90" s="53">
        <f t="shared" si="8"/>
        <v>13639987.869697483</v>
      </c>
      <c r="R90" s="53">
        <f t="shared" si="9"/>
        <v>35103844.624397486</v>
      </c>
      <c r="S90" s="58">
        <v>0</v>
      </c>
    </row>
    <row r="91" spans="1:19" x14ac:dyDescent="0.25">
      <c r="A91" s="49" t="s">
        <v>195</v>
      </c>
      <c r="B91" s="49" t="s">
        <v>196</v>
      </c>
      <c r="C91" s="50">
        <v>35.057737101321159</v>
      </c>
      <c r="D91" s="51">
        <f>VLOOKUP(B91,'Costdrivere 2021'!B:M,12,0)</f>
        <v>2.7438716444582567E-2</v>
      </c>
      <c r="E91" s="52">
        <f>SUM(VLOOKUP($B91,'Costdrivere 2021'!$B$4:$L$105,2,FALSE),VLOOKUP($B91,'Costdrivere 2021'!$B$4:$L$105,3,FALSE),VLOOKUP($B91,'Costdrivere 2021'!$B$4:$L$105,4,FALSE),VLOOKUP($B91,'Costdrivere 2021'!$B$4:$L$105,5,FALSE),VLOOKUP($B91,'Costdrivere 2021'!$B$4:$L$105,6,FALSE),VLOOKUP($B91,'Costdrivere 2021'!$B$4:$L$105,7,FALSE),VLOOKUP($B91,'Costdrivere 2021'!$B$4:$L$105,8,FALSE),VLOOKUP($B91,'Costdrivere 2021'!$B$4:$L$105,9,FALSE),VLOOKUP($B91,'Costdrivere 2021'!$B$4:$L$105,10,FALSE),VLOOKUP($B91,'Costdrivere 2021'!$B$4:$L$105,11,FALSE))</f>
        <v>13755535.589366063</v>
      </c>
      <c r="F91" s="52">
        <f>VLOOKUP(B91,'Costdrivere 2021'!B:AP,39,0)+VLOOKUP(B91,'Costdrivere 2021'!B:AP,40,0)+VLOOKUP(B91,'Costdrivere 2021'!B:AP,41,0)</f>
        <v>95948265.98999998</v>
      </c>
      <c r="G91" s="53">
        <v>15345721.315100001</v>
      </c>
      <c r="H91" s="5">
        <v>42495165.795964189</v>
      </c>
      <c r="I91" s="54">
        <v>1521624.8460000001</v>
      </c>
      <c r="J91" s="54">
        <f>VLOOKUP(B91,'Gennemførte investeringer'!B:P,15,0)</f>
        <v>7385499.2910133079</v>
      </c>
      <c r="K91" s="55">
        <f t="shared" si="5"/>
        <v>51402289.932977498</v>
      </c>
      <c r="L91" s="53">
        <f t="shared" si="6"/>
        <v>66748011.248077497</v>
      </c>
      <c r="M91" s="56">
        <v>0</v>
      </c>
      <c r="N91" s="52">
        <v>0</v>
      </c>
      <c r="O91" s="57">
        <v>0</v>
      </c>
      <c r="P91" s="53">
        <f t="shared" si="7"/>
        <v>15345721.315100001</v>
      </c>
      <c r="Q91" s="53">
        <f t="shared" si="8"/>
        <v>51402289.932977498</v>
      </c>
      <c r="R91" s="53">
        <f t="shared" si="9"/>
        <v>66748011.248077497</v>
      </c>
      <c r="S91" s="58">
        <v>0</v>
      </c>
    </row>
    <row r="92" spans="1:19" x14ac:dyDescent="0.25">
      <c r="A92" s="49" t="s">
        <v>197</v>
      </c>
      <c r="B92" s="49" t="s">
        <v>198</v>
      </c>
      <c r="C92" s="50">
        <v>35.625248473065909</v>
      </c>
      <c r="D92" s="51">
        <f>VLOOKUP(B92,'Costdrivere 2021'!B:M,12,0)</f>
        <v>2.882788051209104E-2</v>
      </c>
      <c r="E92" s="52">
        <f>SUM(VLOOKUP($B92,'Costdrivere 2021'!$B$4:$L$105,2,FALSE),VLOOKUP($B92,'Costdrivere 2021'!$B$4:$L$105,3,FALSE),VLOOKUP($B92,'Costdrivere 2021'!$B$4:$L$105,4,FALSE),VLOOKUP($B92,'Costdrivere 2021'!$B$4:$L$105,5,FALSE),VLOOKUP($B92,'Costdrivere 2021'!$B$4:$L$105,6,FALSE),VLOOKUP($B92,'Costdrivere 2021'!$B$4:$L$105,7,FALSE),VLOOKUP($B92,'Costdrivere 2021'!$B$4:$L$105,8,FALSE),VLOOKUP($B92,'Costdrivere 2021'!$B$4:$L$105,9,FALSE),VLOOKUP($B92,'Costdrivere 2021'!$B$4:$L$105,10,FALSE),VLOOKUP($B92,'Costdrivere 2021'!$B$4:$L$105,11,FALSE))</f>
        <v>28370756.573353175</v>
      </c>
      <c r="F92" s="52">
        <f>VLOOKUP(B92,'Costdrivere 2021'!B:AP,39,0)+VLOOKUP(B92,'Costdrivere 2021'!B:AP,40,0)+VLOOKUP(B92,'Costdrivere 2021'!B:AP,41,0)</f>
        <v>116810796.9528112</v>
      </c>
      <c r="G92" s="53">
        <v>29289658.959300004</v>
      </c>
      <c r="H92" s="5">
        <v>43767826.055702642</v>
      </c>
      <c r="I92" s="54">
        <v>1747930.1973000001</v>
      </c>
      <c r="J92" s="54">
        <f>VLOOKUP(B92,'Gennemførte investeringer'!B:P,15,0)</f>
        <v>8723061.0184566267</v>
      </c>
      <c r="K92" s="55">
        <f t="shared" si="5"/>
        <v>54238817.271459267</v>
      </c>
      <c r="L92" s="53">
        <f t="shared" si="6"/>
        <v>83528476.230759263</v>
      </c>
      <c r="M92" s="56">
        <v>14930.115645660488</v>
      </c>
      <c r="N92" s="52">
        <v>0</v>
      </c>
      <c r="O92" s="57">
        <v>0</v>
      </c>
      <c r="P92" s="53">
        <f t="shared" si="7"/>
        <v>29289658.959300004</v>
      </c>
      <c r="Q92" s="53">
        <f t="shared" si="8"/>
        <v>54223887.155813605</v>
      </c>
      <c r="R92" s="53">
        <f t="shared" si="9"/>
        <v>83513546.115113616</v>
      </c>
      <c r="S92" s="58">
        <v>0</v>
      </c>
    </row>
    <row r="93" spans="1:19" x14ac:dyDescent="0.25">
      <c r="A93" s="49" t="s">
        <v>199</v>
      </c>
      <c r="B93" s="49" t="s">
        <v>200</v>
      </c>
      <c r="C93" s="50">
        <v>35.738823097934571</v>
      </c>
      <c r="D93" s="51">
        <f>VLOOKUP(B93,'Costdrivere 2021'!B:M,12,0)</f>
        <v>5.632549019607843E-2</v>
      </c>
      <c r="E93" s="52">
        <f>SUM(VLOOKUP($B93,'Costdrivere 2021'!$B$4:$L$105,2,FALSE),VLOOKUP($B93,'Costdrivere 2021'!$B$4:$L$105,3,FALSE),VLOOKUP($B93,'Costdrivere 2021'!$B$4:$L$105,4,FALSE),VLOOKUP($B93,'Costdrivere 2021'!$B$4:$L$105,5,FALSE),VLOOKUP($B93,'Costdrivere 2021'!$B$4:$L$105,6,FALSE),VLOOKUP($B93,'Costdrivere 2021'!$B$4:$L$105,7,FALSE),VLOOKUP($B93,'Costdrivere 2021'!$B$4:$L$105,8,FALSE),VLOOKUP($B93,'Costdrivere 2021'!$B$4:$L$105,9,FALSE),VLOOKUP($B93,'Costdrivere 2021'!$B$4:$L$105,10,FALSE),VLOOKUP($B93,'Costdrivere 2021'!$B$4:$L$105,11,FALSE))</f>
        <v>19314780.391121469</v>
      </c>
      <c r="F93" s="52">
        <f>VLOOKUP(B93,'Costdrivere 2021'!B:AP,39,0)+VLOOKUP(B93,'Costdrivere 2021'!B:AP,40,0)+VLOOKUP(B93,'Costdrivere 2021'!B:AP,41,0)</f>
        <v>48232103.829584584</v>
      </c>
      <c r="G93" s="53">
        <v>21658891.251600001</v>
      </c>
      <c r="H93" s="5">
        <v>17565058.952619169</v>
      </c>
      <c r="I93" s="54">
        <v>2476900.8882000004</v>
      </c>
      <c r="J93" s="54">
        <f>VLOOKUP(B93,'Gennemførte investeringer'!B:P,15,0)</f>
        <v>12316295.876552351</v>
      </c>
      <c r="K93" s="55">
        <f t="shared" si="5"/>
        <v>32358255.71737152</v>
      </c>
      <c r="L93" s="53">
        <f t="shared" si="6"/>
        <v>54017146.968971521</v>
      </c>
      <c r="M93" s="56">
        <v>0</v>
      </c>
      <c r="N93" s="52">
        <v>0</v>
      </c>
      <c r="O93" s="57">
        <v>0</v>
      </c>
      <c r="P93" s="53">
        <f t="shared" si="7"/>
        <v>21658891.251600001</v>
      </c>
      <c r="Q93" s="53">
        <f t="shared" si="8"/>
        <v>32358255.71737152</v>
      </c>
      <c r="R93" s="53">
        <f t="shared" si="9"/>
        <v>54017146.968971521</v>
      </c>
      <c r="S93" s="58">
        <v>0</v>
      </c>
    </row>
    <row r="94" spans="1:19" x14ac:dyDescent="0.25">
      <c r="A94" s="49" t="s">
        <v>201</v>
      </c>
      <c r="B94" s="49" t="s">
        <v>202</v>
      </c>
      <c r="C94" s="50">
        <v>33.50141207627334</v>
      </c>
      <c r="D94" s="51">
        <f>VLOOKUP(B94,'Costdrivere 2021'!B:M,12,0)</f>
        <v>6.5544664484593812E-2</v>
      </c>
      <c r="E94" s="52">
        <f>SUM(VLOOKUP($B94,'Costdrivere 2021'!$B$4:$L$105,2,FALSE),VLOOKUP($B94,'Costdrivere 2021'!$B$4:$L$105,3,FALSE),VLOOKUP($B94,'Costdrivere 2021'!$B$4:$L$105,4,FALSE),VLOOKUP($B94,'Costdrivere 2021'!$B$4:$L$105,5,FALSE),VLOOKUP($B94,'Costdrivere 2021'!$B$4:$L$105,6,FALSE),VLOOKUP($B94,'Costdrivere 2021'!$B$4:$L$105,7,FALSE),VLOOKUP($B94,'Costdrivere 2021'!$B$4:$L$105,8,FALSE),VLOOKUP($B94,'Costdrivere 2021'!$B$4:$L$105,9,FALSE),VLOOKUP($B94,'Costdrivere 2021'!$B$4:$L$105,10,FALSE),VLOOKUP($B94,'Costdrivere 2021'!$B$4:$L$105,11,FALSE))</f>
        <v>116965053.19943705</v>
      </c>
      <c r="F94" s="52">
        <f>VLOOKUP(B94,'Costdrivere 2021'!B:AP,39,0)+VLOOKUP(B94,'Costdrivere 2021'!B:AP,40,0)+VLOOKUP(B94,'Costdrivere 2021'!B:AP,41,0)</f>
        <v>333397596.3784973</v>
      </c>
      <c r="G94" s="53">
        <v>119906382.57690001</v>
      </c>
      <c r="H94" s="5">
        <v>165697612.28308451</v>
      </c>
      <c r="I94" s="54">
        <v>10029677.070400001</v>
      </c>
      <c r="J94" s="54">
        <f>VLOOKUP(B94,'Gennemførte investeringer'!B:P,15,0)</f>
        <v>71010683.830094606</v>
      </c>
      <c r="K94" s="55">
        <f t="shared" si="5"/>
        <v>246737973.18357912</v>
      </c>
      <c r="L94" s="53">
        <f t="shared" si="6"/>
        <v>366644355.76047909</v>
      </c>
      <c r="M94" s="56">
        <v>0</v>
      </c>
      <c r="N94" s="52">
        <v>0</v>
      </c>
      <c r="O94" s="57">
        <v>0</v>
      </c>
      <c r="P94" s="53">
        <f t="shared" si="7"/>
        <v>119906382.57690001</v>
      </c>
      <c r="Q94" s="53">
        <f t="shared" si="8"/>
        <v>246737973.18357912</v>
      </c>
      <c r="R94" s="53">
        <f t="shared" si="9"/>
        <v>366644355.76047909</v>
      </c>
      <c r="S94" s="58">
        <v>0</v>
      </c>
    </row>
    <row r="95" spans="1:19" x14ac:dyDescent="0.25">
      <c r="A95" s="49" t="s">
        <v>203</v>
      </c>
      <c r="B95" s="49" t="s">
        <v>204</v>
      </c>
      <c r="C95" s="50">
        <v>18.276329189560535</v>
      </c>
      <c r="D95" s="51">
        <f>VLOOKUP(B95,'Costdrivere 2021'!B:M,12,0)</f>
        <v>0</v>
      </c>
      <c r="E95" s="52">
        <f>SUM(VLOOKUP($B95,'Costdrivere 2021'!$B$4:$L$105,2,FALSE),VLOOKUP($B95,'Costdrivere 2021'!$B$4:$L$105,3,FALSE),VLOOKUP($B95,'Costdrivere 2021'!$B$4:$L$105,4,FALSE),VLOOKUP($B95,'Costdrivere 2021'!$B$4:$L$105,5,FALSE),VLOOKUP($B95,'Costdrivere 2021'!$B$4:$L$105,6,FALSE),VLOOKUP($B95,'Costdrivere 2021'!$B$4:$L$105,7,FALSE),VLOOKUP($B95,'Costdrivere 2021'!$B$4:$L$105,8,FALSE),VLOOKUP($B95,'Costdrivere 2021'!$B$4:$L$105,9,FALSE),VLOOKUP($B95,'Costdrivere 2021'!$B$4:$L$105,10,FALSE),VLOOKUP($B95,'Costdrivere 2021'!$B$4:$L$105,11,FALSE))</f>
        <v>15372230.677906796</v>
      </c>
      <c r="F95" s="52">
        <f>VLOOKUP(B95,'Costdrivere 2021'!B:AP,39,0)+VLOOKUP(B95,'Costdrivere 2021'!B:AP,40,0)+VLOOKUP(B95,'Costdrivere 2021'!B:AP,41,0)</f>
        <v>12140810.087060828</v>
      </c>
      <c r="G95" s="53">
        <v>11057421.471600002</v>
      </c>
      <c r="H95" s="5">
        <v>4666990.1314122193</v>
      </c>
      <c r="I95" s="54">
        <v>565405.70180000004</v>
      </c>
      <c r="J95" s="54">
        <f>VLOOKUP(B95,'Gennemførte investeringer'!B:P,15,0)</f>
        <v>3624875.4824230531</v>
      </c>
      <c r="K95" s="55">
        <f t="shared" si="5"/>
        <v>8857271.3156352714</v>
      </c>
      <c r="L95" s="53">
        <f t="shared" si="6"/>
        <v>19914692.787235275</v>
      </c>
      <c r="M95" s="56">
        <v>0</v>
      </c>
      <c r="N95" s="52">
        <v>0</v>
      </c>
      <c r="O95" s="57">
        <v>0</v>
      </c>
      <c r="P95" s="53">
        <f t="shared" si="7"/>
        <v>11057421.471600002</v>
      </c>
      <c r="Q95" s="53">
        <f t="shared" si="8"/>
        <v>8857271.3156352714</v>
      </c>
      <c r="R95" s="53">
        <f t="shared" si="9"/>
        <v>19914692.787235275</v>
      </c>
      <c r="S95" s="58">
        <v>0</v>
      </c>
    </row>
    <row r="96" spans="1:19" x14ac:dyDescent="0.25">
      <c r="A96" s="49" t="s">
        <v>205</v>
      </c>
      <c r="B96" s="49" t="s">
        <v>206</v>
      </c>
      <c r="C96" s="50">
        <v>32.835101884733831</v>
      </c>
      <c r="D96" s="51">
        <f>VLOOKUP(B96,'Costdrivere 2021'!B:M,12,0)</f>
        <v>2.6810702059936339E-2</v>
      </c>
      <c r="E96" s="52">
        <f>SUM(VLOOKUP($B96,'Costdrivere 2021'!$B$4:$L$105,2,FALSE),VLOOKUP($B96,'Costdrivere 2021'!$B$4:$L$105,3,FALSE),VLOOKUP($B96,'Costdrivere 2021'!$B$4:$L$105,4,FALSE),VLOOKUP($B96,'Costdrivere 2021'!$B$4:$L$105,5,FALSE),VLOOKUP($B96,'Costdrivere 2021'!$B$4:$L$105,6,FALSE),VLOOKUP($B96,'Costdrivere 2021'!$B$4:$L$105,7,FALSE),VLOOKUP($B96,'Costdrivere 2021'!$B$4:$L$105,8,FALSE),VLOOKUP($B96,'Costdrivere 2021'!$B$4:$L$105,9,FALSE),VLOOKUP($B96,'Costdrivere 2021'!$B$4:$L$105,10,FALSE),VLOOKUP($B96,'Costdrivere 2021'!$B$4:$L$105,11,FALSE))</f>
        <v>10848270.565675428</v>
      </c>
      <c r="F96" s="52">
        <f>VLOOKUP(B96,'Costdrivere 2021'!B:AP,39,0)+VLOOKUP(B96,'Costdrivere 2021'!B:AP,40,0)+VLOOKUP(B96,'Costdrivere 2021'!B:AP,41,0)</f>
        <v>84904236.364184111</v>
      </c>
      <c r="G96" s="53">
        <v>11909141.904300001</v>
      </c>
      <c r="H96" s="5">
        <v>49529395.205711395</v>
      </c>
      <c r="I96" s="54">
        <v>873642.5377000001</v>
      </c>
      <c r="J96" s="54">
        <f>VLOOKUP(B96,'Gennemførte investeringer'!B:P,15,0)</f>
        <v>11871316.458243597</v>
      </c>
      <c r="K96" s="55">
        <f t="shared" si="5"/>
        <v>62274354.201654986</v>
      </c>
      <c r="L96" s="53">
        <f t="shared" si="6"/>
        <v>74183496.10595499</v>
      </c>
      <c r="M96" s="56">
        <v>0</v>
      </c>
      <c r="N96" s="52">
        <v>0</v>
      </c>
      <c r="O96" s="57">
        <v>0</v>
      </c>
      <c r="P96" s="53">
        <f t="shared" si="7"/>
        <v>11909141.904300001</v>
      </c>
      <c r="Q96" s="53">
        <f t="shared" si="8"/>
        <v>62274354.201654986</v>
      </c>
      <c r="R96" s="53">
        <f t="shared" si="9"/>
        <v>74183496.10595499</v>
      </c>
      <c r="S96" s="58">
        <v>0</v>
      </c>
    </row>
    <row r="97" spans="1:19" x14ac:dyDescent="0.25">
      <c r="A97" s="49" t="s">
        <v>207</v>
      </c>
      <c r="B97" s="49" t="s">
        <v>208</v>
      </c>
      <c r="C97" s="50">
        <v>34.21813469648702</v>
      </c>
      <c r="D97" s="51">
        <f>VLOOKUP(B97,'Costdrivere 2021'!B:M,12,0)</f>
        <v>3.5628839314581315E-2</v>
      </c>
      <c r="E97" s="52">
        <f>SUM(VLOOKUP($B97,'Costdrivere 2021'!$B$4:$L$105,2,FALSE),VLOOKUP($B97,'Costdrivere 2021'!$B$4:$L$105,3,FALSE),VLOOKUP($B97,'Costdrivere 2021'!$B$4:$L$105,4,FALSE),VLOOKUP($B97,'Costdrivere 2021'!$B$4:$L$105,5,FALSE),VLOOKUP($B97,'Costdrivere 2021'!$B$4:$L$105,6,FALSE),VLOOKUP($B97,'Costdrivere 2021'!$B$4:$L$105,7,FALSE),VLOOKUP($B97,'Costdrivere 2021'!$B$4:$L$105,8,FALSE),VLOOKUP($B97,'Costdrivere 2021'!$B$4:$L$105,9,FALSE),VLOOKUP($B97,'Costdrivere 2021'!$B$4:$L$105,10,FALSE),VLOOKUP($B97,'Costdrivere 2021'!$B$4:$L$105,11,FALSE))</f>
        <v>61321724.179878816</v>
      </c>
      <c r="F97" s="52">
        <f>VLOOKUP(B97,'Costdrivere 2021'!B:AP,39,0)+VLOOKUP(B97,'Costdrivere 2021'!B:AP,40,0)+VLOOKUP(B97,'Costdrivere 2021'!B:AP,41,0)</f>
        <v>238851846.46447468</v>
      </c>
      <c r="G97" s="53">
        <v>60750925.653100006</v>
      </c>
      <c r="H97" s="5">
        <v>105552035.01645917</v>
      </c>
      <c r="I97" s="54">
        <v>2880640.8478000001</v>
      </c>
      <c r="J97" s="54">
        <f>VLOOKUP(B97,'Gennemførte investeringer'!B:P,15,0)</f>
        <v>30853123.026064336</v>
      </c>
      <c r="K97" s="55">
        <f t="shared" si="5"/>
        <v>139285798.89032352</v>
      </c>
      <c r="L97" s="53">
        <f t="shared" si="6"/>
        <v>200036724.54342353</v>
      </c>
      <c r="M97" s="56">
        <v>2708.9100000000003</v>
      </c>
      <c r="N97" s="52">
        <v>0</v>
      </c>
      <c r="O97" s="57">
        <v>0</v>
      </c>
      <c r="P97" s="53">
        <f t="shared" si="7"/>
        <v>60750925.653100006</v>
      </c>
      <c r="Q97" s="53">
        <f t="shared" si="8"/>
        <v>139283089.98032352</v>
      </c>
      <c r="R97" s="53">
        <f t="shared" si="9"/>
        <v>200034015.63342354</v>
      </c>
      <c r="S97" s="58">
        <v>0</v>
      </c>
    </row>
    <row r="98" spans="1:19" x14ac:dyDescent="0.25">
      <c r="A98" s="49" t="s">
        <v>209</v>
      </c>
      <c r="B98" s="49" t="s">
        <v>210</v>
      </c>
      <c r="C98" s="50">
        <v>34.849445152303922</v>
      </c>
      <c r="D98" s="51">
        <f>VLOOKUP(B98,'Costdrivere 2021'!B:M,12,0)</f>
        <v>2.4359714093943934E-2</v>
      </c>
      <c r="E98" s="52">
        <f>SUM(VLOOKUP($B98,'Costdrivere 2021'!$B$4:$L$105,2,FALSE),VLOOKUP($B98,'Costdrivere 2021'!$B$4:$L$105,3,FALSE),VLOOKUP($B98,'Costdrivere 2021'!$B$4:$L$105,4,FALSE),VLOOKUP($B98,'Costdrivere 2021'!$B$4:$L$105,5,FALSE),VLOOKUP($B98,'Costdrivere 2021'!$B$4:$L$105,6,FALSE),VLOOKUP($B98,'Costdrivere 2021'!$B$4:$L$105,7,FALSE),VLOOKUP($B98,'Costdrivere 2021'!$B$4:$L$105,8,FALSE),VLOOKUP($B98,'Costdrivere 2021'!$B$4:$L$105,9,FALSE),VLOOKUP($B98,'Costdrivere 2021'!$B$4:$L$105,10,FALSE),VLOOKUP($B98,'Costdrivere 2021'!$B$4:$L$105,11,FALSE))</f>
        <v>47484766.875683576</v>
      </c>
      <c r="F98" s="52">
        <f>VLOOKUP(B98,'Costdrivere 2021'!B:AP,39,0)+VLOOKUP(B98,'Costdrivere 2021'!B:AP,40,0)+VLOOKUP(B98,'Costdrivere 2021'!B:AP,41,0)</f>
        <v>144860967.28389323</v>
      </c>
      <c r="G98" s="53">
        <v>48492541.650613002</v>
      </c>
      <c r="H98" s="5">
        <v>63638012.457303204</v>
      </c>
      <c r="I98" s="54">
        <v>776407.16638499999</v>
      </c>
      <c r="J98" s="54">
        <f>VLOOKUP(B98,'Gennemførte investeringer'!B:P,15,0)</f>
        <v>16839137.156225514</v>
      </c>
      <c r="K98" s="55">
        <f t="shared" si="5"/>
        <v>81253556.779913723</v>
      </c>
      <c r="L98" s="53">
        <f t="shared" si="6"/>
        <v>129746098.43052673</v>
      </c>
      <c r="M98" s="56">
        <v>0</v>
      </c>
      <c r="N98" s="52">
        <v>0</v>
      </c>
      <c r="O98" s="57">
        <v>0</v>
      </c>
      <c r="P98" s="53">
        <f t="shared" si="7"/>
        <v>48492541.650613002</v>
      </c>
      <c r="Q98" s="53">
        <f t="shared" si="8"/>
        <v>81253556.779913723</v>
      </c>
      <c r="R98" s="53">
        <f t="shared" si="9"/>
        <v>129746098.43052673</v>
      </c>
      <c r="S98" s="58">
        <v>0</v>
      </c>
    </row>
    <row r="99" spans="1:19" x14ac:dyDescent="0.25">
      <c r="A99" s="49" t="s">
        <v>211</v>
      </c>
      <c r="B99" s="49" t="s">
        <v>212</v>
      </c>
      <c r="C99" s="50">
        <v>35.257416793870817</v>
      </c>
      <c r="D99" s="51">
        <f>VLOOKUP(B99,'Costdrivere 2021'!B:M,12,0)</f>
        <v>3.2107699033663492E-2</v>
      </c>
      <c r="E99" s="52">
        <f>SUM(VLOOKUP($B99,'Costdrivere 2021'!$B$4:$L$105,2,FALSE),VLOOKUP($B99,'Costdrivere 2021'!$B$4:$L$105,3,FALSE),VLOOKUP($B99,'Costdrivere 2021'!$B$4:$L$105,4,FALSE),VLOOKUP($B99,'Costdrivere 2021'!$B$4:$L$105,5,FALSE),VLOOKUP($B99,'Costdrivere 2021'!$B$4:$L$105,6,FALSE),VLOOKUP($B99,'Costdrivere 2021'!$B$4:$L$105,7,FALSE),VLOOKUP($B99,'Costdrivere 2021'!$B$4:$L$105,8,FALSE),VLOOKUP($B99,'Costdrivere 2021'!$B$4:$L$105,9,FALSE),VLOOKUP($B99,'Costdrivere 2021'!$B$4:$L$105,10,FALSE),VLOOKUP($B99,'Costdrivere 2021'!$B$4:$L$105,11,FALSE))</f>
        <v>31387387.08151865</v>
      </c>
      <c r="F99" s="52">
        <f>VLOOKUP(B99,'Costdrivere 2021'!B:AP,39,0)+VLOOKUP(B99,'Costdrivere 2021'!B:AP,40,0)+VLOOKUP(B99,'Costdrivere 2021'!B:AP,41,0)</f>
        <v>101696406.75808898</v>
      </c>
      <c r="G99" s="53">
        <v>28722366.050200004</v>
      </c>
      <c r="H99" s="5">
        <v>47778459.952717446</v>
      </c>
      <c r="I99" s="54">
        <v>1032638.4986</v>
      </c>
      <c r="J99" s="54">
        <f>VLOOKUP(B99,'Gennemførte investeringer'!B:P,15,0)</f>
        <v>10062476.522602033</v>
      </c>
      <c r="K99" s="55">
        <f t="shared" si="5"/>
        <v>58873574.973919481</v>
      </c>
      <c r="L99" s="53">
        <f t="shared" si="6"/>
        <v>87595941.024119481</v>
      </c>
      <c r="M99" s="56">
        <v>0</v>
      </c>
      <c r="N99" s="52">
        <v>0</v>
      </c>
      <c r="O99" s="57">
        <v>0</v>
      </c>
      <c r="P99" s="53">
        <f t="shared" si="7"/>
        <v>28722366.050200004</v>
      </c>
      <c r="Q99" s="53">
        <f t="shared" si="8"/>
        <v>58873574.973919481</v>
      </c>
      <c r="R99" s="53">
        <f t="shared" si="9"/>
        <v>87595941.024119481</v>
      </c>
      <c r="S99" s="58">
        <v>0</v>
      </c>
    </row>
    <row r="100" spans="1:19" x14ac:dyDescent="0.25">
      <c r="A100" s="49" t="s">
        <v>213</v>
      </c>
      <c r="B100" s="49" t="s">
        <v>214</v>
      </c>
      <c r="C100" s="50">
        <v>34.62081615426618</v>
      </c>
      <c r="D100" s="51">
        <f>VLOOKUP(B100,'Costdrivere 2021'!B:M,12,0)</f>
        <v>3.636676468748045E-2</v>
      </c>
      <c r="E100" s="52">
        <f>SUM(VLOOKUP($B100,'Costdrivere 2021'!$B$4:$L$105,2,FALSE),VLOOKUP($B100,'Costdrivere 2021'!$B$4:$L$105,3,FALSE),VLOOKUP($B100,'Costdrivere 2021'!$B$4:$L$105,4,FALSE),VLOOKUP($B100,'Costdrivere 2021'!$B$4:$L$105,5,FALSE),VLOOKUP($B100,'Costdrivere 2021'!$B$4:$L$105,6,FALSE),VLOOKUP($B100,'Costdrivere 2021'!$B$4:$L$105,7,FALSE),VLOOKUP($B100,'Costdrivere 2021'!$B$4:$L$105,8,FALSE),VLOOKUP($B100,'Costdrivere 2021'!$B$4:$L$105,9,FALSE),VLOOKUP($B100,'Costdrivere 2021'!$B$4:$L$105,10,FALSE),VLOOKUP($B100,'Costdrivere 2021'!$B$4:$L$105,11,FALSE))</f>
        <v>37616655.775565729</v>
      </c>
      <c r="F100" s="52">
        <f>VLOOKUP(B100,'Costdrivere 2021'!B:AP,39,0)+VLOOKUP(B100,'Costdrivere 2021'!B:AP,40,0)+VLOOKUP(B100,'Costdrivere 2021'!B:AP,41,0)</f>
        <v>95462594.442080557</v>
      </c>
      <c r="G100" s="53">
        <v>29331981.163200002</v>
      </c>
      <c r="H100" s="5">
        <v>50017008.041045226</v>
      </c>
      <c r="I100" s="54">
        <v>2917408.7829000005</v>
      </c>
      <c r="J100" s="54">
        <f>VLOOKUP(B100,'Gennemførte investeringer'!B:P,15,0)</f>
        <v>12143681.282740586</v>
      </c>
      <c r="K100" s="55">
        <f t="shared" si="5"/>
        <v>65078098.10668581</v>
      </c>
      <c r="L100" s="53">
        <f t="shared" si="6"/>
        <v>94410079.269885808</v>
      </c>
      <c r="M100" s="56">
        <v>0</v>
      </c>
      <c r="N100" s="52">
        <v>0</v>
      </c>
      <c r="O100" s="57">
        <v>0</v>
      </c>
      <c r="P100" s="53">
        <f t="shared" si="7"/>
        <v>29331981.163200002</v>
      </c>
      <c r="Q100" s="53">
        <f t="shared" si="8"/>
        <v>65078098.10668581</v>
      </c>
      <c r="R100" s="53">
        <f t="shared" si="9"/>
        <v>94410079.269885808</v>
      </c>
      <c r="S100" s="58">
        <v>0</v>
      </c>
    </row>
    <row r="101" spans="1:19" x14ac:dyDescent="0.25">
      <c r="A101" s="49" t="s">
        <v>215</v>
      </c>
      <c r="B101" s="49" t="s">
        <v>216</v>
      </c>
      <c r="C101" s="50">
        <v>34.720971519567748</v>
      </c>
      <c r="D101" s="51">
        <f>VLOOKUP(B101,'Costdrivere 2021'!B:M,12,0)</f>
        <v>8.349516150124231E-2</v>
      </c>
      <c r="E101" s="52">
        <f>SUM(VLOOKUP($B101,'Costdrivere 2021'!$B$4:$L$105,2,FALSE),VLOOKUP($B101,'Costdrivere 2021'!$B$4:$L$105,3,FALSE),VLOOKUP($B101,'Costdrivere 2021'!$B$4:$L$105,4,FALSE),VLOOKUP($B101,'Costdrivere 2021'!$B$4:$L$105,5,FALSE),VLOOKUP($B101,'Costdrivere 2021'!$B$4:$L$105,6,FALSE),VLOOKUP($B101,'Costdrivere 2021'!$B$4:$L$105,7,FALSE),VLOOKUP($B101,'Costdrivere 2021'!$B$4:$L$105,8,FALSE),VLOOKUP($B101,'Costdrivere 2021'!$B$4:$L$105,9,FALSE),VLOOKUP($B101,'Costdrivere 2021'!$B$4:$L$105,10,FALSE),VLOOKUP($B101,'Costdrivere 2021'!$B$4:$L$105,11,FALSE))</f>
        <v>91240934.900139228</v>
      </c>
      <c r="F101" s="52">
        <f>VLOOKUP(B101,'Costdrivere 2021'!B:AP,39,0)+VLOOKUP(B101,'Costdrivere 2021'!B:AP,40,0)+VLOOKUP(B101,'Costdrivere 2021'!B:AP,41,0)</f>
        <v>247418348.89576262</v>
      </c>
      <c r="G101" s="53">
        <v>98365875.708800003</v>
      </c>
      <c r="H101" s="5">
        <v>137111567.54622594</v>
      </c>
      <c r="I101" s="54">
        <v>2940017.1451000003</v>
      </c>
      <c r="J101" s="54">
        <f>VLOOKUP(B101,'Gennemførte investeringer'!B:P,15,0)</f>
        <v>49832040.342144877</v>
      </c>
      <c r="K101" s="55">
        <f t="shared" si="5"/>
        <v>189883625.03347081</v>
      </c>
      <c r="L101" s="53">
        <f t="shared" si="6"/>
        <v>288249500.74227083</v>
      </c>
      <c r="M101" s="56">
        <v>0</v>
      </c>
      <c r="N101" s="52">
        <v>0</v>
      </c>
      <c r="O101" s="57">
        <v>0</v>
      </c>
      <c r="P101" s="53">
        <f t="shared" si="7"/>
        <v>98365875.708800003</v>
      </c>
      <c r="Q101" s="53">
        <f t="shared" si="8"/>
        <v>189883625.03347081</v>
      </c>
      <c r="R101" s="53">
        <f t="shared" si="9"/>
        <v>288249500.74227083</v>
      </c>
      <c r="S101" s="58">
        <v>0</v>
      </c>
    </row>
    <row r="102" spans="1:19" x14ac:dyDescent="0.25">
      <c r="A102" s="49" t="s">
        <v>217</v>
      </c>
      <c r="B102" s="49" t="s">
        <v>218</v>
      </c>
      <c r="C102" s="50">
        <v>34.110005431599205</v>
      </c>
      <c r="D102" s="51">
        <f>VLOOKUP(B102,'Costdrivere 2021'!B:M,12,0)</f>
        <v>9.0203502919099246E-2</v>
      </c>
      <c r="E102" s="52">
        <f>SUM(VLOOKUP($B102,'Costdrivere 2021'!$B$4:$L$105,2,FALSE),VLOOKUP($B102,'Costdrivere 2021'!$B$4:$L$105,3,FALSE),VLOOKUP($B102,'Costdrivere 2021'!$B$4:$L$105,4,FALSE),VLOOKUP($B102,'Costdrivere 2021'!$B$4:$L$105,5,FALSE),VLOOKUP($B102,'Costdrivere 2021'!$B$4:$L$105,6,FALSE),VLOOKUP($B102,'Costdrivere 2021'!$B$4:$L$105,7,FALSE),VLOOKUP($B102,'Costdrivere 2021'!$B$4:$L$105,8,FALSE),VLOOKUP($B102,'Costdrivere 2021'!$B$4:$L$105,9,FALSE),VLOOKUP($B102,'Costdrivere 2021'!$B$4:$L$105,10,FALSE),VLOOKUP($B102,'Costdrivere 2021'!$B$4:$L$105,11,FALSE))</f>
        <v>125767053.48061916</v>
      </c>
      <c r="F102" s="52">
        <f>VLOOKUP(B102,'Costdrivere 2021'!B:AP,39,0)+VLOOKUP(B102,'Costdrivere 2021'!B:AP,40,0)+VLOOKUP(B102,'Costdrivere 2021'!B:AP,41,0)</f>
        <v>406594157.59523159</v>
      </c>
      <c r="G102" s="53">
        <v>118218418.6173</v>
      </c>
      <c r="H102" s="5">
        <v>185153405.81471556</v>
      </c>
      <c r="I102" s="54">
        <v>24672710.141400002</v>
      </c>
      <c r="J102" s="54">
        <f>VLOOKUP(B102,'Gennemførte investeringer'!B:P,15,0)</f>
        <v>85851194.079862699</v>
      </c>
      <c r="K102" s="55">
        <f t="shared" si="5"/>
        <v>295677310.03597826</v>
      </c>
      <c r="L102" s="53">
        <f t="shared" si="6"/>
        <v>413895728.65327823</v>
      </c>
      <c r="M102" s="56">
        <v>4045842.9022664041</v>
      </c>
      <c r="N102" s="52">
        <v>0</v>
      </c>
      <c r="O102" s="57">
        <v>0</v>
      </c>
      <c r="P102" s="53">
        <f t="shared" si="7"/>
        <v>118218418.6173</v>
      </c>
      <c r="Q102" s="53">
        <f t="shared" si="8"/>
        <v>291631467.13371187</v>
      </c>
      <c r="R102" s="53">
        <f t="shared" si="9"/>
        <v>409849885.75101185</v>
      </c>
      <c r="S102" s="58">
        <v>0</v>
      </c>
    </row>
    <row r="103" spans="1:19" x14ac:dyDescent="0.25">
      <c r="A103" s="49" t="s">
        <v>219</v>
      </c>
      <c r="B103" s="49" t="s">
        <v>220</v>
      </c>
      <c r="C103" s="50">
        <v>20.786018259445527</v>
      </c>
      <c r="D103" s="51">
        <f>VLOOKUP(B103,'Costdrivere 2021'!B:M,12,0)</f>
        <v>0</v>
      </c>
      <c r="E103" s="52">
        <f>SUM(VLOOKUP($B103,'Costdrivere 2021'!$B$4:$L$105,2,FALSE),VLOOKUP($B103,'Costdrivere 2021'!$B$4:$L$105,3,FALSE),VLOOKUP($B103,'Costdrivere 2021'!$B$4:$L$105,4,FALSE),VLOOKUP($B103,'Costdrivere 2021'!$B$4:$L$105,5,FALSE),VLOOKUP($B103,'Costdrivere 2021'!$B$4:$L$105,6,FALSE),VLOOKUP($B103,'Costdrivere 2021'!$B$4:$L$105,7,FALSE),VLOOKUP($B103,'Costdrivere 2021'!$B$4:$L$105,8,FALSE),VLOOKUP($B103,'Costdrivere 2021'!$B$4:$L$105,9,FALSE),VLOOKUP($B103,'Costdrivere 2021'!$B$4:$L$105,10,FALSE),VLOOKUP($B103,'Costdrivere 2021'!$B$4:$L$105,11,FALSE))</f>
        <v>23031235.341916472</v>
      </c>
      <c r="F103" s="52">
        <f>VLOOKUP(B103,'Costdrivere 2021'!B:AP,39,0)+VLOOKUP(B103,'Costdrivere 2021'!B:AP,40,0)+VLOOKUP(B103,'Costdrivere 2021'!B:AP,41,0)</f>
        <v>14962343.740007505</v>
      </c>
      <c r="G103" s="53">
        <v>15036118.987900002</v>
      </c>
      <c r="H103" s="5">
        <v>6559445.2049415698</v>
      </c>
      <c r="I103" s="54">
        <v>629134.31450000009</v>
      </c>
      <c r="J103" s="54">
        <f>VLOOKUP(B103,'Gennemførte investeringer'!B:P,15,0)</f>
        <v>6723987.7502961624</v>
      </c>
      <c r="K103" s="55">
        <f t="shared" si="5"/>
        <v>13912567.269737732</v>
      </c>
      <c r="L103" s="53">
        <f t="shared" si="6"/>
        <v>28948686.257637732</v>
      </c>
      <c r="M103" s="56">
        <v>0</v>
      </c>
      <c r="N103" s="52">
        <v>0</v>
      </c>
      <c r="O103" s="57">
        <v>0</v>
      </c>
      <c r="P103" s="53">
        <f t="shared" si="7"/>
        <v>15036118.987900002</v>
      </c>
      <c r="Q103" s="53">
        <f t="shared" si="8"/>
        <v>13912567.269737732</v>
      </c>
      <c r="R103" s="53">
        <f t="shared" si="9"/>
        <v>28948686.257637732</v>
      </c>
      <c r="S103" s="58">
        <v>0</v>
      </c>
    </row>
    <row r="104" spans="1:19" ht="15.75" thickBot="1" x14ac:dyDescent="0.3">
      <c r="A104" s="62" t="s">
        <v>221</v>
      </c>
      <c r="B104" s="62" t="s">
        <v>222</v>
      </c>
      <c r="C104" s="63">
        <v>22.782295103721498</v>
      </c>
      <c r="D104" s="64">
        <f>VLOOKUP(B104,'Costdrivere 2021'!B:M,12,0)</f>
        <v>0</v>
      </c>
      <c r="E104" s="65">
        <f>SUM(VLOOKUP($B104,'Costdrivere 2021'!$B$4:$L$105,2,FALSE),VLOOKUP($B104,'Costdrivere 2021'!$B$4:$L$105,3,FALSE),VLOOKUP($B104,'Costdrivere 2021'!$B$4:$L$105,4,FALSE),VLOOKUP($B104,'Costdrivere 2021'!$B$4:$L$105,5,FALSE),VLOOKUP($B104,'Costdrivere 2021'!$B$4:$L$105,6,FALSE),VLOOKUP($B104,'Costdrivere 2021'!$B$4:$L$105,7,FALSE),VLOOKUP($B104,'Costdrivere 2021'!$B$4:$L$105,8,FALSE),VLOOKUP($B104,'Costdrivere 2021'!$B$4:$L$105,9,FALSE),VLOOKUP($B104,'Costdrivere 2021'!$B$4:$L$105,10,FALSE),VLOOKUP($B104,'Costdrivere 2021'!$B$4:$L$105,11,FALSE))</f>
        <v>11865730.081347836</v>
      </c>
      <c r="F104" s="65">
        <f>VLOOKUP(B104,'Costdrivere 2021'!B:AP,39,0)+VLOOKUP(B104,'Costdrivere 2021'!B:AP,40,0)+VLOOKUP(B104,'Costdrivere 2021'!B:AP,41,0)</f>
        <v>18232844.249974541</v>
      </c>
      <c r="G104" s="53">
        <v>18698243.248600002</v>
      </c>
      <c r="H104" s="19">
        <v>3091612.7755617816</v>
      </c>
      <c r="I104" s="66">
        <v>688417.3049000001</v>
      </c>
      <c r="J104" s="66">
        <f>VLOOKUP(B104,'Gennemførte investeringer'!B:P,15,0)</f>
        <v>6166635.3662474407</v>
      </c>
      <c r="K104" s="67">
        <f t="shared" si="5"/>
        <v>9946665.4467092231</v>
      </c>
      <c r="L104" s="68">
        <f t="shared" si="6"/>
        <v>28644908.695309225</v>
      </c>
      <c r="M104" s="69">
        <v>305103.1648256997</v>
      </c>
      <c r="N104" s="65">
        <v>0</v>
      </c>
      <c r="O104" s="70">
        <v>0</v>
      </c>
      <c r="P104" s="68">
        <f t="shared" si="7"/>
        <v>18698243.248600002</v>
      </c>
      <c r="Q104" s="68">
        <f t="shared" si="8"/>
        <v>9641562.2818835229</v>
      </c>
      <c r="R104" s="68">
        <f t="shared" si="9"/>
        <v>28339805.530483525</v>
      </c>
      <c r="S104" s="58">
        <v>0</v>
      </c>
    </row>
    <row r="105" spans="1:19" ht="17.25" customHeight="1" x14ac:dyDescent="0.25">
      <c r="A105" s="71"/>
      <c r="B105" s="71"/>
      <c r="C105" s="72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</row>
    <row r="106" spans="1:19" x14ac:dyDescent="0.25">
      <c r="A106" s="48"/>
      <c r="C106" s="74"/>
      <c r="D106" s="75"/>
    </row>
  </sheetData>
  <mergeCells count="3">
    <mergeCell ref="H1:K1"/>
    <mergeCell ref="N1:O1"/>
    <mergeCell ref="P1:R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F1B3C-EC5C-4FB6-85B0-BCB4184B4F68}">
  <sheetPr codeName="Ark5"/>
  <dimension ref="A1:S105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RowHeight="15" x14ac:dyDescent="0.25"/>
  <cols>
    <col min="1" max="1" width="37.42578125" bestFit="1" customWidth="1"/>
    <col min="3" max="3" width="12.5703125" customWidth="1"/>
    <col min="4" max="4" width="16.28515625" customWidth="1"/>
    <col min="5" max="5" width="17.28515625" bestFit="1" customWidth="1"/>
    <col min="6" max="6" width="17" customWidth="1"/>
    <col min="7" max="7" width="21" customWidth="1"/>
    <col min="8" max="8" width="14.85546875" customWidth="1"/>
    <col min="9" max="9" width="15" customWidth="1"/>
    <col min="10" max="10" width="16.42578125" customWidth="1"/>
    <col min="11" max="11" width="19.7109375" customWidth="1"/>
    <col min="12" max="12" width="22.28515625" customWidth="1"/>
    <col min="13" max="13" width="16.140625" customWidth="1"/>
    <col min="14" max="14" width="20.28515625" customWidth="1"/>
    <col min="15" max="18" width="20.42578125" customWidth="1"/>
    <col min="19" max="19" width="20.42578125" style="73" customWidth="1"/>
  </cols>
  <sheetData>
    <row r="1" spans="1:19" ht="49.5" customHeight="1" thickBot="1" x14ac:dyDescent="0.3">
      <c r="A1" s="27"/>
      <c r="B1" s="28"/>
      <c r="C1" s="29"/>
      <c r="D1" s="29"/>
      <c r="E1" s="76" t="s">
        <v>226</v>
      </c>
      <c r="F1" s="34" t="s">
        <v>227</v>
      </c>
      <c r="G1" s="30" t="s">
        <v>228</v>
      </c>
      <c r="H1" s="32" t="s">
        <v>229</v>
      </c>
      <c r="I1" s="33"/>
      <c r="J1" s="33"/>
      <c r="K1" s="35"/>
      <c r="L1" s="216" t="s">
        <v>230</v>
      </c>
      <c r="M1" s="77"/>
      <c r="N1" s="217" t="s">
        <v>232</v>
      </c>
      <c r="O1" s="218"/>
      <c r="P1" s="219" t="s">
        <v>233</v>
      </c>
      <c r="Q1" s="218"/>
      <c r="R1" s="220"/>
      <c r="S1" s="78"/>
    </row>
    <row r="2" spans="1:19" ht="78" customHeight="1" thickBot="1" x14ac:dyDescent="0.3">
      <c r="A2" s="37" t="s">
        <v>0</v>
      </c>
      <c r="B2" s="38" t="s">
        <v>1</v>
      </c>
      <c r="C2" s="79" t="s">
        <v>248</v>
      </c>
      <c r="D2" s="79" t="s">
        <v>234</v>
      </c>
      <c r="E2" s="40" t="s">
        <v>235</v>
      </c>
      <c r="F2" s="79" t="s">
        <v>235</v>
      </c>
      <c r="G2" s="38" t="s">
        <v>249</v>
      </c>
      <c r="H2" s="40" t="s">
        <v>237</v>
      </c>
      <c r="I2" s="41" t="s">
        <v>238</v>
      </c>
      <c r="J2" s="41" t="s">
        <v>239</v>
      </c>
      <c r="K2" s="42" t="s">
        <v>240</v>
      </c>
      <c r="L2" s="43" t="s">
        <v>241</v>
      </c>
      <c r="M2" s="44" t="s">
        <v>231</v>
      </c>
      <c r="N2" s="80" t="s">
        <v>242</v>
      </c>
      <c r="O2" s="81" t="s">
        <v>243</v>
      </c>
      <c r="P2" s="45" t="s">
        <v>244</v>
      </c>
      <c r="Q2" s="43" t="s">
        <v>245</v>
      </c>
      <c r="R2" s="44" t="s">
        <v>250</v>
      </c>
      <c r="S2" s="47" t="s">
        <v>247</v>
      </c>
    </row>
    <row r="3" spans="1:19" ht="16.5" customHeight="1" x14ac:dyDescent="0.25">
      <c r="A3" s="49" t="s">
        <v>19</v>
      </c>
      <c r="B3" s="49" t="s">
        <v>20</v>
      </c>
      <c r="C3" s="82">
        <v>45.426110942760779</v>
      </c>
      <c r="D3" s="83">
        <f>VLOOKUP(B3,'Costdrivere 2022'!B:M,12,0)</f>
        <v>0.13543423705105526</v>
      </c>
      <c r="E3" s="84">
        <f>SUM(VLOOKUP($B3,'Costdrivere 2022'!$B$4:$L$105,2,FALSE),VLOOKUP($B3,'Costdrivere 2022'!$B$4:$L$105,3,FALSE),VLOOKUP($B3,'Costdrivere 2022'!$B$4:$L$105,4,FALSE),VLOOKUP($B3,'Costdrivere 2022'!$B$4:$L$105,5,FALSE),VLOOKUP($B3,'Costdrivere 2022'!$B$4:$L$105,6,FALSE),VLOOKUP($B3,'Costdrivere 2022'!$B$4:$L$105,7,FALSE),VLOOKUP($B3,'Costdrivere 2022'!$B$4:$L$105,8,FALSE),VLOOKUP($B3,'Costdrivere 2022'!$B$4:$L$105,9,FALSE),VLOOKUP($B3,'Costdrivere 2022'!$B$4:$L$105,10,FALSE),VLOOKUP($B3,'Costdrivere 2022'!$B$4:$L$105,11,FALSE))</f>
        <v>9140129.1056341976</v>
      </c>
      <c r="F3" s="83">
        <f>VLOOKUP(B3,'Costdrivere 2022'!B:AP,39,0)+VLOOKUP(B3,'Costdrivere 2022'!B:AP,40,0)+VLOOKUP(B3,'Costdrivere 2022'!B:AP,41,0)</f>
        <v>54581277.651671924</v>
      </c>
      <c r="G3" s="83">
        <v>8024961</v>
      </c>
      <c r="H3" s="84">
        <v>26838969.822256967</v>
      </c>
      <c r="I3" s="85">
        <v>947000</v>
      </c>
      <c r="J3" s="86">
        <f>VLOOKUP(B3,'Gennemførte investeringer'!B:AE,30,0)</f>
        <v>9791394.8264203947</v>
      </c>
      <c r="K3" s="87">
        <f>SUM(H3:J3)</f>
        <v>37577364.648677364</v>
      </c>
      <c r="L3" s="88">
        <f>G3+K3</f>
        <v>45602325.648677364</v>
      </c>
      <c r="M3" s="89">
        <v>0</v>
      </c>
      <c r="N3" s="90">
        <v>0</v>
      </c>
      <c r="O3" s="91">
        <v>0</v>
      </c>
      <c r="P3" s="88">
        <f>G3-N3</f>
        <v>8024961</v>
      </c>
      <c r="Q3" s="88">
        <f>K3-M3-O3</f>
        <v>37577364.648677364</v>
      </c>
      <c r="R3" s="88">
        <f>P3+Q3</f>
        <v>45602325.648677364</v>
      </c>
      <c r="S3" s="58">
        <v>0</v>
      </c>
    </row>
    <row r="4" spans="1:19" ht="16.5" customHeight="1" x14ac:dyDescent="0.25">
      <c r="A4" s="49" t="s">
        <v>21</v>
      </c>
      <c r="B4" s="49" t="s">
        <v>22</v>
      </c>
      <c r="C4" s="92">
        <v>34.206152561198998</v>
      </c>
      <c r="D4" s="93">
        <f>VLOOKUP(B4,'Costdrivere 2022'!B:M,12,0)</f>
        <v>4.6997337926714677E-2</v>
      </c>
      <c r="E4" s="94">
        <f>SUM(VLOOKUP($B4,'Costdrivere 2022'!$B$4:$L$105,2,FALSE),VLOOKUP($B4,'Costdrivere 2022'!$B$4:$L$105,3,FALSE),VLOOKUP($B4,'Costdrivere 2022'!$B$4:$L$105,4,FALSE),VLOOKUP($B4,'Costdrivere 2022'!$B$4:$L$105,5,FALSE),VLOOKUP($B4,'Costdrivere 2022'!$B$4:$L$105,6,FALSE),VLOOKUP($B4,'Costdrivere 2022'!$B$4:$L$105,7,FALSE),VLOOKUP($B4,'Costdrivere 2022'!$B$4:$L$105,8,FALSE),VLOOKUP($B4,'Costdrivere 2022'!$B$4:$L$105,9,FALSE),VLOOKUP($B4,'Costdrivere 2022'!$B$4:$L$105,10,FALSE),VLOOKUP($B4,'Costdrivere 2022'!$B$4:$L$105,11,FALSE))</f>
        <v>14146611.20640487</v>
      </c>
      <c r="F4" s="93">
        <f>VLOOKUP(B4,'Costdrivere 2022'!B:AP,39,0)+VLOOKUP(B4,'Costdrivere 2022'!B:AP,40,0)+VLOOKUP(B4,'Costdrivere 2022'!B:AP,41,0)</f>
        <v>42535407.064347215</v>
      </c>
      <c r="G4" s="93">
        <v>16581115</v>
      </c>
      <c r="H4" s="94">
        <v>22540620.797626503</v>
      </c>
      <c r="I4" s="95">
        <v>2072000</v>
      </c>
      <c r="J4" s="96">
        <f>VLOOKUP(B4,'Gennemførte investeringer'!B:AE,30,0)</f>
        <v>10822695.195701955</v>
      </c>
      <c r="K4" s="97">
        <f>SUM(H4:J4)</f>
        <v>35435315.99332846</v>
      </c>
      <c r="L4" s="88">
        <f>G4+K4</f>
        <v>52016430.99332846</v>
      </c>
      <c r="M4" s="18">
        <v>0</v>
      </c>
      <c r="N4" s="90">
        <v>0</v>
      </c>
      <c r="O4" s="98">
        <v>0</v>
      </c>
      <c r="P4" s="88">
        <f>G4-N4</f>
        <v>16581115</v>
      </c>
      <c r="Q4" s="88">
        <f>K4-M4-O4</f>
        <v>35435315.99332846</v>
      </c>
      <c r="R4" s="88">
        <f>P4+Q4</f>
        <v>52016430.99332846</v>
      </c>
      <c r="S4" s="58">
        <v>0</v>
      </c>
    </row>
    <row r="5" spans="1:19" ht="16.5" customHeight="1" x14ac:dyDescent="0.25">
      <c r="A5" s="49" t="s">
        <v>23</v>
      </c>
      <c r="B5" s="49" t="s">
        <v>24</v>
      </c>
      <c r="C5" s="92">
        <v>31.924343612632061</v>
      </c>
      <c r="D5" s="93">
        <f>VLOOKUP(B5,'Costdrivere 2022'!B:M,12,0)</f>
        <v>2.56179248049739E-2</v>
      </c>
      <c r="E5" s="94">
        <f>SUM(VLOOKUP($B5,'Costdrivere 2022'!$B$4:$L$105,2,FALSE),VLOOKUP($B5,'Costdrivere 2022'!$B$4:$L$105,3,FALSE),VLOOKUP($B5,'Costdrivere 2022'!$B$4:$L$105,4,FALSE),VLOOKUP($B5,'Costdrivere 2022'!$B$4:$L$105,5,FALSE),VLOOKUP($B5,'Costdrivere 2022'!$B$4:$L$105,6,FALSE),VLOOKUP($B5,'Costdrivere 2022'!$B$4:$L$105,7,FALSE),VLOOKUP($B5,'Costdrivere 2022'!$B$4:$L$105,8,FALSE),VLOOKUP($B5,'Costdrivere 2022'!$B$4:$L$105,9,FALSE),VLOOKUP($B5,'Costdrivere 2022'!$B$4:$L$105,10,FALSE),VLOOKUP($B5,'Costdrivere 2022'!$B$4:$L$105,11,FALSE))</f>
        <v>26758635.336262066</v>
      </c>
      <c r="F5" s="93">
        <f>VLOOKUP(B5,'Costdrivere 2022'!B:AP,39,0)+VLOOKUP(B5,'Costdrivere 2022'!B:AP,40,0)+VLOOKUP(B5,'Costdrivere 2022'!B:AP,41,0)</f>
        <v>94780612.573805258</v>
      </c>
      <c r="G5" s="93">
        <v>28732340.639999997</v>
      </c>
      <c r="H5" s="94">
        <v>45786540.191401795</v>
      </c>
      <c r="I5" s="95">
        <v>1631614.4</v>
      </c>
      <c r="J5" s="96">
        <f>VLOOKUP(B5,'Gennemførte investeringer'!B:AE,30,0)</f>
        <v>11272313.502949353</v>
      </c>
      <c r="K5" s="97">
        <f t="shared" ref="K5:K68" si="0">SUM(H5:J5)</f>
        <v>58690468.094351143</v>
      </c>
      <c r="L5" s="88">
        <f t="shared" ref="L5:L68" si="1">G5+K5</f>
        <v>87422808.734351143</v>
      </c>
      <c r="M5" s="18">
        <v>0</v>
      </c>
      <c r="N5" s="90">
        <v>0</v>
      </c>
      <c r="O5" s="98">
        <v>0</v>
      </c>
      <c r="P5" s="88">
        <f t="shared" ref="P5:P68" si="2">G5-N5</f>
        <v>28732340.639999997</v>
      </c>
      <c r="Q5" s="88">
        <f t="shared" ref="Q5:Q68" si="3">K5-M5-O5</f>
        <v>58690468.094351143</v>
      </c>
      <c r="R5" s="88">
        <f t="shared" ref="R5:R68" si="4">P5+Q5</f>
        <v>87422808.734351143</v>
      </c>
      <c r="S5" s="58">
        <v>0</v>
      </c>
    </row>
    <row r="6" spans="1:19" ht="16.5" customHeight="1" x14ac:dyDescent="0.25">
      <c r="A6" s="49" t="s">
        <v>25</v>
      </c>
      <c r="B6" s="49" t="s">
        <v>26</v>
      </c>
      <c r="C6" s="92">
        <v>37.224096969161153</v>
      </c>
      <c r="D6" s="93">
        <f>VLOOKUP(B6,'Costdrivere 2022'!B:M,12,0)</f>
        <v>2.2166096303079967E-2</v>
      </c>
      <c r="E6" s="94">
        <f>SUM(VLOOKUP($B6,'Costdrivere 2022'!$B$4:$L$105,2,FALSE),VLOOKUP($B6,'Costdrivere 2022'!$B$4:$L$105,3,FALSE),VLOOKUP($B6,'Costdrivere 2022'!$B$4:$L$105,4,FALSE),VLOOKUP($B6,'Costdrivere 2022'!$B$4:$L$105,5,FALSE),VLOOKUP($B6,'Costdrivere 2022'!$B$4:$L$105,6,FALSE),VLOOKUP($B6,'Costdrivere 2022'!$B$4:$L$105,7,FALSE),VLOOKUP($B6,'Costdrivere 2022'!$B$4:$L$105,8,FALSE),VLOOKUP($B6,'Costdrivere 2022'!$B$4:$L$105,9,FALSE),VLOOKUP($B6,'Costdrivere 2022'!$B$4:$L$105,10,FALSE),VLOOKUP($B6,'Costdrivere 2022'!$B$4:$L$105,11,FALSE))</f>
        <v>39600245.729309499</v>
      </c>
      <c r="F6" s="93">
        <f>VLOOKUP(B6,'Costdrivere 2022'!B:AP,39,0)+VLOOKUP(B6,'Costdrivere 2022'!B:AP,40,0)+VLOOKUP(B6,'Costdrivere 2022'!B:AP,41,0)</f>
        <v>142174047.43051085</v>
      </c>
      <c r="G6" s="93">
        <v>28464781.300000001</v>
      </c>
      <c r="H6" s="94">
        <v>79698858.979545087</v>
      </c>
      <c r="I6" s="95">
        <v>1327000</v>
      </c>
      <c r="J6" s="96">
        <f>VLOOKUP(B6,'Gennemførte investeringer'!B:AE,30,0)</f>
        <v>18891977.502075408</v>
      </c>
      <c r="K6" s="97">
        <f t="shared" si="0"/>
        <v>99917836.481620491</v>
      </c>
      <c r="L6" s="88">
        <f t="shared" si="1"/>
        <v>128382617.78162049</v>
      </c>
      <c r="M6" s="18">
        <v>0</v>
      </c>
      <c r="N6" s="90">
        <v>0</v>
      </c>
      <c r="O6" s="98">
        <v>0</v>
      </c>
      <c r="P6" s="88">
        <f t="shared" si="2"/>
        <v>28464781.300000001</v>
      </c>
      <c r="Q6" s="88">
        <f t="shared" si="3"/>
        <v>99917836.481620491</v>
      </c>
      <c r="R6" s="88">
        <f t="shared" si="4"/>
        <v>128382617.78162049</v>
      </c>
      <c r="S6" s="58">
        <v>0</v>
      </c>
    </row>
    <row r="7" spans="1:19" ht="16.5" customHeight="1" x14ac:dyDescent="0.25">
      <c r="A7" s="49" t="s">
        <v>27</v>
      </c>
      <c r="B7" s="49" t="s">
        <v>28</v>
      </c>
      <c r="C7" s="92">
        <v>12.236234077470932</v>
      </c>
      <c r="D7" s="93">
        <f>VLOOKUP(B7,'Costdrivere 2022'!B:M,12,0)</f>
        <v>0</v>
      </c>
      <c r="E7" s="94">
        <f>SUM(VLOOKUP($B7,'Costdrivere 2022'!$B$4:$L$105,2,FALSE),VLOOKUP($B7,'Costdrivere 2022'!$B$4:$L$105,3,FALSE),VLOOKUP($B7,'Costdrivere 2022'!$B$4:$L$105,4,FALSE),VLOOKUP($B7,'Costdrivere 2022'!$B$4:$L$105,5,FALSE),VLOOKUP($B7,'Costdrivere 2022'!$B$4:$L$105,6,FALSE),VLOOKUP($B7,'Costdrivere 2022'!$B$4:$L$105,7,FALSE),VLOOKUP($B7,'Costdrivere 2022'!$B$4:$L$105,8,FALSE),VLOOKUP($B7,'Costdrivere 2022'!$B$4:$L$105,9,FALSE),VLOOKUP($B7,'Costdrivere 2022'!$B$4:$L$105,10,FALSE),VLOOKUP($B7,'Costdrivere 2022'!$B$4:$L$105,11,FALSE))</f>
        <v>15118682.176676782</v>
      </c>
      <c r="F7" s="93">
        <f>VLOOKUP(B7,'Costdrivere 2022'!B:AP,39,0)+VLOOKUP(B7,'Costdrivere 2022'!B:AP,40,0)+VLOOKUP(B7,'Costdrivere 2022'!B:AP,41,0)</f>
        <v>20401981.613551691</v>
      </c>
      <c r="G7" s="93">
        <v>14719150</v>
      </c>
      <c r="H7" s="94">
        <v>4279964.0253815539</v>
      </c>
      <c r="I7" s="95">
        <v>1827650</v>
      </c>
      <c r="J7" s="96">
        <f>VLOOKUP(B7,'Gennemførte investeringer'!B:AE,30,0)</f>
        <v>14209865.600254362</v>
      </c>
      <c r="K7" s="97">
        <f t="shared" si="0"/>
        <v>20317479.625635915</v>
      </c>
      <c r="L7" s="88">
        <f t="shared" si="1"/>
        <v>35036629.625635915</v>
      </c>
      <c r="M7" s="18">
        <v>2569243.1973333335</v>
      </c>
      <c r="N7" s="90">
        <v>0</v>
      </c>
      <c r="O7" s="98">
        <v>1926479.786594416</v>
      </c>
      <c r="P7" s="88">
        <f t="shared" si="2"/>
        <v>14719150</v>
      </c>
      <c r="Q7" s="88">
        <f t="shared" si="3"/>
        <v>15821756.641708165</v>
      </c>
      <c r="R7" s="88">
        <f t="shared" si="4"/>
        <v>30540906.641708165</v>
      </c>
      <c r="S7" s="58">
        <v>0</v>
      </c>
    </row>
    <row r="8" spans="1:19" ht="16.5" customHeight="1" x14ac:dyDescent="0.25">
      <c r="A8" s="49" t="s">
        <v>29</v>
      </c>
      <c r="B8" s="49" t="s">
        <v>30</v>
      </c>
      <c r="C8" s="92">
        <v>30.917017981606378</v>
      </c>
      <c r="D8" s="93">
        <f>VLOOKUP(B8,'Costdrivere 2022'!B:M,12,0)</f>
        <v>1.7748257499648638E-2</v>
      </c>
      <c r="E8" s="94">
        <f>SUM(VLOOKUP($B8,'Costdrivere 2022'!$B$4:$L$105,2,FALSE),VLOOKUP($B8,'Costdrivere 2022'!$B$4:$L$105,3,FALSE),VLOOKUP($B8,'Costdrivere 2022'!$B$4:$L$105,4,FALSE),VLOOKUP($B8,'Costdrivere 2022'!$B$4:$L$105,5,FALSE),VLOOKUP($B8,'Costdrivere 2022'!$B$4:$L$105,6,FALSE),VLOOKUP($B8,'Costdrivere 2022'!$B$4:$L$105,7,FALSE),VLOOKUP($B8,'Costdrivere 2022'!$B$4:$L$105,8,FALSE),VLOOKUP($B8,'Costdrivere 2022'!$B$4:$L$105,9,FALSE),VLOOKUP($B8,'Costdrivere 2022'!$B$4:$L$105,10,FALSE),VLOOKUP($B8,'Costdrivere 2022'!$B$4:$L$105,11,FALSE))</f>
        <v>18055743.793402165</v>
      </c>
      <c r="F8" s="93">
        <f>VLOOKUP(B8,'Costdrivere 2022'!B:AP,39,0)+VLOOKUP(B8,'Costdrivere 2022'!B:AP,40,0)+VLOOKUP(B8,'Costdrivere 2022'!B:AP,41,0)</f>
        <v>89343816.03795594</v>
      </c>
      <c r="G8" s="93">
        <v>16034643.100000001</v>
      </c>
      <c r="H8" s="94">
        <v>51326321.557966739</v>
      </c>
      <c r="I8" s="95">
        <v>3304887</v>
      </c>
      <c r="J8" s="96">
        <f>VLOOKUP(B8,'Gennemførte investeringer'!B:AE,30,0)</f>
        <v>18718113.064141773</v>
      </c>
      <c r="K8" s="97">
        <f t="shared" si="0"/>
        <v>73349321.622108519</v>
      </c>
      <c r="L8" s="88">
        <f t="shared" si="1"/>
        <v>89383964.722108513</v>
      </c>
      <c r="M8" s="18">
        <v>66370.68162580028</v>
      </c>
      <c r="N8" s="90">
        <v>0</v>
      </c>
      <c r="O8" s="98">
        <v>1769638.8825159748</v>
      </c>
      <c r="P8" s="88">
        <f t="shared" si="2"/>
        <v>16034643.100000001</v>
      </c>
      <c r="Q8" s="88">
        <f t="shared" si="3"/>
        <v>71513312.057966739</v>
      </c>
      <c r="R8" s="88">
        <f t="shared" si="4"/>
        <v>87547955.157966733</v>
      </c>
      <c r="S8" s="58">
        <v>0</v>
      </c>
    </row>
    <row r="9" spans="1:19" ht="16.5" customHeight="1" x14ac:dyDescent="0.25">
      <c r="A9" s="49" t="s">
        <v>31</v>
      </c>
      <c r="B9" s="49" t="s">
        <v>32</v>
      </c>
      <c r="C9" s="92">
        <v>37.205893752498476</v>
      </c>
      <c r="D9" s="93">
        <f>VLOOKUP(B9,'Costdrivere 2022'!B:M,12,0)</f>
        <v>3.5595511349145632E-2</v>
      </c>
      <c r="E9" s="94">
        <f>SUM(VLOOKUP($B9,'Costdrivere 2022'!$B$4:$L$105,2,FALSE),VLOOKUP($B9,'Costdrivere 2022'!$B$4:$L$105,3,FALSE),VLOOKUP($B9,'Costdrivere 2022'!$B$4:$L$105,4,FALSE),VLOOKUP($B9,'Costdrivere 2022'!$B$4:$L$105,5,FALSE),VLOOKUP($B9,'Costdrivere 2022'!$B$4:$L$105,6,FALSE),VLOOKUP($B9,'Costdrivere 2022'!$B$4:$L$105,7,FALSE),VLOOKUP($B9,'Costdrivere 2022'!$B$4:$L$105,8,FALSE),VLOOKUP($B9,'Costdrivere 2022'!$B$4:$L$105,9,FALSE),VLOOKUP($B9,'Costdrivere 2022'!$B$4:$L$105,10,FALSE),VLOOKUP($B9,'Costdrivere 2022'!$B$4:$L$105,11,FALSE))</f>
        <v>11037894.472934306</v>
      </c>
      <c r="F9" s="93">
        <f>VLOOKUP(B9,'Costdrivere 2022'!B:AP,39,0)+VLOOKUP(B9,'Costdrivere 2022'!B:AP,40,0)+VLOOKUP(B9,'Costdrivere 2022'!B:AP,41,0)</f>
        <v>48958830.017166086</v>
      </c>
      <c r="G9" s="93">
        <v>9944761</v>
      </c>
      <c r="H9" s="94">
        <v>22543006.889328327</v>
      </c>
      <c r="I9" s="95">
        <v>558944</v>
      </c>
      <c r="J9" s="96">
        <f>VLOOKUP(B9,'Gennemførte investeringer'!B:AE,30,0)</f>
        <v>7781680.9522063881</v>
      </c>
      <c r="K9" s="97">
        <f t="shared" si="0"/>
        <v>30883631.841534715</v>
      </c>
      <c r="L9" s="88">
        <f t="shared" si="1"/>
        <v>40828392.841534719</v>
      </c>
      <c r="M9" s="18">
        <v>140177.58066312605</v>
      </c>
      <c r="N9" s="90">
        <v>0</v>
      </c>
      <c r="O9" s="98">
        <v>0</v>
      </c>
      <c r="P9" s="88">
        <f t="shared" si="2"/>
        <v>9944761</v>
      </c>
      <c r="Q9" s="88">
        <f t="shared" si="3"/>
        <v>30743454.260871589</v>
      </c>
      <c r="R9" s="88">
        <f t="shared" si="4"/>
        <v>40688215.260871589</v>
      </c>
      <c r="S9" s="58">
        <v>0</v>
      </c>
    </row>
    <row r="10" spans="1:19" ht="16.5" customHeight="1" x14ac:dyDescent="0.25">
      <c r="A10" s="49" t="s">
        <v>33</v>
      </c>
      <c r="B10" s="49" t="s">
        <v>34</v>
      </c>
      <c r="C10" s="92">
        <v>23.681625160596983</v>
      </c>
      <c r="D10" s="93">
        <f>VLOOKUP(B10,'Costdrivere 2022'!B:M,12,0)</f>
        <v>2.6666666666666666E-3</v>
      </c>
      <c r="E10" s="94">
        <f>SUM(VLOOKUP($B10,'Costdrivere 2022'!$B$4:$L$105,2,FALSE),VLOOKUP($B10,'Costdrivere 2022'!$B$4:$L$105,3,FALSE),VLOOKUP($B10,'Costdrivere 2022'!$B$4:$L$105,4,FALSE),VLOOKUP($B10,'Costdrivere 2022'!$B$4:$L$105,5,FALSE),VLOOKUP($B10,'Costdrivere 2022'!$B$4:$L$105,6,FALSE),VLOOKUP($B10,'Costdrivere 2022'!$B$4:$L$105,7,FALSE),VLOOKUP($B10,'Costdrivere 2022'!$B$4:$L$105,8,FALSE),VLOOKUP($B10,'Costdrivere 2022'!$B$4:$L$105,9,FALSE),VLOOKUP($B10,'Costdrivere 2022'!$B$4:$L$105,10,FALSE),VLOOKUP($B10,'Costdrivere 2022'!$B$4:$L$105,11,FALSE))</f>
        <v>124525283.38117474</v>
      </c>
      <c r="F10" s="93">
        <f>VLOOKUP(B10,'Costdrivere 2022'!B:AP,39,0)+VLOOKUP(B10,'Costdrivere 2022'!B:AP,40,0)+VLOOKUP(B10,'Costdrivere 2022'!B:AP,41,0)</f>
        <v>233767220.37455419</v>
      </c>
      <c r="G10" s="93">
        <v>194598025</v>
      </c>
      <c r="H10" s="94">
        <v>38827549.510928378</v>
      </c>
      <c r="I10" s="95">
        <v>15094453</v>
      </c>
      <c r="J10" s="96">
        <f>VLOOKUP(B10,'Gennemførte investeringer'!B:AE,30,0)</f>
        <v>82667714.512315378</v>
      </c>
      <c r="K10" s="97">
        <f t="shared" si="0"/>
        <v>136589717.02324376</v>
      </c>
      <c r="L10" s="88">
        <f t="shared" si="1"/>
        <v>331187742.02324378</v>
      </c>
      <c r="M10" s="18">
        <v>212784.429015</v>
      </c>
      <c r="N10" s="90">
        <v>0</v>
      </c>
      <c r="O10" s="98">
        <v>0</v>
      </c>
      <c r="P10" s="88">
        <f t="shared" si="2"/>
        <v>194598025</v>
      </c>
      <c r="Q10" s="88">
        <f t="shared" si="3"/>
        <v>136376932.59422874</v>
      </c>
      <c r="R10" s="88">
        <f t="shared" si="4"/>
        <v>330974957.59422874</v>
      </c>
      <c r="S10" s="58">
        <v>0</v>
      </c>
    </row>
    <row r="11" spans="1:19" ht="16.5" customHeight="1" x14ac:dyDescent="0.25">
      <c r="A11" s="49" t="s">
        <v>35</v>
      </c>
      <c r="B11" s="49" t="s">
        <v>36</v>
      </c>
      <c r="C11" s="92">
        <v>36.122038772536804</v>
      </c>
      <c r="D11" s="93">
        <f>VLOOKUP(B11,'Costdrivere 2022'!B:M,12,0)</f>
        <v>1.7403411068569441E-4</v>
      </c>
      <c r="E11" s="94">
        <f>SUM(VLOOKUP($B11,'Costdrivere 2022'!$B$4:$L$105,2,FALSE),VLOOKUP($B11,'Costdrivere 2022'!$B$4:$L$105,3,FALSE),VLOOKUP($B11,'Costdrivere 2022'!$B$4:$L$105,4,FALSE),VLOOKUP($B11,'Costdrivere 2022'!$B$4:$L$105,5,FALSE),VLOOKUP($B11,'Costdrivere 2022'!$B$4:$L$105,6,FALSE),VLOOKUP($B11,'Costdrivere 2022'!$B$4:$L$105,7,FALSE),VLOOKUP($B11,'Costdrivere 2022'!$B$4:$L$105,8,FALSE),VLOOKUP($B11,'Costdrivere 2022'!$B$4:$L$105,9,FALSE),VLOOKUP($B11,'Costdrivere 2022'!$B$4:$L$105,10,FALSE),VLOOKUP($B11,'Costdrivere 2022'!$B$4:$L$105,11,FALSE))</f>
        <v>59726549.688884988</v>
      </c>
      <c r="F11" s="93">
        <f>VLOOKUP(B11,'Costdrivere 2022'!B:AP,39,0)+VLOOKUP(B11,'Costdrivere 2022'!B:AP,40,0)+VLOOKUP(B11,'Costdrivere 2022'!B:AP,41,0)</f>
        <v>78940465.657083526</v>
      </c>
      <c r="G11" s="93">
        <v>73221568</v>
      </c>
      <c r="H11" s="94">
        <v>24982065.756539296</v>
      </c>
      <c r="I11" s="95">
        <v>310729</v>
      </c>
      <c r="J11" s="96">
        <f>VLOOKUP(B11,'Gennemførte investeringer'!B:AE,30,0)</f>
        <v>21976184.775533855</v>
      </c>
      <c r="K11" s="97">
        <f t="shared" si="0"/>
        <v>47268979.532073155</v>
      </c>
      <c r="L11" s="88">
        <f t="shared" si="1"/>
        <v>120490547.53207316</v>
      </c>
      <c r="M11" s="18">
        <v>52834.781300000002</v>
      </c>
      <c r="N11" s="90">
        <v>0</v>
      </c>
      <c r="O11" s="98">
        <v>0</v>
      </c>
      <c r="P11" s="88">
        <f t="shared" si="2"/>
        <v>73221568</v>
      </c>
      <c r="Q11" s="88">
        <f t="shared" si="3"/>
        <v>47216144.750773154</v>
      </c>
      <c r="R11" s="88">
        <f t="shared" si="4"/>
        <v>120437712.75077316</v>
      </c>
      <c r="S11" s="58">
        <v>0</v>
      </c>
    </row>
    <row r="12" spans="1:19" s="48" customFormat="1" ht="16.5" customHeight="1" x14ac:dyDescent="0.25">
      <c r="A12" s="49" t="s">
        <v>37</v>
      </c>
      <c r="B12" s="49" t="s">
        <v>38</v>
      </c>
      <c r="C12" s="92">
        <v>37.50523471764523</v>
      </c>
      <c r="D12" s="93">
        <f>VLOOKUP(B12,'Costdrivere 2022'!B:M,12,0)</f>
        <v>3.1554668817478176E-2</v>
      </c>
      <c r="E12" s="94">
        <f>SUM(VLOOKUP($B12,'Costdrivere 2022'!$B$4:$L$105,2,FALSE),VLOOKUP($B12,'Costdrivere 2022'!$B$4:$L$105,3,FALSE),VLOOKUP($B12,'Costdrivere 2022'!$B$4:$L$105,4,FALSE),VLOOKUP($B12,'Costdrivere 2022'!$B$4:$L$105,5,FALSE),VLOOKUP($B12,'Costdrivere 2022'!$B$4:$L$105,6,FALSE),VLOOKUP($B12,'Costdrivere 2022'!$B$4:$L$105,7,FALSE),VLOOKUP($B12,'Costdrivere 2022'!$B$4:$L$105,8,FALSE),VLOOKUP($B12,'Costdrivere 2022'!$B$4:$L$105,9,FALSE),VLOOKUP($B12,'Costdrivere 2022'!$B$4:$L$105,10,FALSE),VLOOKUP($B12,'Costdrivere 2022'!$B$4:$L$105,11,FALSE))</f>
        <v>24486746.996338725</v>
      </c>
      <c r="F12" s="93">
        <f>VLOOKUP(B12,'Costdrivere 2022'!B:AP,39,0)+VLOOKUP(B12,'Costdrivere 2022'!B:AP,40,0)+VLOOKUP(B12,'Costdrivere 2022'!B:AP,41,0)</f>
        <v>73116407.558068678</v>
      </c>
      <c r="G12" s="93">
        <v>33509283.539999999</v>
      </c>
      <c r="H12" s="94">
        <v>35506581.587768808</v>
      </c>
      <c r="I12" s="95">
        <v>356361.77</v>
      </c>
      <c r="J12" s="96">
        <f>VLOOKUP(B12,'Gennemførte investeringer'!B:AE,30,0)</f>
        <v>7427657.7381489249</v>
      </c>
      <c r="K12" s="97">
        <f t="shared" si="0"/>
        <v>43290601.095917739</v>
      </c>
      <c r="L12" s="88">
        <f t="shared" si="1"/>
        <v>76799884.635917738</v>
      </c>
      <c r="M12" s="18">
        <v>0</v>
      </c>
      <c r="N12" s="90">
        <v>0</v>
      </c>
      <c r="O12" s="98">
        <v>0</v>
      </c>
      <c r="P12" s="88">
        <f t="shared" si="2"/>
        <v>33509283.539999999</v>
      </c>
      <c r="Q12" s="88">
        <f t="shared" si="3"/>
        <v>43290601.095917739</v>
      </c>
      <c r="R12" s="88">
        <f t="shared" si="4"/>
        <v>76799884.635917738</v>
      </c>
      <c r="S12" s="58">
        <v>0</v>
      </c>
    </row>
    <row r="13" spans="1:19" ht="16.5" customHeight="1" x14ac:dyDescent="0.25">
      <c r="A13" s="49" t="s">
        <v>39</v>
      </c>
      <c r="B13" s="49" t="s">
        <v>40</v>
      </c>
      <c r="C13" s="92">
        <v>47.463471450851493</v>
      </c>
      <c r="D13" s="93">
        <f>VLOOKUP(B13,'Costdrivere 2022'!B:M,12,0)</f>
        <v>0.1398076923076923</v>
      </c>
      <c r="E13" s="94">
        <f>SUM(VLOOKUP($B13,'Costdrivere 2022'!$B$4:$L$105,2,FALSE),VLOOKUP($B13,'Costdrivere 2022'!$B$4:$L$105,3,FALSE),VLOOKUP($B13,'Costdrivere 2022'!$B$4:$L$105,4,FALSE),VLOOKUP($B13,'Costdrivere 2022'!$B$4:$L$105,5,FALSE),VLOOKUP($B13,'Costdrivere 2022'!$B$4:$L$105,6,FALSE),VLOOKUP($B13,'Costdrivere 2022'!$B$4:$L$105,7,FALSE),VLOOKUP($B13,'Costdrivere 2022'!$B$4:$L$105,8,FALSE),VLOOKUP($B13,'Costdrivere 2022'!$B$4:$L$105,9,FALSE),VLOOKUP($B13,'Costdrivere 2022'!$B$4:$L$105,10,FALSE),VLOOKUP($B13,'Costdrivere 2022'!$B$4:$L$105,11,FALSE))</f>
        <v>6824486.2528866567</v>
      </c>
      <c r="F13" s="93">
        <f>VLOOKUP(B13,'Costdrivere 2022'!B:AP,39,0)+VLOOKUP(B13,'Costdrivere 2022'!B:AP,40,0)+VLOOKUP(B13,'Costdrivere 2022'!B:AP,41,0)</f>
        <v>31706037.971999999</v>
      </c>
      <c r="G13" s="93">
        <v>8332147</v>
      </c>
      <c r="H13" s="94">
        <v>23793625.392172866</v>
      </c>
      <c r="I13" s="95">
        <v>1367000</v>
      </c>
      <c r="J13" s="96">
        <f>VLOOKUP(B13,'Gennemførte investeringer'!B:AE,30,0)</f>
        <v>6648373.2064230517</v>
      </c>
      <c r="K13" s="97">
        <f t="shared" si="0"/>
        <v>31808998.598595917</v>
      </c>
      <c r="L13" s="88">
        <f t="shared" si="1"/>
        <v>40141145.598595917</v>
      </c>
      <c r="M13" s="18">
        <v>0</v>
      </c>
      <c r="N13" s="90">
        <v>0</v>
      </c>
      <c r="O13" s="98">
        <v>0</v>
      </c>
      <c r="P13" s="88">
        <f t="shared" si="2"/>
        <v>8332147</v>
      </c>
      <c r="Q13" s="88">
        <f t="shared" si="3"/>
        <v>31808998.598595917</v>
      </c>
      <c r="R13" s="88">
        <f t="shared" si="4"/>
        <v>40141145.598595917</v>
      </c>
      <c r="S13" s="58">
        <v>0</v>
      </c>
    </row>
    <row r="14" spans="1:19" ht="16.5" customHeight="1" x14ac:dyDescent="0.25">
      <c r="A14" s="49" t="s">
        <v>41</v>
      </c>
      <c r="B14" s="49" t="s">
        <v>42</v>
      </c>
      <c r="C14" s="92">
        <v>35.730553725087944</v>
      </c>
      <c r="D14" s="93">
        <f>VLOOKUP(B14,'Costdrivere 2022'!B:M,12,0)</f>
        <v>3.6949115044247791E-2</v>
      </c>
      <c r="E14" s="94">
        <f>SUM(VLOOKUP($B14,'Costdrivere 2022'!$B$4:$L$105,2,FALSE),VLOOKUP($B14,'Costdrivere 2022'!$B$4:$L$105,3,FALSE),VLOOKUP($B14,'Costdrivere 2022'!$B$4:$L$105,4,FALSE),VLOOKUP($B14,'Costdrivere 2022'!$B$4:$L$105,5,FALSE),VLOOKUP($B14,'Costdrivere 2022'!$B$4:$L$105,6,FALSE),VLOOKUP($B14,'Costdrivere 2022'!$B$4:$L$105,7,FALSE),VLOOKUP($B14,'Costdrivere 2022'!$B$4:$L$105,8,FALSE),VLOOKUP($B14,'Costdrivere 2022'!$B$4:$L$105,9,FALSE),VLOOKUP($B14,'Costdrivere 2022'!$B$4:$L$105,10,FALSE),VLOOKUP($B14,'Costdrivere 2022'!$B$4:$L$105,11,FALSE))</f>
        <v>17426950.668521397</v>
      </c>
      <c r="F14" s="93">
        <f>VLOOKUP(B14,'Costdrivere 2022'!B:AP,39,0)+VLOOKUP(B14,'Costdrivere 2022'!B:AP,40,0)+VLOOKUP(B14,'Costdrivere 2022'!B:AP,41,0)</f>
        <v>59255672.665792018</v>
      </c>
      <c r="G14" s="93">
        <v>19699460</v>
      </c>
      <c r="H14" s="94">
        <v>30664509.035303805</v>
      </c>
      <c r="I14" s="95">
        <v>724237</v>
      </c>
      <c r="J14" s="96">
        <f>VLOOKUP(B14,'Gennemførte investeringer'!B:AE,30,0)</f>
        <v>8232940.4870998915</v>
      </c>
      <c r="K14" s="97">
        <f t="shared" si="0"/>
        <v>39621686.522403695</v>
      </c>
      <c r="L14" s="88">
        <f t="shared" si="1"/>
        <v>59321146.522403695</v>
      </c>
      <c r="M14" s="18">
        <v>0</v>
      </c>
      <c r="N14" s="90">
        <v>0</v>
      </c>
      <c r="O14" s="98">
        <v>0</v>
      </c>
      <c r="P14" s="88">
        <f t="shared" si="2"/>
        <v>19699460</v>
      </c>
      <c r="Q14" s="88">
        <f t="shared" si="3"/>
        <v>39621686.522403695</v>
      </c>
      <c r="R14" s="88">
        <f t="shared" si="4"/>
        <v>59321146.522403695</v>
      </c>
      <c r="S14" s="58">
        <v>0</v>
      </c>
    </row>
    <row r="15" spans="1:19" ht="16.5" customHeight="1" x14ac:dyDescent="0.25">
      <c r="A15" s="49" t="s">
        <v>43</v>
      </c>
      <c r="B15" s="49" t="s">
        <v>44</v>
      </c>
      <c r="C15" s="92">
        <v>35.767361712162931</v>
      </c>
      <c r="D15" s="93">
        <f>VLOOKUP(B15,'Costdrivere 2022'!B:M,12,0)</f>
        <v>4.2203595879454846E-2</v>
      </c>
      <c r="E15" s="94">
        <f>SUM(VLOOKUP($B15,'Costdrivere 2022'!$B$4:$L$105,2,FALSE),VLOOKUP($B15,'Costdrivere 2022'!$B$4:$L$105,3,FALSE),VLOOKUP($B15,'Costdrivere 2022'!$B$4:$L$105,4,FALSE),VLOOKUP($B15,'Costdrivere 2022'!$B$4:$L$105,5,FALSE),VLOOKUP($B15,'Costdrivere 2022'!$B$4:$L$105,6,FALSE),VLOOKUP($B15,'Costdrivere 2022'!$B$4:$L$105,7,FALSE),VLOOKUP($B15,'Costdrivere 2022'!$B$4:$L$105,8,FALSE),VLOOKUP($B15,'Costdrivere 2022'!$B$4:$L$105,9,FALSE),VLOOKUP($B15,'Costdrivere 2022'!$B$4:$L$105,10,FALSE),VLOOKUP($B15,'Costdrivere 2022'!$B$4:$L$105,11,FALSE))</f>
        <v>19297328.317829847</v>
      </c>
      <c r="F15" s="93">
        <f>VLOOKUP(B15,'Costdrivere 2022'!B:AP,39,0)+VLOOKUP(B15,'Costdrivere 2022'!B:AP,40,0)+VLOOKUP(B15,'Costdrivere 2022'!B:AP,41,0)</f>
        <v>75008519.424500391</v>
      </c>
      <c r="G15" s="93">
        <v>19447420</v>
      </c>
      <c r="H15" s="94">
        <v>39711481.172684349</v>
      </c>
      <c r="I15" s="95">
        <v>15000</v>
      </c>
      <c r="J15" s="96">
        <f>VLOOKUP(B15,'Gennemførte investeringer'!B:AE,30,0)</f>
        <v>10123217.389782283</v>
      </c>
      <c r="K15" s="97">
        <f t="shared" si="0"/>
        <v>49849698.562466636</v>
      </c>
      <c r="L15" s="88">
        <f t="shared" si="1"/>
        <v>69297118.562466636</v>
      </c>
      <c r="M15" s="18">
        <v>0</v>
      </c>
      <c r="N15" s="90">
        <v>0</v>
      </c>
      <c r="O15" s="98">
        <v>0</v>
      </c>
      <c r="P15" s="88">
        <f t="shared" si="2"/>
        <v>19447420</v>
      </c>
      <c r="Q15" s="88">
        <f t="shared" si="3"/>
        <v>49849698.562466636</v>
      </c>
      <c r="R15" s="88">
        <f t="shared" si="4"/>
        <v>69297118.562466636</v>
      </c>
      <c r="S15" s="58">
        <v>0</v>
      </c>
    </row>
    <row r="16" spans="1:19" ht="16.5" customHeight="1" x14ac:dyDescent="0.25">
      <c r="A16" s="49" t="s">
        <v>45</v>
      </c>
      <c r="B16" s="49" t="s">
        <v>46</v>
      </c>
      <c r="C16" s="92">
        <v>35.747999270186625</v>
      </c>
      <c r="D16" s="93">
        <f>VLOOKUP(B16,'Costdrivere 2022'!B:M,12,0)</f>
        <v>2.4384227847924368E-2</v>
      </c>
      <c r="E16" s="94">
        <f>SUM(VLOOKUP($B16,'Costdrivere 2022'!$B$4:$L$105,2,FALSE),VLOOKUP($B16,'Costdrivere 2022'!$B$4:$L$105,3,FALSE),VLOOKUP($B16,'Costdrivere 2022'!$B$4:$L$105,4,FALSE),VLOOKUP($B16,'Costdrivere 2022'!$B$4:$L$105,5,FALSE),VLOOKUP($B16,'Costdrivere 2022'!$B$4:$L$105,6,FALSE),VLOOKUP($B16,'Costdrivere 2022'!$B$4:$L$105,7,FALSE),VLOOKUP($B16,'Costdrivere 2022'!$B$4:$L$105,8,FALSE),VLOOKUP($B16,'Costdrivere 2022'!$B$4:$L$105,9,FALSE),VLOOKUP($B16,'Costdrivere 2022'!$B$4:$L$105,10,FALSE),VLOOKUP($B16,'Costdrivere 2022'!$B$4:$L$105,11,FALSE))</f>
        <v>51168253.664708652</v>
      </c>
      <c r="F16" s="93">
        <f>VLOOKUP(B16,'Costdrivere 2022'!B:AP,39,0)+VLOOKUP(B16,'Costdrivere 2022'!B:AP,40,0)+VLOOKUP(B16,'Costdrivere 2022'!B:AP,41,0)</f>
        <v>252111874.21373489</v>
      </c>
      <c r="G16" s="93">
        <v>59857243</v>
      </c>
      <c r="H16" s="94">
        <v>103073901.88718466</v>
      </c>
      <c r="I16" s="95">
        <v>500262</v>
      </c>
      <c r="J16" s="96">
        <f>VLOOKUP(B16,'Gennemførte investeringer'!B:AE,30,0)</f>
        <v>30547747.811859399</v>
      </c>
      <c r="K16" s="97">
        <f t="shared" si="0"/>
        <v>134121911.69904406</v>
      </c>
      <c r="L16" s="88">
        <f t="shared" si="1"/>
        <v>193979154.69904405</v>
      </c>
      <c r="M16" s="18">
        <v>0</v>
      </c>
      <c r="N16" s="90">
        <v>0</v>
      </c>
      <c r="O16" s="98">
        <v>0</v>
      </c>
      <c r="P16" s="88">
        <f t="shared" si="2"/>
        <v>59857243</v>
      </c>
      <c r="Q16" s="88">
        <f t="shared" si="3"/>
        <v>134121911.69904406</v>
      </c>
      <c r="R16" s="88">
        <f t="shared" si="4"/>
        <v>193979154.69904405</v>
      </c>
      <c r="S16" s="58">
        <v>0</v>
      </c>
    </row>
    <row r="17" spans="1:19" ht="16.5" customHeight="1" x14ac:dyDescent="0.25">
      <c r="A17" s="49" t="s">
        <v>47</v>
      </c>
      <c r="B17" s="49" t="s">
        <v>48</v>
      </c>
      <c r="C17" s="92">
        <v>36.902528944768221</v>
      </c>
      <c r="D17" s="93">
        <f>VLOOKUP(B17,'Costdrivere 2022'!B:M,12,0)</f>
        <v>4.8182059780673824E-2</v>
      </c>
      <c r="E17" s="94">
        <f>SUM(VLOOKUP($B17,'Costdrivere 2022'!$B$4:$L$105,2,FALSE),VLOOKUP($B17,'Costdrivere 2022'!$B$4:$L$105,3,FALSE),VLOOKUP($B17,'Costdrivere 2022'!$B$4:$L$105,4,FALSE),VLOOKUP($B17,'Costdrivere 2022'!$B$4:$L$105,5,FALSE),VLOOKUP($B17,'Costdrivere 2022'!$B$4:$L$105,6,FALSE),VLOOKUP($B17,'Costdrivere 2022'!$B$4:$L$105,7,FALSE),VLOOKUP($B17,'Costdrivere 2022'!$B$4:$L$105,8,FALSE),VLOOKUP($B17,'Costdrivere 2022'!$B$4:$L$105,9,FALSE),VLOOKUP($B17,'Costdrivere 2022'!$B$4:$L$105,10,FALSE),VLOOKUP($B17,'Costdrivere 2022'!$B$4:$L$105,11,FALSE))</f>
        <v>86603029.26000835</v>
      </c>
      <c r="F17" s="93">
        <f>VLOOKUP(B17,'Costdrivere 2022'!B:AP,39,0)+VLOOKUP(B17,'Costdrivere 2022'!B:AP,40,0)+VLOOKUP(B17,'Costdrivere 2022'!B:AP,41,0)</f>
        <v>267455329.53319779</v>
      </c>
      <c r="G17" s="93">
        <v>93546331.5</v>
      </c>
      <c r="H17" s="94">
        <v>127814287.90664694</v>
      </c>
      <c r="I17" s="95">
        <v>8146837</v>
      </c>
      <c r="J17" s="96">
        <f>VLOOKUP(B17,'Gennemførte investeringer'!B:AE,30,0)</f>
        <v>34577485.394725233</v>
      </c>
      <c r="K17" s="97">
        <f t="shared" si="0"/>
        <v>170538610.30137217</v>
      </c>
      <c r="L17" s="88">
        <f t="shared" si="1"/>
        <v>264084941.80137217</v>
      </c>
      <c r="M17" s="18">
        <v>0</v>
      </c>
      <c r="N17" s="90">
        <v>0</v>
      </c>
      <c r="O17" s="98">
        <v>0</v>
      </c>
      <c r="P17" s="88">
        <f t="shared" si="2"/>
        <v>93546331.5</v>
      </c>
      <c r="Q17" s="88">
        <f t="shared" si="3"/>
        <v>170538610.30137217</v>
      </c>
      <c r="R17" s="88">
        <f t="shared" si="4"/>
        <v>264084941.80137217</v>
      </c>
      <c r="S17" s="58">
        <v>0</v>
      </c>
    </row>
    <row r="18" spans="1:19" ht="16.5" customHeight="1" x14ac:dyDescent="0.25">
      <c r="A18" s="49" t="s">
        <v>49</v>
      </c>
      <c r="B18" s="49" t="s">
        <v>50</v>
      </c>
      <c r="C18" s="92">
        <v>33.905256264411776</v>
      </c>
      <c r="D18" s="93">
        <f>VLOOKUP(B18,'Costdrivere 2022'!B:M,12,0)</f>
        <v>2.6517829118847147E-2</v>
      </c>
      <c r="E18" s="94">
        <f>SUM(VLOOKUP($B18,'Costdrivere 2022'!$B$4:$L$105,2,FALSE),VLOOKUP($B18,'Costdrivere 2022'!$B$4:$L$105,3,FALSE),VLOOKUP($B18,'Costdrivere 2022'!$B$4:$L$105,4,FALSE),VLOOKUP($B18,'Costdrivere 2022'!$B$4:$L$105,5,FALSE),VLOOKUP($B18,'Costdrivere 2022'!$B$4:$L$105,6,FALSE),VLOOKUP($B18,'Costdrivere 2022'!$B$4:$L$105,7,FALSE),VLOOKUP($B18,'Costdrivere 2022'!$B$4:$L$105,8,FALSE),VLOOKUP($B18,'Costdrivere 2022'!$B$4:$L$105,9,FALSE),VLOOKUP($B18,'Costdrivere 2022'!$B$4:$L$105,10,FALSE),VLOOKUP($B18,'Costdrivere 2022'!$B$4:$L$105,11,FALSE))</f>
        <v>26197959.765506428</v>
      </c>
      <c r="F18" s="93">
        <f>VLOOKUP(B18,'Costdrivere 2022'!B:AP,39,0)+VLOOKUP(B18,'Costdrivere 2022'!B:AP,40,0)+VLOOKUP(B18,'Costdrivere 2022'!B:AP,41,0)</f>
        <v>110646715.63153255</v>
      </c>
      <c r="G18" s="93">
        <v>26635361</v>
      </c>
      <c r="H18" s="94">
        <v>53451545.888288572</v>
      </c>
      <c r="I18" s="95">
        <v>2516622</v>
      </c>
      <c r="J18" s="96">
        <f>VLOOKUP(B18,'Gennemførte investeringer'!B:AE,30,0)</f>
        <v>12242780.325879656</v>
      </c>
      <c r="K18" s="97">
        <f t="shared" si="0"/>
        <v>68210948.214168221</v>
      </c>
      <c r="L18" s="88">
        <f t="shared" si="1"/>
        <v>94846309.214168221</v>
      </c>
      <c r="M18" s="18">
        <v>0</v>
      </c>
      <c r="N18" s="90">
        <v>0</v>
      </c>
      <c r="O18" s="98">
        <v>0</v>
      </c>
      <c r="P18" s="88">
        <f t="shared" si="2"/>
        <v>26635361</v>
      </c>
      <c r="Q18" s="88">
        <f t="shared" si="3"/>
        <v>68210948.214168221</v>
      </c>
      <c r="R18" s="88">
        <f t="shared" si="4"/>
        <v>94846309.214168221</v>
      </c>
      <c r="S18" s="58">
        <v>0</v>
      </c>
    </row>
    <row r="19" spans="1:19" ht="16.5" customHeight="1" x14ac:dyDescent="0.25">
      <c r="A19" s="49" t="s">
        <v>51</v>
      </c>
      <c r="B19" s="49" t="s">
        <v>52</v>
      </c>
      <c r="C19" s="92">
        <v>35.461433228890598</v>
      </c>
      <c r="D19" s="93">
        <f>VLOOKUP(B19,'Costdrivere 2022'!B:M,12,0)</f>
        <v>2.6779002491659272E-2</v>
      </c>
      <c r="E19" s="94">
        <f>SUM(VLOOKUP($B19,'Costdrivere 2022'!$B$4:$L$105,2,FALSE),VLOOKUP($B19,'Costdrivere 2022'!$B$4:$L$105,3,FALSE),VLOOKUP($B19,'Costdrivere 2022'!$B$4:$L$105,4,FALSE),VLOOKUP($B19,'Costdrivere 2022'!$B$4:$L$105,5,FALSE),VLOOKUP($B19,'Costdrivere 2022'!$B$4:$L$105,6,FALSE),VLOOKUP($B19,'Costdrivere 2022'!$B$4:$L$105,7,FALSE),VLOOKUP($B19,'Costdrivere 2022'!$B$4:$L$105,8,FALSE),VLOOKUP($B19,'Costdrivere 2022'!$B$4:$L$105,9,FALSE),VLOOKUP($B19,'Costdrivere 2022'!$B$4:$L$105,10,FALSE),VLOOKUP($B19,'Costdrivere 2022'!$B$4:$L$105,11,FALSE))</f>
        <v>10287605.663784442</v>
      </c>
      <c r="F19" s="93">
        <f>VLOOKUP(B19,'Costdrivere 2022'!B:AP,39,0)+VLOOKUP(B19,'Costdrivere 2022'!B:AP,40,0)+VLOOKUP(B19,'Costdrivere 2022'!B:AP,41,0)</f>
        <v>61932979.6972121</v>
      </c>
      <c r="G19" s="93">
        <v>10600109.949999999</v>
      </c>
      <c r="H19" s="94">
        <v>40180443.704652205</v>
      </c>
      <c r="I19" s="95">
        <v>2013001</v>
      </c>
      <c r="J19" s="96">
        <f>VLOOKUP(B19,'Gennemførte investeringer'!B:AE,30,0)</f>
        <v>8362851.1955850786</v>
      </c>
      <c r="K19" s="97">
        <f t="shared" si="0"/>
        <v>50556295.900237285</v>
      </c>
      <c r="L19" s="88">
        <f t="shared" si="1"/>
        <v>61156405.85023728</v>
      </c>
      <c r="M19" s="18">
        <v>0</v>
      </c>
      <c r="N19" s="90">
        <v>0</v>
      </c>
      <c r="O19" s="98">
        <v>0</v>
      </c>
      <c r="P19" s="88">
        <f t="shared" si="2"/>
        <v>10600109.949999999</v>
      </c>
      <c r="Q19" s="88">
        <f t="shared" si="3"/>
        <v>50556295.900237285</v>
      </c>
      <c r="R19" s="88">
        <f t="shared" si="4"/>
        <v>61156405.85023728</v>
      </c>
      <c r="S19" s="58">
        <v>0</v>
      </c>
    </row>
    <row r="20" spans="1:19" ht="16.5" customHeight="1" x14ac:dyDescent="0.25">
      <c r="A20" s="49" t="s">
        <v>53</v>
      </c>
      <c r="B20" s="49" t="s">
        <v>54</v>
      </c>
      <c r="C20" s="92">
        <v>23.739340249394065</v>
      </c>
      <c r="D20" s="93">
        <f>VLOOKUP(B20,'Costdrivere 2022'!B:M,12,0)</f>
        <v>0</v>
      </c>
      <c r="E20" s="94">
        <f>SUM(VLOOKUP($B20,'Costdrivere 2022'!$B$4:$L$105,2,FALSE),VLOOKUP($B20,'Costdrivere 2022'!$B$4:$L$105,3,FALSE),VLOOKUP($B20,'Costdrivere 2022'!$B$4:$L$105,4,FALSE),VLOOKUP($B20,'Costdrivere 2022'!$B$4:$L$105,5,FALSE),VLOOKUP($B20,'Costdrivere 2022'!$B$4:$L$105,6,FALSE),VLOOKUP($B20,'Costdrivere 2022'!$B$4:$L$105,7,FALSE),VLOOKUP($B20,'Costdrivere 2022'!$B$4:$L$105,8,FALSE),VLOOKUP($B20,'Costdrivere 2022'!$B$4:$L$105,9,FALSE),VLOOKUP($B20,'Costdrivere 2022'!$B$4:$L$105,10,FALSE),VLOOKUP($B20,'Costdrivere 2022'!$B$4:$L$105,11,FALSE))</f>
        <v>28198972.625652537</v>
      </c>
      <c r="F20" s="93">
        <f>VLOOKUP(B20,'Costdrivere 2022'!B:AP,39,0)+VLOOKUP(B20,'Costdrivere 2022'!B:AP,40,0)+VLOOKUP(B20,'Costdrivere 2022'!B:AP,41,0)</f>
        <v>21243255.076574337</v>
      </c>
      <c r="G20" s="93">
        <v>29804662.760000002</v>
      </c>
      <c r="H20" s="94">
        <v>4467708.0059898943</v>
      </c>
      <c r="I20" s="95">
        <v>1276066</v>
      </c>
      <c r="J20" s="96">
        <f>VLOOKUP(B20,'Gennemførte investeringer'!B:AE,30,0)</f>
        <v>6140932.9054955794</v>
      </c>
      <c r="K20" s="97">
        <f t="shared" si="0"/>
        <v>11884706.911485475</v>
      </c>
      <c r="L20" s="88">
        <f t="shared" si="1"/>
        <v>41689369.671485476</v>
      </c>
      <c r="M20" s="18">
        <v>0</v>
      </c>
      <c r="N20" s="90">
        <v>0</v>
      </c>
      <c r="O20" s="98">
        <v>0</v>
      </c>
      <c r="P20" s="88">
        <f t="shared" si="2"/>
        <v>29804662.760000002</v>
      </c>
      <c r="Q20" s="88">
        <f t="shared" si="3"/>
        <v>11884706.911485475</v>
      </c>
      <c r="R20" s="88">
        <f t="shared" si="4"/>
        <v>41689369.671485476</v>
      </c>
      <c r="S20" s="58">
        <v>0</v>
      </c>
    </row>
    <row r="21" spans="1:19" ht="16.5" customHeight="1" x14ac:dyDescent="0.25">
      <c r="A21" s="49" t="s">
        <v>55</v>
      </c>
      <c r="B21" s="49" t="s">
        <v>56</v>
      </c>
      <c r="C21" s="92">
        <v>37.395477292036389</v>
      </c>
      <c r="D21" s="93">
        <f>VLOOKUP(B21,'Costdrivere 2022'!B:M,12,0)</f>
        <v>2.2795680228739235E-2</v>
      </c>
      <c r="E21" s="94">
        <f>SUM(VLOOKUP($B21,'Costdrivere 2022'!$B$4:$L$105,2,FALSE),VLOOKUP($B21,'Costdrivere 2022'!$B$4:$L$105,3,FALSE),VLOOKUP($B21,'Costdrivere 2022'!$B$4:$L$105,4,FALSE),VLOOKUP($B21,'Costdrivere 2022'!$B$4:$L$105,5,FALSE),VLOOKUP($B21,'Costdrivere 2022'!$B$4:$L$105,6,FALSE),VLOOKUP($B21,'Costdrivere 2022'!$B$4:$L$105,7,FALSE),VLOOKUP($B21,'Costdrivere 2022'!$B$4:$L$105,8,FALSE),VLOOKUP($B21,'Costdrivere 2022'!$B$4:$L$105,9,FALSE),VLOOKUP($B21,'Costdrivere 2022'!$B$4:$L$105,10,FALSE),VLOOKUP($B21,'Costdrivere 2022'!$B$4:$L$105,11,FALSE))</f>
        <v>40361836.091149703</v>
      </c>
      <c r="F21" s="93">
        <f>VLOOKUP(B21,'Costdrivere 2022'!B:AP,39,0)+VLOOKUP(B21,'Costdrivere 2022'!B:AP,40,0)+VLOOKUP(B21,'Costdrivere 2022'!B:AP,41,0)</f>
        <v>123254312.22427242</v>
      </c>
      <c r="G21" s="93">
        <v>39197723</v>
      </c>
      <c r="H21" s="94">
        <v>59237510.919557251</v>
      </c>
      <c r="I21" s="95">
        <v>524313</v>
      </c>
      <c r="J21" s="96">
        <f>VLOOKUP(B21,'Gennemførte investeringer'!B:AE,30,0)</f>
        <v>16453560.838921648</v>
      </c>
      <c r="K21" s="97">
        <f t="shared" si="0"/>
        <v>76215384.758478895</v>
      </c>
      <c r="L21" s="88">
        <f t="shared" si="1"/>
        <v>115413107.75847889</v>
      </c>
      <c r="M21" s="18">
        <v>0</v>
      </c>
      <c r="N21" s="90">
        <v>0</v>
      </c>
      <c r="O21" s="98">
        <v>0</v>
      </c>
      <c r="P21" s="88">
        <f t="shared" si="2"/>
        <v>39197723</v>
      </c>
      <c r="Q21" s="88">
        <f t="shared" si="3"/>
        <v>76215384.758478895</v>
      </c>
      <c r="R21" s="88">
        <f t="shared" si="4"/>
        <v>115413107.75847889</v>
      </c>
      <c r="S21" s="58">
        <v>0</v>
      </c>
    </row>
    <row r="22" spans="1:19" ht="16.5" customHeight="1" x14ac:dyDescent="0.25">
      <c r="A22" s="49" t="s">
        <v>57</v>
      </c>
      <c r="B22" s="49" t="s">
        <v>58</v>
      </c>
      <c r="C22" s="92">
        <v>29.776269529878284</v>
      </c>
      <c r="D22" s="93">
        <f>VLOOKUP(B22,'Costdrivere 2022'!B:M,12,0)</f>
        <v>7.4137729451654394E-2</v>
      </c>
      <c r="E22" s="94">
        <f>SUM(VLOOKUP($B22,'Costdrivere 2022'!$B$4:$L$105,2,FALSE),VLOOKUP($B22,'Costdrivere 2022'!$B$4:$L$105,3,FALSE),VLOOKUP($B22,'Costdrivere 2022'!$B$4:$L$105,4,FALSE),VLOOKUP($B22,'Costdrivere 2022'!$B$4:$L$105,5,FALSE),VLOOKUP($B22,'Costdrivere 2022'!$B$4:$L$105,6,FALSE),VLOOKUP($B22,'Costdrivere 2022'!$B$4:$L$105,7,FALSE),VLOOKUP($B22,'Costdrivere 2022'!$B$4:$L$105,8,FALSE),VLOOKUP($B22,'Costdrivere 2022'!$B$4:$L$105,9,FALSE),VLOOKUP($B22,'Costdrivere 2022'!$B$4:$L$105,10,FALSE),VLOOKUP($B22,'Costdrivere 2022'!$B$4:$L$105,11,FALSE))</f>
        <v>33886860.857314996</v>
      </c>
      <c r="F22" s="93">
        <f>VLOOKUP(B22,'Costdrivere 2022'!B:AP,39,0)+VLOOKUP(B22,'Costdrivere 2022'!B:AP,40,0)+VLOOKUP(B22,'Costdrivere 2022'!B:AP,41,0)</f>
        <v>89057084.494721353</v>
      </c>
      <c r="G22" s="93">
        <v>45342554</v>
      </c>
      <c r="H22" s="94">
        <v>44415208.298774816</v>
      </c>
      <c r="I22" s="95">
        <v>1233203</v>
      </c>
      <c r="J22" s="96">
        <f>VLOOKUP(B22,'Gennemførte investeringer'!B:AE,30,0)</f>
        <v>19556010.461720884</v>
      </c>
      <c r="K22" s="97">
        <f t="shared" si="0"/>
        <v>65204421.7604957</v>
      </c>
      <c r="L22" s="88">
        <f t="shared" si="1"/>
        <v>110546975.76049569</v>
      </c>
      <c r="M22" s="18">
        <v>0</v>
      </c>
      <c r="N22" s="90">
        <v>0</v>
      </c>
      <c r="O22" s="98">
        <v>0</v>
      </c>
      <c r="P22" s="88">
        <f t="shared" si="2"/>
        <v>45342554</v>
      </c>
      <c r="Q22" s="88">
        <f t="shared" si="3"/>
        <v>65204421.7604957</v>
      </c>
      <c r="R22" s="88">
        <f t="shared" si="4"/>
        <v>110546975.76049569</v>
      </c>
      <c r="S22" s="58">
        <v>0</v>
      </c>
    </row>
    <row r="23" spans="1:19" ht="16.5" customHeight="1" x14ac:dyDescent="0.25">
      <c r="A23" s="49" t="s">
        <v>59</v>
      </c>
      <c r="B23" s="49" t="s">
        <v>60</v>
      </c>
      <c r="C23" s="92">
        <v>36.535074313680106</v>
      </c>
      <c r="D23" s="93">
        <f>VLOOKUP(B23,'Costdrivere 2022'!B:M,12,0)</f>
        <v>5.3407130904878357E-2</v>
      </c>
      <c r="E23" s="94">
        <f>SUM(VLOOKUP($B23,'Costdrivere 2022'!$B$4:$L$105,2,FALSE),VLOOKUP($B23,'Costdrivere 2022'!$B$4:$L$105,3,FALSE),VLOOKUP($B23,'Costdrivere 2022'!$B$4:$L$105,4,FALSE),VLOOKUP($B23,'Costdrivere 2022'!$B$4:$L$105,5,FALSE),VLOOKUP($B23,'Costdrivere 2022'!$B$4:$L$105,6,FALSE),VLOOKUP($B23,'Costdrivere 2022'!$B$4:$L$105,7,FALSE),VLOOKUP($B23,'Costdrivere 2022'!$B$4:$L$105,8,FALSE),VLOOKUP($B23,'Costdrivere 2022'!$B$4:$L$105,9,FALSE),VLOOKUP($B23,'Costdrivere 2022'!$B$4:$L$105,10,FALSE),VLOOKUP($B23,'Costdrivere 2022'!$B$4:$L$105,11,FALSE))</f>
        <v>17193692.618419684</v>
      </c>
      <c r="F23" s="93">
        <f>VLOOKUP(B23,'Costdrivere 2022'!B:AP,39,0)+VLOOKUP(B23,'Costdrivere 2022'!B:AP,40,0)+VLOOKUP(B23,'Costdrivere 2022'!B:AP,41,0)</f>
        <v>58351394.188855268</v>
      </c>
      <c r="G23" s="93">
        <v>16265933.569999997</v>
      </c>
      <c r="H23" s="94">
        <v>31751446.102940407</v>
      </c>
      <c r="I23" s="95">
        <v>2538371.7000000002</v>
      </c>
      <c r="J23" s="96">
        <f>VLOOKUP(B23,'Gennemførte investeringer'!B:AE,30,0)</f>
        <v>8786818.3220965117</v>
      </c>
      <c r="K23" s="97">
        <f t="shared" si="0"/>
        <v>43076636.125036918</v>
      </c>
      <c r="L23" s="88">
        <f t="shared" si="1"/>
        <v>59342569.695036918</v>
      </c>
      <c r="M23" s="18">
        <v>0</v>
      </c>
      <c r="N23" s="90">
        <v>0</v>
      </c>
      <c r="O23" s="98">
        <v>0</v>
      </c>
      <c r="P23" s="88">
        <f t="shared" si="2"/>
        <v>16265933.569999997</v>
      </c>
      <c r="Q23" s="88">
        <f t="shared" si="3"/>
        <v>43076636.125036918</v>
      </c>
      <c r="R23" s="88">
        <f t="shared" si="4"/>
        <v>59342569.695036918</v>
      </c>
      <c r="S23" s="58">
        <v>0</v>
      </c>
    </row>
    <row r="24" spans="1:19" ht="16.5" customHeight="1" x14ac:dyDescent="0.25">
      <c r="A24" s="49" t="s">
        <v>61</v>
      </c>
      <c r="B24" s="49" t="s">
        <v>62</v>
      </c>
      <c r="C24" s="92">
        <v>32.552212269649857</v>
      </c>
      <c r="D24" s="93">
        <f>VLOOKUP(B24,'Costdrivere 2022'!B:M,12,0)</f>
        <v>4.0852845518324216E-2</v>
      </c>
      <c r="E24" s="94">
        <f>SUM(VLOOKUP($B24,'Costdrivere 2022'!$B$4:$L$105,2,FALSE),VLOOKUP($B24,'Costdrivere 2022'!$B$4:$L$105,3,FALSE),VLOOKUP($B24,'Costdrivere 2022'!$B$4:$L$105,4,FALSE),VLOOKUP($B24,'Costdrivere 2022'!$B$4:$L$105,5,FALSE),VLOOKUP($B24,'Costdrivere 2022'!$B$4:$L$105,6,FALSE),VLOOKUP($B24,'Costdrivere 2022'!$B$4:$L$105,7,FALSE),VLOOKUP($B24,'Costdrivere 2022'!$B$4:$L$105,8,FALSE),VLOOKUP($B24,'Costdrivere 2022'!$B$4:$L$105,9,FALSE),VLOOKUP($B24,'Costdrivere 2022'!$B$4:$L$105,10,FALSE),VLOOKUP($B24,'Costdrivere 2022'!$B$4:$L$105,11,FALSE))</f>
        <v>43459304.890413754</v>
      </c>
      <c r="F24" s="93">
        <f>VLOOKUP(B24,'Costdrivere 2022'!B:AP,39,0)+VLOOKUP(B24,'Costdrivere 2022'!B:AP,40,0)+VLOOKUP(B24,'Costdrivere 2022'!B:AP,41,0)</f>
        <v>131595945.10731593</v>
      </c>
      <c r="G24" s="93">
        <v>53088806.82</v>
      </c>
      <c r="H24" s="94">
        <v>64383153.523659572</v>
      </c>
      <c r="I24" s="95">
        <v>3628000</v>
      </c>
      <c r="J24" s="96">
        <f>VLOOKUP(B24,'Gennemførte investeringer'!B:AE,30,0)</f>
        <v>20902542.685496025</v>
      </c>
      <c r="K24" s="97">
        <f t="shared" si="0"/>
        <v>88913696.209155589</v>
      </c>
      <c r="L24" s="88">
        <f t="shared" si="1"/>
        <v>142002503.02915558</v>
      </c>
      <c r="M24" s="18">
        <v>0</v>
      </c>
      <c r="N24" s="90">
        <v>0</v>
      </c>
      <c r="O24" s="98">
        <v>0</v>
      </c>
      <c r="P24" s="88">
        <f t="shared" si="2"/>
        <v>53088806.82</v>
      </c>
      <c r="Q24" s="88">
        <f t="shared" si="3"/>
        <v>88913696.209155589</v>
      </c>
      <c r="R24" s="88">
        <f t="shared" si="4"/>
        <v>142002503.02915558</v>
      </c>
      <c r="S24" s="58">
        <v>0</v>
      </c>
    </row>
    <row r="25" spans="1:19" ht="16.5" customHeight="1" x14ac:dyDescent="0.25">
      <c r="A25" s="49" t="s">
        <v>63</v>
      </c>
      <c r="B25" s="49" t="s">
        <v>64</v>
      </c>
      <c r="C25" s="92">
        <v>26.767047821548541</v>
      </c>
      <c r="D25" s="93">
        <f>VLOOKUP(B25,'Costdrivere 2022'!B:M,12,0)</f>
        <v>0.32248526991878546</v>
      </c>
      <c r="E25" s="94">
        <f>SUM(VLOOKUP($B25,'Costdrivere 2022'!$B$4:$L$105,2,FALSE),VLOOKUP($B25,'Costdrivere 2022'!$B$4:$L$105,3,FALSE),VLOOKUP($B25,'Costdrivere 2022'!$B$4:$L$105,4,FALSE),VLOOKUP($B25,'Costdrivere 2022'!$B$4:$L$105,5,FALSE),VLOOKUP($B25,'Costdrivere 2022'!$B$4:$L$105,6,FALSE),VLOOKUP($B25,'Costdrivere 2022'!$B$4:$L$105,7,FALSE),VLOOKUP($B25,'Costdrivere 2022'!$B$4:$L$105,8,FALSE),VLOOKUP($B25,'Costdrivere 2022'!$B$4:$L$105,9,FALSE),VLOOKUP($B25,'Costdrivere 2022'!$B$4:$L$105,10,FALSE),VLOOKUP($B25,'Costdrivere 2022'!$B$4:$L$105,11,FALSE))</f>
        <v>14299721.640702069</v>
      </c>
      <c r="F25" s="93">
        <f>VLOOKUP(B25,'Costdrivere 2022'!B:AP,39,0)+VLOOKUP(B25,'Costdrivere 2022'!B:AP,40,0)+VLOOKUP(B25,'Costdrivere 2022'!B:AP,41,0)</f>
        <v>48189608.138887495</v>
      </c>
      <c r="G25" s="93">
        <v>24301542</v>
      </c>
      <c r="H25" s="94">
        <v>18260077.933891691</v>
      </c>
      <c r="I25" s="95">
        <v>6178231</v>
      </c>
      <c r="J25" s="96">
        <f>VLOOKUP(B25,'Gennemførte investeringer'!B:AE,30,0)</f>
        <v>10630513.232001487</v>
      </c>
      <c r="K25" s="97">
        <f t="shared" si="0"/>
        <v>35068822.165893182</v>
      </c>
      <c r="L25" s="88">
        <f t="shared" si="1"/>
        <v>59370364.165893182</v>
      </c>
      <c r="M25" s="18">
        <v>469905.33333333331</v>
      </c>
      <c r="N25" s="90">
        <v>0</v>
      </c>
      <c r="O25" s="98">
        <v>0</v>
      </c>
      <c r="P25" s="88">
        <f t="shared" si="2"/>
        <v>24301542</v>
      </c>
      <c r="Q25" s="88">
        <f t="shared" si="3"/>
        <v>34598916.832559846</v>
      </c>
      <c r="R25" s="88">
        <f t="shared" si="4"/>
        <v>58900458.832559846</v>
      </c>
      <c r="S25" s="58">
        <v>0</v>
      </c>
    </row>
    <row r="26" spans="1:19" ht="16.5" customHeight="1" x14ac:dyDescent="0.25">
      <c r="A26" s="49" t="s">
        <v>65</v>
      </c>
      <c r="B26" s="49" t="s">
        <v>66</v>
      </c>
      <c r="C26" s="92">
        <v>34.696404481102135</v>
      </c>
      <c r="D26" s="93">
        <f>VLOOKUP(B26,'Costdrivere 2022'!B:M,12,0)</f>
        <v>4.6761797674661224E-2</v>
      </c>
      <c r="E26" s="94">
        <f>SUM(VLOOKUP($B26,'Costdrivere 2022'!$B$4:$L$105,2,FALSE),VLOOKUP($B26,'Costdrivere 2022'!$B$4:$L$105,3,FALSE),VLOOKUP($B26,'Costdrivere 2022'!$B$4:$L$105,4,FALSE),VLOOKUP($B26,'Costdrivere 2022'!$B$4:$L$105,5,FALSE),VLOOKUP($B26,'Costdrivere 2022'!$B$4:$L$105,6,FALSE),VLOOKUP($B26,'Costdrivere 2022'!$B$4:$L$105,7,FALSE),VLOOKUP($B26,'Costdrivere 2022'!$B$4:$L$105,8,FALSE),VLOOKUP($B26,'Costdrivere 2022'!$B$4:$L$105,9,FALSE),VLOOKUP($B26,'Costdrivere 2022'!$B$4:$L$105,10,FALSE),VLOOKUP($B26,'Costdrivere 2022'!$B$4:$L$105,11,FALSE))</f>
        <v>62357870.367197536</v>
      </c>
      <c r="F26" s="93">
        <f>VLOOKUP(B26,'Costdrivere 2022'!B:AP,39,0)+VLOOKUP(B26,'Costdrivere 2022'!B:AP,40,0)+VLOOKUP(B26,'Costdrivere 2022'!B:AP,41,0)</f>
        <v>146391859.72240737</v>
      </c>
      <c r="G26" s="93">
        <v>78899505.400000006</v>
      </c>
      <c r="H26" s="94">
        <v>76723172.582171589</v>
      </c>
      <c r="I26" s="95">
        <v>5487363</v>
      </c>
      <c r="J26" s="96">
        <f>VLOOKUP(B26,'Gennemførte investeringer'!B:AE,30,0)</f>
        <v>18777135.184089396</v>
      </c>
      <c r="K26" s="97">
        <f t="shared" si="0"/>
        <v>100987670.76626098</v>
      </c>
      <c r="L26" s="88">
        <f t="shared" si="1"/>
        <v>179887176.16626099</v>
      </c>
      <c r="M26" s="18">
        <v>0</v>
      </c>
      <c r="N26" s="90">
        <v>0</v>
      </c>
      <c r="O26" s="98">
        <v>0</v>
      </c>
      <c r="P26" s="88">
        <f t="shared" si="2"/>
        <v>78899505.400000006</v>
      </c>
      <c r="Q26" s="88">
        <f t="shared" si="3"/>
        <v>100987670.76626098</v>
      </c>
      <c r="R26" s="88">
        <f t="shared" si="4"/>
        <v>179887176.16626099</v>
      </c>
      <c r="S26" s="58">
        <v>0</v>
      </c>
    </row>
    <row r="27" spans="1:19" ht="16.5" customHeight="1" x14ac:dyDescent="0.25">
      <c r="A27" s="49" t="s">
        <v>67</v>
      </c>
      <c r="B27" s="49" t="s">
        <v>68</v>
      </c>
      <c r="C27" s="92">
        <v>36.078739887227215</v>
      </c>
      <c r="D27" s="93">
        <f>VLOOKUP(B27,'Costdrivere 2022'!B:M,12,0)</f>
        <v>4.2006459078113408E-2</v>
      </c>
      <c r="E27" s="94">
        <f>SUM(VLOOKUP($B27,'Costdrivere 2022'!$B$4:$L$105,2,FALSE),VLOOKUP($B27,'Costdrivere 2022'!$B$4:$L$105,3,FALSE),VLOOKUP($B27,'Costdrivere 2022'!$B$4:$L$105,4,FALSE),VLOOKUP($B27,'Costdrivere 2022'!$B$4:$L$105,5,FALSE),VLOOKUP($B27,'Costdrivere 2022'!$B$4:$L$105,6,FALSE),VLOOKUP($B27,'Costdrivere 2022'!$B$4:$L$105,7,FALSE),VLOOKUP($B27,'Costdrivere 2022'!$B$4:$L$105,8,FALSE),VLOOKUP($B27,'Costdrivere 2022'!$B$4:$L$105,9,FALSE),VLOOKUP($B27,'Costdrivere 2022'!$B$4:$L$105,10,FALSE),VLOOKUP($B27,'Costdrivere 2022'!$B$4:$L$105,11,FALSE))</f>
        <v>31861129.865115207</v>
      </c>
      <c r="F27" s="93">
        <f>VLOOKUP(B27,'Costdrivere 2022'!B:AP,39,0)+VLOOKUP(B27,'Costdrivere 2022'!B:AP,40,0)+VLOOKUP(B27,'Costdrivere 2022'!B:AP,41,0)</f>
        <v>83300000.053280085</v>
      </c>
      <c r="G27" s="93">
        <v>28070156</v>
      </c>
      <c r="H27" s="94">
        <v>39917077.976084337</v>
      </c>
      <c r="I27" s="95">
        <v>1865000</v>
      </c>
      <c r="J27" s="96">
        <f>VLOOKUP(B27,'Gennemførte investeringer'!B:AE,30,0)</f>
        <v>17497502.826473631</v>
      </c>
      <c r="K27" s="97">
        <f t="shared" si="0"/>
        <v>59279580.802557968</v>
      </c>
      <c r="L27" s="88">
        <f t="shared" si="1"/>
        <v>87349736.802557975</v>
      </c>
      <c r="M27" s="18">
        <v>0</v>
      </c>
      <c r="N27" s="90">
        <v>0</v>
      </c>
      <c r="O27" s="98">
        <v>0</v>
      </c>
      <c r="P27" s="88">
        <f t="shared" si="2"/>
        <v>28070156</v>
      </c>
      <c r="Q27" s="88">
        <f t="shared" si="3"/>
        <v>59279580.802557968</v>
      </c>
      <c r="R27" s="88">
        <f t="shared" si="4"/>
        <v>87349736.802557975</v>
      </c>
      <c r="S27" s="58">
        <v>0</v>
      </c>
    </row>
    <row r="28" spans="1:19" ht="16.5" customHeight="1" x14ac:dyDescent="0.25">
      <c r="A28" s="49" t="s">
        <v>69</v>
      </c>
      <c r="B28" s="49" t="s">
        <v>70</v>
      </c>
      <c r="C28" s="92">
        <v>39.883940415322023</v>
      </c>
      <c r="D28" s="93">
        <f>VLOOKUP(B28,'Costdrivere 2022'!B:M,12,0)</f>
        <v>7.0512517314774162E-2</v>
      </c>
      <c r="E28" s="94">
        <f>SUM(VLOOKUP($B28,'Costdrivere 2022'!$B$4:$L$105,2,FALSE),VLOOKUP($B28,'Costdrivere 2022'!$B$4:$L$105,3,FALSE),VLOOKUP($B28,'Costdrivere 2022'!$B$4:$L$105,4,FALSE),VLOOKUP($B28,'Costdrivere 2022'!$B$4:$L$105,5,FALSE),VLOOKUP($B28,'Costdrivere 2022'!$B$4:$L$105,6,FALSE),VLOOKUP($B28,'Costdrivere 2022'!$B$4:$L$105,7,FALSE),VLOOKUP($B28,'Costdrivere 2022'!$B$4:$L$105,8,FALSE),VLOOKUP($B28,'Costdrivere 2022'!$B$4:$L$105,9,FALSE),VLOOKUP($B28,'Costdrivere 2022'!$B$4:$L$105,10,FALSE),VLOOKUP($B28,'Costdrivere 2022'!$B$4:$L$105,11,FALSE))</f>
        <v>16384149.915052045</v>
      </c>
      <c r="F28" s="93">
        <f>VLOOKUP(B28,'Costdrivere 2022'!B:AP,39,0)+VLOOKUP(B28,'Costdrivere 2022'!B:AP,40,0)+VLOOKUP(B28,'Costdrivere 2022'!B:AP,41,0)</f>
        <v>61930628.525534317</v>
      </c>
      <c r="G28" s="93">
        <v>19719955</v>
      </c>
      <c r="H28" s="94">
        <v>23352513.242290109</v>
      </c>
      <c r="I28" s="95">
        <v>1340000</v>
      </c>
      <c r="J28" s="96">
        <f>VLOOKUP(B28,'Gennemførte investeringer'!B:AE,30,0)</f>
        <v>10736130.758307228</v>
      </c>
      <c r="K28" s="97">
        <f t="shared" si="0"/>
        <v>35428644.000597335</v>
      </c>
      <c r="L28" s="88">
        <f t="shared" si="1"/>
        <v>55148599.000597335</v>
      </c>
      <c r="M28" s="18">
        <v>0</v>
      </c>
      <c r="N28" s="90">
        <v>0</v>
      </c>
      <c r="O28" s="98">
        <v>0</v>
      </c>
      <c r="P28" s="88">
        <f t="shared" si="2"/>
        <v>19719955</v>
      </c>
      <c r="Q28" s="88">
        <f t="shared" si="3"/>
        <v>35428644.000597335</v>
      </c>
      <c r="R28" s="88">
        <f t="shared" si="4"/>
        <v>55148599.000597335</v>
      </c>
      <c r="S28" s="58">
        <v>0</v>
      </c>
    </row>
    <row r="29" spans="1:19" ht="16.5" customHeight="1" x14ac:dyDescent="0.25">
      <c r="A29" s="49" t="s">
        <v>71</v>
      </c>
      <c r="B29" s="49" t="s">
        <v>72</v>
      </c>
      <c r="C29" s="92">
        <v>14.134550765603937</v>
      </c>
      <c r="D29" s="93">
        <f>VLOOKUP(B29,'Costdrivere 2022'!B:M,12,0)</f>
        <v>9.8572368869016547E-2</v>
      </c>
      <c r="E29" s="94">
        <f>SUM(VLOOKUP($B29,'Costdrivere 2022'!$B$4:$L$105,2,FALSE),VLOOKUP($B29,'Costdrivere 2022'!$B$4:$L$105,3,FALSE),VLOOKUP($B29,'Costdrivere 2022'!$B$4:$L$105,4,FALSE),VLOOKUP($B29,'Costdrivere 2022'!$B$4:$L$105,5,FALSE),VLOOKUP($B29,'Costdrivere 2022'!$B$4:$L$105,6,FALSE),VLOOKUP($B29,'Costdrivere 2022'!$B$4:$L$105,7,FALSE),VLOOKUP($B29,'Costdrivere 2022'!$B$4:$L$105,8,FALSE),VLOOKUP($B29,'Costdrivere 2022'!$B$4:$L$105,9,FALSE),VLOOKUP($B29,'Costdrivere 2022'!$B$4:$L$105,10,FALSE),VLOOKUP($B29,'Costdrivere 2022'!$B$4:$L$105,11,FALSE))</f>
        <v>15490871.903327379</v>
      </c>
      <c r="F29" s="93">
        <f>VLOOKUP(B29,'Costdrivere 2022'!B:AP,39,0)+VLOOKUP(B29,'Costdrivere 2022'!B:AP,40,0)+VLOOKUP(B29,'Costdrivere 2022'!B:AP,41,0)</f>
        <v>75510206.775904447</v>
      </c>
      <c r="G29" s="93">
        <v>12270272.579999998</v>
      </c>
      <c r="H29" s="94">
        <v>14808695.124008562</v>
      </c>
      <c r="I29" s="95">
        <v>31184000</v>
      </c>
      <c r="J29" s="96">
        <f>VLOOKUP(B29,'Gennemførte investeringer'!B:AE,30,0)</f>
        <v>32172031.17239422</v>
      </c>
      <c r="K29" s="97">
        <f t="shared" si="0"/>
        <v>78164726.296402782</v>
      </c>
      <c r="L29" s="88">
        <f t="shared" si="1"/>
        <v>90434998.87640278</v>
      </c>
      <c r="M29" s="18">
        <v>0</v>
      </c>
      <c r="N29" s="90">
        <v>0</v>
      </c>
      <c r="O29" s="98">
        <v>0</v>
      </c>
      <c r="P29" s="88">
        <f t="shared" si="2"/>
        <v>12270272.579999998</v>
      </c>
      <c r="Q29" s="88">
        <f t="shared" si="3"/>
        <v>78164726.296402782</v>
      </c>
      <c r="R29" s="88">
        <f t="shared" si="4"/>
        <v>90434998.87640278</v>
      </c>
      <c r="S29" s="58">
        <v>0</v>
      </c>
    </row>
    <row r="30" spans="1:19" ht="16.5" customHeight="1" x14ac:dyDescent="0.25">
      <c r="A30" s="49" t="s">
        <v>73</v>
      </c>
      <c r="B30" s="49" t="s">
        <v>74</v>
      </c>
      <c r="C30" s="92">
        <v>26.977109793218329</v>
      </c>
      <c r="D30" s="93">
        <f>VLOOKUP(B30,'Costdrivere 2022'!B:M,12,0)</f>
        <v>0.12772149509187014</v>
      </c>
      <c r="E30" s="94">
        <f>SUM(VLOOKUP($B30,'Costdrivere 2022'!$B$4:$L$105,2,FALSE),VLOOKUP($B30,'Costdrivere 2022'!$B$4:$L$105,3,FALSE),VLOOKUP($B30,'Costdrivere 2022'!$B$4:$L$105,4,FALSE),VLOOKUP($B30,'Costdrivere 2022'!$B$4:$L$105,5,FALSE),VLOOKUP($B30,'Costdrivere 2022'!$B$4:$L$105,6,FALSE),VLOOKUP($B30,'Costdrivere 2022'!$B$4:$L$105,7,FALSE),VLOOKUP($B30,'Costdrivere 2022'!$B$4:$L$105,8,FALSE),VLOOKUP($B30,'Costdrivere 2022'!$B$4:$L$105,9,FALSE),VLOOKUP($B30,'Costdrivere 2022'!$B$4:$L$105,10,FALSE),VLOOKUP($B30,'Costdrivere 2022'!$B$4:$L$105,11,FALSE))</f>
        <v>12484561.562116239</v>
      </c>
      <c r="F30" s="93">
        <f>VLOOKUP(B30,'Costdrivere 2022'!B:AP,39,0)+VLOOKUP(B30,'Costdrivere 2022'!B:AP,40,0)+VLOOKUP(B30,'Costdrivere 2022'!B:AP,41,0)</f>
        <v>66991426.734017245</v>
      </c>
      <c r="G30" s="93">
        <v>10555010</v>
      </c>
      <c r="H30" s="94">
        <v>13408829.409079863</v>
      </c>
      <c r="I30" s="95">
        <v>18967000</v>
      </c>
      <c r="J30" s="96">
        <f>VLOOKUP(B30,'Gennemførte investeringer'!B:AE,30,0)</f>
        <v>22541630.505685966</v>
      </c>
      <c r="K30" s="97">
        <f t="shared" si="0"/>
        <v>54917459.914765835</v>
      </c>
      <c r="L30" s="88">
        <f t="shared" si="1"/>
        <v>65472469.914765835</v>
      </c>
      <c r="M30" s="18">
        <v>0</v>
      </c>
      <c r="N30" s="90">
        <v>0</v>
      </c>
      <c r="O30" s="98">
        <v>0</v>
      </c>
      <c r="P30" s="88">
        <f t="shared" si="2"/>
        <v>10555010</v>
      </c>
      <c r="Q30" s="88">
        <f t="shared" si="3"/>
        <v>54917459.914765835</v>
      </c>
      <c r="R30" s="88">
        <f t="shared" si="4"/>
        <v>65472469.914765835</v>
      </c>
      <c r="S30" s="58">
        <v>0</v>
      </c>
    </row>
    <row r="31" spans="1:19" ht="16.5" customHeight="1" x14ac:dyDescent="0.25">
      <c r="A31" s="49" t="s">
        <v>75</v>
      </c>
      <c r="B31" s="49" t="s">
        <v>76</v>
      </c>
      <c r="C31" s="92">
        <v>37.742126318473993</v>
      </c>
      <c r="D31" s="93">
        <f>VLOOKUP(B31,'Costdrivere 2022'!B:M,12,0)</f>
        <v>9.4871465295629842E-2</v>
      </c>
      <c r="E31" s="94">
        <f>SUM(VLOOKUP($B31,'Costdrivere 2022'!$B$4:$L$105,2,FALSE),VLOOKUP($B31,'Costdrivere 2022'!$B$4:$L$105,3,FALSE),VLOOKUP($B31,'Costdrivere 2022'!$B$4:$L$105,4,FALSE),VLOOKUP($B31,'Costdrivere 2022'!$B$4:$L$105,5,FALSE),VLOOKUP($B31,'Costdrivere 2022'!$B$4:$L$105,6,FALSE),VLOOKUP($B31,'Costdrivere 2022'!$B$4:$L$105,7,FALSE),VLOOKUP($B31,'Costdrivere 2022'!$B$4:$L$105,8,FALSE),VLOOKUP($B31,'Costdrivere 2022'!$B$4:$L$105,9,FALSE),VLOOKUP($B31,'Costdrivere 2022'!$B$4:$L$105,10,FALSE),VLOOKUP($B31,'Costdrivere 2022'!$B$4:$L$105,11,FALSE))</f>
        <v>4441220.5491513098</v>
      </c>
      <c r="F31" s="93">
        <f>VLOOKUP(B31,'Costdrivere 2022'!B:AP,39,0)+VLOOKUP(B31,'Costdrivere 2022'!B:AP,40,0)+VLOOKUP(B31,'Costdrivere 2022'!B:AP,41,0)</f>
        <v>26100332.970733326</v>
      </c>
      <c r="G31" s="93">
        <v>6564492</v>
      </c>
      <c r="H31" s="94">
        <v>10854780.612729859</v>
      </c>
      <c r="I31" s="95">
        <v>2401346</v>
      </c>
      <c r="J31" s="96">
        <f>VLOOKUP(B31,'Gennemførte investeringer'!B:AE,30,0)</f>
        <v>4406854.944063738</v>
      </c>
      <c r="K31" s="97">
        <f t="shared" si="0"/>
        <v>17662981.556793597</v>
      </c>
      <c r="L31" s="88">
        <f t="shared" si="1"/>
        <v>24227473.556793597</v>
      </c>
      <c r="M31" s="18">
        <v>0</v>
      </c>
      <c r="N31" s="90">
        <v>537652</v>
      </c>
      <c r="O31" s="98">
        <v>1443939</v>
      </c>
      <c r="P31" s="88">
        <f t="shared" si="2"/>
        <v>6026840</v>
      </c>
      <c r="Q31" s="88">
        <f t="shared" si="3"/>
        <v>16219042.556793597</v>
      </c>
      <c r="R31" s="88">
        <f t="shared" si="4"/>
        <v>22245882.556793597</v>
      </c>
      <c r="S31" s="58">
        <v>0</v>
      </c>
    </row>
    <row r="32" spans="1:19" ht="16.5" customHeight="1" x14ac:dyDescent="0.25">
      <c r="A32" s="49" t="s">
        <v>77</v>
      </c>
      <c r="B32" s="49" t="s">
        <v>78</v>
      </c>
      <c r="C32" s="92">
        <v>42.493184879188334</v>
      </c>
      <c r="D32" s="93">
        <f>VLOOKUP(B32,'Costdrivere 2022'!B:M,12,0)</f>
        <v>4.1982110593116378E-2</v>
      </c>
      <c r="E32" s="94">
        <f>SUM(VLOOKUP($B32,'Costdrivere 2022'!$B$4:$L$105,2,FALSE),VLOOKUP($B32,'Costdrivere 2022'!$B$4:$L$105,3,FALSE),VLOOKUP($B32,'Costdrivere 2022'!$B$4:$L$105,4,FALSE),VLOOKUP($B32,'Costdrivere 2022'!$B$4:$L$105,5,FALSE),VLOOKUP($B32,'Costdrivere 2022'!$B$4:$L$105,6,FALSE),VLOOKUP($B32,'Costdrivere 2022'!$B$4:$L$105,7,FALSE),VLOOKUP($B32,'Costdrivere 2022'!$B$4:$L$105,8,FALSE),VLOOKUP($B32,'Costdrivere 2022'!$B$4:$L$105,9,FALSE),VLOOKUP($B32,'Costdrivere 2022'!$B$4:$L$105,10,FALSE),VLOOKUP($B32,'Costdrivere 2022'!$B$4:$L$105,11,FALSE))</f>
        <v>23552749.080177274</v>
      </c>
      <c r="F32" s="93">
        <f>VLOOKUP(B32,'Costdrivere 2022'!B:AP,39,0)+VLOOKUP(B32,'Costdrivere 2022'!B:AP,40,0)+VLOOKUP(B32,'Costdrivere 2022'!B:AP,41,0)</f>
        <v>83319636.928933099</v>
      </c>
      <c r="G32" s="93">
        <v>24897783</v>
      </c>
      <c r="H32" s="94">
        <v>38942551.875755161</v>
      </c>
      <c r="I32" s="95">
        <v>112210</v>
      </c>
      <c r="J32" s="96">
        <f>VLOOKUP(B32,'Gennemførte investeringer'!B:AE,30,0)</f>
        <v>10569693.272275627</v>
      </c>
      <c r="K32" s="97">
        <f t="shared" si="0"/>
        <v>49624455.148030788</v>
      </c>
      <c r="L32" s="88">
        <f t="shared" si="1"/>
        <v>74522238.148030788</v>
      </c>
      <c r="M32" s="18">
        <v>0</v>
      </c>
      <c r="N32" s="90">
        <v>0</v>
      </c>
      <c r="O32" s="98">
        <v>0</v>
      </c>
      <c r="P32" s="88">
        <f t="shared" si="2"/>
        <v>24897783</v>
      </c>
      <c r="Q32" s="88">
        <f t="shared" si="3"/>
        <v>49624455.148030788</v>
      </c>
      <c r="R32" s="88">
        <f t="shared" si="4"/>
        <v>74522238.148030788</v>
      </c>
      <c r="S32" s="58">
        <v>0</v>
      </c>
    </row>
    <row r="33" spans="1:19" ht="16.5" customHeight="1" x14ac:dyDescent="0.25">
      <c r="A33" s="49" t="s">
        <v>79</v>
      </c>
      <c r="B33" s="49" t="s">
        <v>80</v>
      </c>
      <c r="C33" s="92">
        <v>35.260235185514652</v>
      </c>
      <c r="D33" s="93">
        <f>VLOOKUP(B33,'Costdrivere 2022'!B:M,12,0)</f>
        <v>3.443439066231626E-2</v>
      </c>
      <c r="E33" s="94">
        <f>SUM(VLOOKUP($B33,'Costdrivere 2022'!$B$4:$L$105,2,FALSE),VLOOKUP($B33,'Costdrivere 2022'!$B$4:$L$105,3,FALSE),VLOOKUP($B33,'Costdrivere 2022'!$B$4:$L$105,4,FALSE),VLOOKUP($B33,'Costdrivere 2022'!$B$4:$L$105,5,FALSE),VLOOKUP($B33,'Costdrivere 2022'!$B$4:$L$105,6,FALSE),VLOOKUP($B33,'Costdrivere 2022'!$B$4:$L$105,7,FALSE),VLOOKUP($B33,'Costdrivere 2022'!$B$4:$L$105,8,FALSE),VLOOKUP($B33,'Costdrivere 2022'!$B$4:$L$105,9,FALSE),VLOOKUP($B33,'Costdrivere 2022'!$B$4:$L$105,10,FALSE),VLOOKUP($B33,'Costdrivere 2022'!$B$4:$L$105,11,FALSE))</f>
        <v>32089409.185772788</v>
      </c>
      <c r="F33" s="93">
        <f>VLOOKUP(B33,'Costdrivere 2022'!B:AP,39,0)+VLOOKUP(B33,'Costdrivere 2022'!B:AP,40,0)+VLOOKUP(B33,'Costdrivere 2022'!B:AP,41,0)</f>
        <v>89809371.854373842</v>
      </c>
      <c r="G33" s="93">
        <v>29629602</v>
      </c>
      <c r="H33" s="94">
        <v>46999765.363150701</v>
      </c>
      <c r="I33" s="95">
        <v>6302847</v>
      </c>
      <c r="J33" s="96">
        <f>VLOOKUP(B33,'Gennemførte investeringer'!B:AE,30,0)</f>
        <v>24579851.849235751</v>
      </c>
      <c r="K33" s="97">
        <f t="shared" si="0"/>
        <v>77882464.212386459</v>
      </c>
      <c r="L33" s="88">
        <f t="shared" si="1"/>
        <v>107512066.21238646</v>
      </c>
      <c r="M33" s="18">
        <v>0</v>
      </c>
      <c r="N33" s="90">
        <v>0</v>
      </c>
      <c r="O33" s="98">
        <v>0</v>
      </c>
      <c r="P33" s="88">
        <f t="shared" si="2"/>
        <v>29629602</v>
      </c>
      <c r="Q33" s="88">
        <f t="shared" si="3"/>
        <v>77882464.212386459</v>
      </c>
      <c r="R33" s="88">
        <f t="shared" si="4"/>
        <v>107512066.21238646</v>
      </c>
      <c r="S33" s="58">
        <v>0</v>
      </c>
    </row>
    <row r="34" spans="1:19" ht="16.5" customHeight="1" x14ac:dyDescent="0.25">
      <c r="A34" s="49" t="s">
        <v>81</v>
      </c>
      <c r="B34" s="49" t="s">
        <v>82</v>
      </c>
      <c r="C34" s="92">
        <v>37.560842714176516</v>
      </c>
      <c r="D34" s="93">
        <f>VLOOKUP(B34,'Costdrivere 2022'!B:M,12,0)</f>
        <v>2.5693224592220829E-2</v>
      </c>
      <c r="E34" s="94">
        <f>SUM(VLOOKUP($B34,'Costdrivere 2022'!$B$4:$L$105,2,FALSE),VLOOKUP($B34,'Costdrivere 2022'!$B$4:$L$105,3,FALSE),VLOOKUP($B34,'Costdrivere 2022'!$B$4:$L$105,4,FALSE),VLOOKUP($B34,'Costdrivere 2022'!$B$4:$L$105,5,FALSE),VLOOKUP($B34,'Costdrivere 2022'!$B$4:$L$105,6,FALSE),VLOOKUP($B34,'Costdrivere 2022'!$B$4:$L$105,7,FALSE),VLOOKUP($B34,'Costdrivere 2022'!$B$4:$L$105,8,FALSE),VLOOKUP($B34,'Costdrivere 2022'!$B$4:$L$105,9,FALSE),VLOOKUP($B34,'Costdrivere 2022'!$B$4:$L$105,10,FALSE),VLOOKUP($B34,'Costdrivere 2022'!$B$4:$L$105,11,FALSE))</f>
        <v>41492952.348946288</v>
      </c>
      <c r="F34" s="93">
        <f>VLOOKUP(B34,'Costdrivere 2022'!B:AP,39,0)+VLOOKUP(B34,'Costdrivere 2022'!B:AP,40,0)+VLOOKUP(B34,'Costdrivere 2022'!B:AP,41,0)</f>
        <v>143779738.11799926</v>
      </c>
      <c r="G34" s="93">
        <v>42805029</v>
      </c>
      <c r="H34" s="94">
        <v>62689455.976025864</v>
      </c>
      <c r="I34" s="95">
        <v>7643320</v>
      </c>
      <c r="J34" s="96">
        <f>VLOOKUP(B34,'Gennemførte investeringer'!B:AE,30,0)</f>
        <v>31896435.824703816</v>
      </c>
      <c r="K34" s="97">
        <f t="shared" si="0"/>
        <v>102229211.80072968</v>
      </c>
      <c r="L34" s="88">
        <f t="shared" si="1"/>
        <v>145034240.80072969</v>
      </c>
      <c r="M34" s="18">
        <v>1686937.7000000002</v>
      </c>
      <c r="N34" s="90">
        <v>0</v>
      </c>
      <c r="O34" s="98">
        <v>0</v>
      </c>
      <c r="P34" s="88">
        <f t="shared" si="2"/>
        <v>42805029</v>
      </c>
      <c r="Q34" s="88">
        <f t="shared" si="3"/>
        <v>100542274.10072967</v>
      </c>
      <c r="R34" s="88">
        <f t="shared" si="4"/>
        <v>143347303.10072967</v>
      </c>
      <c r="S34" s="58">
        <v>0</v>
      </c>
    </row>
    <row r="35" spans="1:19" ht="16.5" customHeight="1" x14ac:dyDescent="0.25">
      <c r="A35" s="49" t="s">
        <v>83</v>
      </c>
      <c r="B35" s="49" t="s">
        <v>84</v>
      </c>
      <c r="C35" s="92">
        <v>33.635108129514194</v>
      </c>
      <c r="D35" s="93">
        <f>VLOOKUP(B35,'Costdrivere 2022'!B:M,12,0)</f>
        <v>3.503828158230541E-2</v>
      </c>
      <c r="E35" s="94">
        <f>SUM(VLOOKUP($B35,'Costdrivere 2022'!$B$4:$L$105,2,FALSE),VLOOKUP($B35,'Costdrivere 2022'!$B$4:$L$105,3,FALSE),VLOOKUP($B35,'Costdrivere 2022'!$B$4:$L$105,4,FALSE),VLOOKUP($B35,'Costdrivere 2022'!$B$4:$L$105,5,FALSE),VLOOKUP($B35,'Costdrivere 2022'!$B$4:$L$105,6,FALSE),VLOOKUP($B35,'Costdrivere 2022'!$B$4:$L$105,7,FALSE),VLOOKUP($B35,'Costdrivere 2022'!$B$4:$L$105,8,FALSE),VLOOKUP($B35,'Costdrivere 2022'!$B$4:$L$105,9,FALSE),VLOOKUP($B35,'Costdrivere 2022'!$B$4:$L$105,10,FALSE),VLOOKUP($B35,'Costdrivere 2022'!$B$4:$L$105,11,FALSE))</f>
        <v>37227485.401588261</v>
      </c>
      <c r="F35" s="93">
        <f>VLOOKUP(B35,'Costdrivere 2022'!B:AP,39,0)+VLOOKUP(B35,'Costdrivere 2022'!B:AP,40,0)+VLOOKUP(B35,'Costdrivere 2022'!B:AP,41,0)</f>
        <v>117021274.8974492</v>
      </c>
      <c r="G35" s="93">
        <v>38004021.490000002</v>
      </c>
      <c r="H35" s="94">
        <v>60516583.938554153</v>
      </c>
      <c r="I35" s="95">
        <v>4229000</v>
      </c>
      <c r="J35" s="96">
        <f>VLOOKUP(B35,'Gennemførte investeringer'!B:AE,30,0)</f>
        <v>23556805.086517245</v>
      </c>
      <c r="K35" s="97">
        <f t="shared" si="0"/>
        <v>88302389.025071397</v>
      </c>
      <c r="L35" s="88">
        <f t="shared" si="1"/>
        <v>126306410.51507139</v>
      </c>
      <c r="M35" s="18">
        <v>0</v>
      </c>
      <c r="N35" s="90">
        <v>0</v>
      </c>
      <c r="O35" s="98">
        <v>0</v>
      </c>
      <c r="P35" s="88">
        <f t="shared" si="2"/>
        <v>38004021.490000002</v>
      </c>
      <c r="Q35" s="88">
        <f t="shared" si="3"/>
        <v>88302389.025071397</v>
      </c>
      <c r="R35" s="88">
        <f t="shared" si="4"/>
        <v>126306410.51507139</v>
      </c>
      <c r="S35" s="58">
        <v>0</v>
      </c>
    </row>
    <row r="36" spans="1:19" ht="16.5" customHeight="1" x14ac:dyDescent="0.25">
      <c r="A36" s="49" t="s">
        <v>85</v>
      </c>
      <c r="B36" s="49" t="s">
        <v>86</v>
      </c>
      <c r="C36" s="92">
        <v>34.073856592528522</v>
      </c>
      <c r="D36" s="93">
        <f>VLOOKUP(B36,'Costdrivere 2022'!B:M,12,0)</f>
        <v>3.1271634177445794E-2</v>
      </c>
      <c r="E36" s="94">
        <f>SUM(VLOOKUP($B36,'Costdrivere 2022'!$B$4:$L$105,2,FALSE),VLOOKUP($B36,'Costdrivere 2022'!$B$4:$L$105,3,FALSE),VLOOKUP($B36,'Costdrivere 2022'!$B$4:$L$105,4,FALSE),VLOOKUP($B36,'Costdrivere 2022'!$B$4:$L$105,5,FALSE),VLOOKUP($B36,'Costdrivere 2022'!$B$4:$L$105,6,FALSE),VLOOKUP($B36,'Costdrivere 2022'!$B$4:$L$105,7,FALSE),VLOOKUP($B36,'Costdrivere 2022'!$B$4:$L$105,8,FALSE),VLOOKUP($B36,'Costdrivere 2022'!$B$4:$L$105,9,FALSE),VLOOKUP($B36,'Costdrivere 2022'!$B$4:$L$105,10,FALSE),VLOOKUP($B36,'Costdrivere 2022'!$B$4:$L$105,11,FALSE))</f>
        <v>20395887.032173626</v>
      </c>
      <c r="F36" s="93">
        <f>VLOOKUP(B36,'Costdrivere 2022'!B:AP,39,0)+VLOOKUP(B36,'Costdrivere 2022'!B:AP,40,0)+VLOOKUP(B36,'Costdrivere 2022'!B:AP,41,0)</f>
        <v>71567067.489928588</v>
      </c>
      <c r="G36" s="93">
        <v>27582242</v>
      </c>
      <c r="H36" s="94">
        <v>37107274.545444213</v>
      </c>
      <c r="I36" s="95">
        <v>629781</v>
      </c>
      <c r="J36" s="96">
        <f>VLOOKUP(B36,'Gennemførte investeringer'!B:AE,30,0)</f>
        <v>14442755.343919164</v>
      </c>
      <c r="K36" s="97">
        <f t="shared" si="0"/>
        <v>52179810.889363378</v>
      </c>
      <c r="L36" s="88">
        <f t="shared" si="1"/>
        <v>79762052.889363378</v>
      </c>
      <c r="M36" s="18">
        <v>0</v>
      </c>
      <c r="N36" s="90">
        <v>0</v>
      </c>
      <c r="O36" s="98">
        <v>0</v>
      </c>
      <c r="P36" s="88">
        <f t="shared" si="2"/>
        <v>27582242</v>
      </c>
      <c r="Q36" s="88">
        <f t="shared" si="3"/>
        <v>52179810.889363378</v>
      </c>
      <c r="R36" s="88">
        <f t="shared" si="4"/>
        <v>79762052.889363378</v>
      </c>
      <c r="S36" s="58">
        <v>0</v>
      </c>
    </row>
    <row r="37" spans="1:19" ht="16.5" customHeight="1" x14ac:dyDescent="0.25">
      <c r="A37" s="49" t="s">
        <v>87</v>
      </c>
      <c r="B37" s="49" t="s">
        <v>88</v>
      </c>
      <c r="C37" s="92">
        <v>31.297165207150378</v>
      </c>
      <c r="D37" s="93">
        <f>VLOOKUP(B37,'Costdrivere 2022'!B:M,12,0)</f>
        <v>2.4154622619866943E-2</v>
      </c>
      <c r="E37" s="94">
        <f>SUM(VLOOKUP($B37,'Costdrivere 2022'!$B$4:$L$105,2,FALSE),VLOOKUP($B37,'Costdrivere 2022'!$B$4:$L$105,3,FALSE),VLOOKUP($B37,'Costdrivere 2022'!$B$4:$L$105,4,FALSE),VLOOKUP($B37,'Costdrivere 2022'!$B$4:$L$105,5,FALSE),VLOOKUP($B37,'Costdrivere 2022'!$B$4:$L$105,6,FALSE),VLOOKUP($B37,'Costdrivere 2022'!$B$4:$L$105,7,FALSE),VLOOKUP($B37,'Costdrivere 2022'!$B$4:$L$105,8,FALSE),VLOOKUP($B37,'Costdrivere 2022'!$B$4:$L$105,9,FALSE),VLOOKUP($B37,'Costdrivere 2022'!$B$4:$L$105,10,FALSE),VLOOKUP($B37,'Costdrivere 2022'!$B$4:$L$105,11,FALSE))</f>
        <v>37165945.064140469</v>
      </c>
      <c r="F37" s="93">
        <f>VLOOKUP(B37,'Costdrivere 2022'!B:AP,39,0)+VLOOKUP(B37,'Costdrivere 2022'!B:AP,40,0)+VLOOKUP(B37,'Costdrivere 2022'!B:AP,41,0)</f>
        <v>124502909.86811608</v>
      </c>
      <c r="G37" s="93">
        <v>35768819.090000004</v>
      </c>
      <c r="H37" s="94">
        <v>55021358.00353992</v>
      </c>
      <c r="I37" s="95">
        <v>1823080</v>
      </c>
      <c r="J37" s="96">
        <f>VLOOKUP(B37,'Gennemførte investeringer'!B:AE,30,0)</f>
        <v>19010036.351931207</v>
      </c>
      <c r="K37" s="97">
        <f t="shared" si="0"/>
        <v>75854474.355471134</v>
      </c>
      <c r="L37" s="88">
        <f t="shared" si="1"/>
        <v>111623293.44547114</v>
      </c>
      <c r="M37" s="18">
        <v>0</v>
      </c>
      <c r="N37" s="90">
        <v>0</v>
      </c>
      <c r="O37" s="98">
        <v>0</v>
      </c>
      <c r="P37" s="88">
        <f t="shared" si="2"/>
        <v>35768819.090000004</v>
      </c>
      <c r="Q37" s="88">
        <f t="shared" si="3"/>
        <v>75854474.355471134</v>
      </c>
      <c r="R37" s="88">
        <f t="shared" si="4"/>
        <v>111623293.44547114</v>
      </c>
      <c r="S37" s="58">
        <v>0</v>
      </c>
    </row>
    <row r="38" spans="1:19" ht="16.5" customHeight="1" x14ac:dyDescent="0.25">
      <c r="A38" s="49" t="s">
        <v>89</v>
      </c>
      <c r="B38" s="49" t="s">
        <v>90</v>
      </c>
      <c r="C38" s="92">
        <v>34.308494945917467</v>
      </c>
      <c r="D38" s="93">
        <f>VLOOKUP(B38,'Costdrivere 2022'!B:M,12,0)</f>
        <v>0</v>
      </c>
      <c r="E38" s="94">
        <f>SUM(VLOOKUP($B38,'Costdrivere 2022'!$B$4:$L$105,2,FALSE),VLOOKUP($B38,'Costdrivere 2022'!$B$4:$L$105,3,FALSE),VLOOKUP($B38,'Costdrivere 2022'!$B$4:$L$105,4,FALSE),VLOOKUP($B38,'Costdrivere 2022'!$B$4:$L$105,5,FALSE),VLOOKUP($B38,'Costdrivere 2022'!$B$4:$L$105,6,FALSE),VLOOKUP($B38,'Costdrivere 2022'!$B$4:$L$105,7,FALSE),VLOOKUP($B38,'Costdrivere 2022'!$B$4:$L$105,8,FALSE),VLOOKUP($B38,'Costdrivere 2022'!$B$4:$L$105,9,FALSE),VLOOKUP($B38,'Costdrivere 2022'!$B$4:$L$105,10,FALSE),VLOOKUP($B38,'Costdrivere 2022'!$B$4:$L$105,11,FALSE))</f>
        <v>25021574.798820153</v>
      </c>
      <c r="F38" s="93">
        <f>VLOOKUP(B38,'Costdrivere 2022'!B:AP,39,0)+VLOOKUP(B38,'Costdrivere 2022'!B:AP,40,0)+VLOOKUP(B38,'Costdrivere 2022'!B:AP,41,0)</f>
        <v>21744966.940948721</v>
      </c>
      <c r="G38" s="93">
        <v>35562638</v>
      </c>
      <c r="H38" s="94">
        <v>8474758.1370567493</v>
      </c>
      <c r="I38" s="95">
        <v>83569</v>
      </c>
      <c r="J38" s="96">
        <f>VLOOKUP(B38,'Gennemførte investeringer'!B:AE,30,0)</f>
        <v>3287313.9226041804</v>
      </c>
      <c r="K38" s="97">
        <f t="shared" si="0"/>
        <v>11845641.05966093</v>
      </c>
      <c r="L38" s="88">
        <f t="shared" si="1"/>
        <v>47408279.059660926</v>
      </c>
      <c r="M38" s="18">
        <v>0</v>
      </c>
      <c r="N38" s="90">
        <v>0</v>
      </c>
      <c r="O38" s="98">
        <v>0</v>
      </c>
      <c r="P38" s="88">
        <f t="shared" si="2"/>
        <v>35562638</v>
      </c>
      <c r="Q38" s="88">
        <f t="shared" si="3"/>
        <v>11845641.05966093</v>
      </c>
      <c r="R38" s="88">
        <f t="shared" si="4"/>
        <v>47408279.059660926</v>
      </c>
      <c r="S38" s="58">
        <v>0</v>
      </c>
    </row>
    <row r="39" spans="1:19" ht="16.5" customHeight="1" x14ac:dyDescent="0.25">
      <c r="A39" s="49" t="s">
        <v>91</v>
      </c>
      <c r="B39" s="49" t="s">
        <v>92</v>
      </c>
      <c r="C39" s="92">
        <v>37.007979846304508</v>
      </c>
      <c r="D39" s="93">
        <f>VLOOKUP(B39,'Costdrivere 2022'!B:M,12,0)</f>
        <v>4.1559889669203237E-2</v>
      </c>
      <c r="E39" s="94">
        <f>SUM(VLOOKUP($B39,'Costdrivere 2022'!$B$4:$L$105,2,FALSE),VLOOKUP($B39,'Costdrivere 2022'!$B$4:$L$105,3,FALSE),VLOOKUP($B39,'Costdrivere 2022'!$B$4:$L$105,4,FALSE),VLOOKUP($B39,'Costdrivere 2022'!$B$4:$L$105,5,FALSE),VLOOKUP($B39,'Costdrivere 2022'!$B$4:$L$105,6,FALSE),VLOOKUP($B39,'Costdrivere 2022'!$B$4:$L$105,7,FALSE),VLOOKUP($B39,'Costdrivere 2022'!$B$4:$L$105,8,FALSE),VLOOKUP($B39,'Costdrivere 2022'!$B$4:$L$105,9,FALSE),VLOOKUP($B39,'Costdrivere 2022'!$B$4:$L$105,10,FALSE),VLOOKUP($B39,'Costdrivere 2022'!$B$4:$L$105,11,FALSE))</f>
        <v>23168061.788590681</v>
      </c>
      <c r="F39" s="93">
        <f>VLOOKUP(B39,'Costdrivere 2022'!B:AP,39,0)+VLOOKUP(B39,'Costdrivere 2022'!B:AP,40,0)+VLOOKUP(B39,'Costdrivere 2022'!B:AP,41,0)</f>
        <v>160051722.29999998</v>
      </c>
      <c r="G39" s="93">
        <v>24225560.530000001</v>
      </c>
      <c r="H39" s="94">
        <v>83478031.622463256</v>
      </c>
      <c r="I39" s="95">
        <v>3174824</v>
      </c>
      <c r="J39" s="96">
        <f>VLOOKUP(B39,'Gennemførte investeringer'!B:AE,30,0)</f>
        <v>16105538.435790146</v>
      </c>
      <c r="K39" s="97">
        <f t="shared" si="0"/>
        <v>102758394.05825341</v>
      </c>
      <c r="L39" s="88">
        <f t="shared" si="1"/>
        <v>126983954.58825341</v>
      </c>
      <c r="M39" s="18">
        <v>0</v>
      </c>
      <c r="N39" s="90">
        <v>0</v>
      </c>
      <c r="O39" s="98">
        <v>0</v>
      </c>
      <c r="P39" s="88">
        <f t="shared" si="2"/>
        <v>24225560.530000001</v>
      </c>
      <c r="Q39" s="88">
        <f t="shared" si="3"/>
        <v>102758394.05825341</v>
      </c>
      <c r="R39" s="88">
        <f t="shared" si="4"/>
        <v>126983954.58825341</v>
      </c>
      <c r="S39" s="58">
        <v>0</v>
      </c>
    </row>
    <row r="40" spans="1:19" ht="16.5" customHeight="1" x14ac:dyDescent="0.25">
      <c r="A40" s="49" t="s">
        <v>93</v>
      </c>
      <c r="B40" s="49" t="s">
        <v>94</v>
      </c>
      <c r="C40" s="92">
        <v>30.933138778179686</v>
      </c>
      <c r="D40" s="93">
        <f>VLOOKUP(B40,'Costdrivere 2022'!B:M,12,0)</f>
        <v>4.399764477694653E-2</v>
      </c>
      <c r="E40" s="94">
        <f>SUM(VLOOKUP($B40,'Costdrivere 2022'!$B$4:$L$105,2,FALSE),VLOOKUP($B40,'Costdrivere 2022'!$B$4:$L$105,3,FALSE),VLOOKUP($B40,'Costdrivere 2022'!$B$4:$L$105,4,FALSE),VLOOKUP($B40,'Costdrivere 2022'!$B$4:$L$105,5,FALSE),VLOOKUP($B40,'Costdrivere 2022'!$B$4:$L$105,6,FALSE),VLOOKUP($B40,'Costdrivere 2022'!$B$4:$L$105,7,FALSE),VLOOKUP($B40,'Costdrivere 2022'!$B$4:$L$105,8,FALSE),VLOOKUP($B40,'Costdrivere 2022'!$B$4:$L$105,9,FALSE),VLOOKUP($B40,'Costdrivere 2022'!$B$4:$L$105,10,FALSE),VLOOKUP($B40,'Costdrivere 2022'!$B$4:$L$105,11,FALSE))</f>
        <v>36825962.752201825</v>
      </c>
      <c r="F40" s="93">
        <f>VLOOKUP(B40,'Costdrivere 2022'!B:AP,39,0)+VLOOKUP(B40,'Costdrivere 2022'!B:AP,40,0)+VLOOKUP(B40,'Costdrivere 2022'!B:AP,41,0)</f>
        <v>110243869.33238438</v>
      </c>
      <c r="G40" s="93">
        <v>53486935</v>
      </c>
      <c r="H40" s="94">
        <v>41665433.863675438</v>
      </c>
      <c r="I40" s="95">
        <v>8403535</v>
      </c>
      <c r="J40" s="96">
        <f>VLOOKUP(B40,'Gennemførte investeringer'!B:AE,30,0)</f>
        <v>30025889.260353327</v>
      </c>
      <c r="K40" s="97">
        <f t="shared" si="0"/>
        <v>80094858.124028772</v>
      </c>
      <c r="L40" s="88">
        <f t="shared" si="1"/>
        <v>133581793.12402877</v>
      </c>
      <c r="M40" s="18">
        <v>3516204.9398118267</v>
      </c>
      <c r="N40" s="90">
        <v>1865965</v>
      </c>
      <c r="O40" s="98">
        <v>1868536.8231541277</v>
      </c>
      <c r="P40" s="88">
        <f t="shared" si="2"/>
        <v>51620970</v>
      </c>
      <c r="Q40" s="88">
        <f t="shared" si="3"/>
        <v>74710116.361062825</v>
      </c>
      <c r="R40" s="88">
        <f t="shared" si="4"/>
        <v>126331086.36106282</v>
      </c>
      <c r="S40" s="58">
        <v>0</v>
      </c>
    </row>
    <row r="41" spans="1:19" ht="16.5" customHeight="1" x14ac:dyDescent="0.25">
      <c r="A41" s="49" t="s">
        <v>95</v>
      </c>
      <c r="B41" s="49" t="s">
        <v>96</v>
      </c>
      <c r="C41" s="92">
        <v>36.124706610238164</v>
      </c>
      <c r="D41" s="93">
        <f>VLOOKUP(B41,'Costdrivere 2022'!B:M,12,0)</f>
        <v>3.5826047358834247E-2</v>
      </c>
      <c r="E41" s="94">
        <f>SUM(VLOOKUP($B41,'Costdrivere 2022'!$B$4:$L$105,2,FALSE),VLOOKUP($B41,'Costdrivere 2022'!$B$4:$L$105,3,FALSE),VLOOKUP($B41,'Costdrivere 2022'!$B$4:$L$105,4,FALSE),VLOOKUP($B41,'Costdrivere 2022'!$B$4:$L$105,5,FALSE),VLOOKUP($B41,'Costdrivere 2022'!$B$4:$L$105,6,FALSE),VLOOKUP($B41,'Costdrivere 2022'!$B$4:$L$105,7,FALSE),VLOOKUP($B41,'Costdrivere 2022'!$B$4:$L$105,8,FALSE),VLOOKUP($B41,'Costdrivere 2022'!$B$4:$L$105,9,FALSE),VLOOKUP($B41,'Costdrivere 2022'!$B$4:$L$105,10,FALSE),VLOOKUP($B41,'Costdrivere 2022'!$B$4:$L$105,11,FALSE))</f>
        <v>45572751.040857039</v>
      </c>
      <c r="F41" s="93">
        <f>VLOOKUP(B41,'Costdrivere 2022'!B:AP,39,0)+VLOOKUP(B41,'Costdrivere 2022'!B:AP,40,0)+VLOOKUP(B41,'Costdrivere 2022'!B:AP,41,0)</f>
        <v>167184870.24891898</v>
      </c>
      <c r="G41" s="93">
        <v>44754398</v>
      </c>
      <c r="H41" s="94">
        <v>82291485.147285417</v>
      </c>
      <c r="I41" s="95">
        <v>11509882</v>
      </c>
      <c r="J41" s="96">
        <f>VLOOKUP(B41,'Gennemførte investeringer'!B:AE,30,0)</f>
        <v>20381761.055574588</v>
      </c>
      <c r="K41" s="97">
        <f t="shared" si="0"/>
        <v>114183128.20286</v>
      </c>
      <c r="L41" s="88">
        <f t="shared" si="1"/>
        <v>158937526.20286</v>
      </c>
      <c r="M41" s="18">
        <v>0</v>
      </c>
      <c r="N41" s="90">
        <v>0</v>
      </c>
      <c r="O41" s="98">
        <v>0</v>
      </c>
      <c r="P41" s="88">
        <f t="shared" si="2"/>
        <v>44754398</v>
      </c>
      <c r="Q41" s="88">
        <f t="shared" si="3"/>
        <v>114183128.20286</v>
      </c>
      <c r="R41" s="88">
        <f t="shared" si="4"/>
        <v>158937526.20286</v>
      </c>
      <c r="S41" s="58">
        <v>0</v>
      </c>
    </row>
    <row r="42" spans="1:19" ht="16.5" customHeight="1" x14ac:dyDescent="0.25">
      <c r="A42" s="49" t="s">
        <v>97</v>
      </c>
      <c r="B42" s="49" t="s">
        <v>98</v>
      </c>
      <c r="C42" s="92">
        <v>46.259695412226222</v>
      </c>
      <c r="D42" s="93">
        <f>VLOOKUP(B42,'Costdrivere 2022'!B:M,12,0)</f>
        <v>9.5691358024691364E-2</v>
      </c>
      <c r="E42" s="94">
        <f>SUM(VLOOKUP($B42,'Costdrivere 2022'!$B$4:$L$105,2,FALSE),VLOOKUP($B42,'Costdrivere 2022'!$B$4:$L$105,3,FALSE),VLOOKUP($B42,'Costdrivere 2022'!$B$4:$L$105,4,FALSE),VLOOKUP($B42,'Costdrivere 2022'!$B$4:$L$105,5,FALSE),VLOOKUP($B42,'Costdrivere 2022'!$B$4:$L$105,6,FALSE),VLOOKUP($B42,'Costdrivere 2022'!$B$4:$L$105,7,FALSE),VLOOKUP($B42,'Costdrivere 2022'!$B$4:$L$105,8,FALSE),VLOOKUP($B42,'Costdrivere 2022'!$B$4:$L$105,9,FALSE),VLOOKUP($B42,'Costdrivere 2022'!$B$4:$L$105,10,FALSE),VLOOKUP($B42,'Costdrivere 2022'!$B$4:$L$105,11,FALSE))</f>
        <v>6926296.2006091531</v>
      </c>
      <c r="F42" s="93">
        <f>VLOOKUP(B42,'Costdrivere 2022'!B:AP,39,0)+VLOOKUP(B42,'Costdrivere 2022'!B:AP,40,0)+VLOOKUP(B42,'Costdrivere 2022'!B:AP,41,0)</f>
        <v>58193739.543558791</v>
      </c>
      <c r="G42" s="93">
        <v>8976386</v>
      </c>
      <c r="H42" s="94">
        <v>26620059.850987662</v>
      </c>
      <c r="I42" s="95">
        <v>352000</v>
      </c>
      <c r="J42" s="96">
        <f>VLOOKUP(B42,'Gennemførte investeringer'!B:AE,30,0)</f>
        <v>4663883.1355421301</v>
      </c>
      <c r="K42" s="97">
        <f t="shared" si="0"/>
        <v>31635942.98652979</v>
      </c>
      <c r="L42" s="88">
        <f t="shared" si="1"/>
        <v>40612328.98652979</v>
      </c>
      <c r="M42" s="18">
        <v>0</v>
      </c>
      <c r="N42" s="90">
        <v>0</v>
      </c>
      <c r="O42" s="98">
        <v>0</v>
      </c>
      <c r="P42" s="88">
        <f t="shared" si="2"/>
        <v>8976386</v>
      </c>
      <c r="Q42" s="88">
        <f t="shared" si="3"/>
        <v>31635942.98652979</v>
      </c>
      <c r="R42" s="88">
        <f t="shared" si="4"/>
        <v>40612328.98652979</v>
      </c>
      <c r="S42" s="58">
        <v>0</v>
      </c>
    </row>
    <row r="43" spans="1:19" ht="16.5" customHeight="1" x14ac:dyDescent="0.25">
      <c r="A43" s="49" t="s">
        <v>99</v>
      </c>
      <c r="B43" s="49" t="s">
        <v>100</v>
      </c>
      <c r="C43" s="92">
        <v>36.929205267084235</v>
      </c>
      <c r="D43" s="93">
        <f>VLOOKUP(B43,'Costdrivere 2022'!B:M,12,0)</f>
        <v>0.14452247191011239</v>
      </c>
      <c r="E43" s="94">
        <f>SUM(VLOOKUP($B43,'Costdrivere 2022'!$B$4:$L$105,2,FALSE),VLOOKUP($B43,'Costdrivere 2022'!$B$4:$L$105,3,FALSE),VLOOKUP($B43,'Costdrivere 2022'!$B$4:$L$105,4,FALSE),VLOOKUP($B43,'Costdrivere 2022'!$B$4:$L$105,5,FALSE),VLOOKUP($B43,'Costdrivere 2022'!$B$4:$L$105,6,FALSE),VLOOKUP($B43,'Costdrivere 2022'!$B$4:$L$105,7,FALSE),VLOOKUP($B43,'Costdrivere 2022'!$B$4:$L$105,8,FALSE),VLOOKUP($B43,'Costdrivere 2022'!$B$4:$L$105,9,FALSE),VLOOKUP($B43,'Costdrivere 2022'!$B$4:$L$105,10,FALSE),VLOOKUP($B43,'Costdrivere 2022'!$B$4:$L$105,11,FALSE))</f>
        <v>5938384.4792425791</v>
      </c>
      <c r="F43" s="93">
        <f>VLOOKUP(B43,'Costdrivere 2022'!B:AP,39,0)+VLOOKUP(B43,'Costdrivere 2022'!B:AP,40,0)+VLOOKUP(B43,'Costdrivere 2022'!B:AP,41,0)</f>
        <v>31259677.950700544</v>
      </c>
      <c r="G43" s="93">
        <v>12692170</v>
      </c>
      <c r="H43" s="94">
        <v>13916114.643390618</v>
      </c>
      <c r="I43" s="95">
        <v>3151000</v>
      </c>
      <c r="J43" s="96">
        <f>VLOOKUP(B43,'Gennemførte investeringer'!B:AE,30,0)</f>
        <v>8473150.4407868832</v>
      </c>
      <c r="K43" s="97">
        <f t="shared" si="0"/>
        <v>25540265.084177501</v>
      </c>
      <c r="L43" s="88">
        <f t="shared" si="1"/>
        <v>38232435.084177501</v>
      </c>
      <c r="M43" s="18">
        <v>0</v>
      </c>
      <c r="N43" s="90">
        <v>0</v>
      </c>
      <c r="O43" s="98">
        <v>0</v>
      </c>
      <c r="P43" s="88">
        <f t="shared" si="2"/>
        <v>12692170</v>
      </c>
      <c r="Q43" s="88">
        <f t="shared" si="3"/>
        <v>25540265.084177501</v>
      </c>
      <c r="R43" s="88">
        <f t="shared" si="4"/>
        <v>38232435.084177501</v>
      </c>
      <c r="S43" s="58">
        <v>0</v>
      </c>
    </row>
    <row r="44" spans="1:19" ht="16.5" customHeight="1" x14ac:dyDescent="0.25">
      <c r="A44" s="49" t="s">
        <v>101</v>
      </c>
      <c r="B44" s="49" t="s">
        <v>102</v>
      </c>
      <c r="C44" s="92">
        <v>32.520296087063983</v>
      </c>
      <c r="D44" s="93">
        <f>VLOOKUP(B44,'Costdrivere 2022'!B:M,12,0)</f>
        <v>9.9721498196879352E-2</v>
      </c>
      <c r="E44" s="94">
        <f>SUM(VLOOKUP($B44,'Costdrivere 2022'!$B$4:$L$105,2,FALSE),VLOOKUP($B44,'Costdrivere 2022'!$B$4:$L$105,3,FALSE),VLOOKUP($B44,'Costdrivere 2022'!$B$4:$L$105,4,FALSE),VLOOKUP($B44,'Costdrivere 2022'!$B$4:$L$105,5,FALSE),VLOOKUP($B44,'Costdrivere 2022'!$B$4:$L$105,6,FALSE),VLOOKUP($B44,'Costdrivere 2022'!$B$4:$L$105,7,FALSE),VLOOKUP($B44,'Costdrivere 2022'!$B$4:$L$105,8,FALSE),VLOOKUP($B44,'Costdrivere 2022'!$B$4:$L$105,9,FALSE),VLOOKUP($B44,'Costdrivere 2022'!$B$4:$L$105,10,FALSE),VLOOKUP($B44,'Costdrivere 2022'!$B$4:$L$105,11,FALSE))</f>
        <v>13629957.96218168</v>
      </c>
      <c r="F44" s="93">
        <f>VLOOKUP(B44,'Costdrivere 2022'!B:AP,39,0)+VLOOKUP(B44,'Costdrivere 2022'!B:AP,40,0)+VLOOKUP(B44,'Costdrivere 2022'!B:AP,41,0)</f>
        <v>57808193.224380016</v>
      </c>
      <c r="G44" s="93">
        <v>15627804</v>
      </c>
      <c r="H44" s="94">
        <v>25037423.773793228</v>
      </c>
      <c r="I44" s="95">
        <v>11837000</v>
      </c>
      <c r="J44" s="96">
        <f>VLOOKUP(B44,'Gennemførte investeringer'!B:AE,30,0)</f>
        <v>22603340.514569994</v>
      </c>
      <c r="K44" s="97">
        <f t="shared" si="0"/>
        <v>59477764.288363218</v>
      </c>
      <c r="L44" s="88">
        <f t="shared" si="1"/>
        <v>75105568.288363218</v>
      </c>
      <c r="M44" s="18">
        <v>0</v>
      </c>
      <c r="N44" s="90">
        <v>0</v>
      </c>
      <c r="O44" s="98">
        <v>8438748.9548776504</v>
      </c>
      <c r="P44" s="88">
        <f t="shared" si="2"/>
        <v>15627804</v>
      </c>
      <c r="Q44" s="88">
        <f t="shared" si="3"/>
        <v>51039015.333485566</v>
      </c>
      <c r="R44" s="88">
        <f t="shared" si="4"/>
        <v>66666819.333485566</v>
      </c>
      <c r="S44" s="58">
        <v>0</v>
      </c>
    </row>
    <row r="45" spans="1:19" ht="16.5" customHeight="1" x14ac:dyDescent="0.25">
      <c r="A45" s="49" t="s">
        <v>103</v>
      </c>
      <c r="B45" s="49" t="s">
        <v>104</v>
      </c>
      <c r="C45" s="92">
        <v>26.853906569158749</v>
      </c>
      <c r="D45" s="93">
        <f>VLOOKUP(B45,'Costdrivere 2022'!B:M,12,0)</f>
        <v>0.33246411856474262</v>
      </c>
      <c r="E45" s="94">
        <f>SUM(VLOOKUP($B45,'Costdrivere 2022'!$B$4:$L$105,2,FALSE),VLOOKUP($B45,'Costdrivere 2022'!$B$4:$L$105,3,FALSE),VLOOKUP($B45,'Costdrivere 2022'!$B$4:$L$105,4,FALSE),VLOOKUP($B45,'Costdrivere 2022'!$B$4:$L$105,5,FALSE),VLOOKUP($B45,'Costdrivere 2022'!$B$4:$L$105,6,FALSE),VLOOKUP($B45,'Costdrivere 2022'!$B$4:$L$105,7,FALSE),VLOOKUP($B45,'Costdrivere 2022'!$B$4:$L$105,8,FALSE),VLOOKUP($B45,'Costdrivere 2022'!$B$4:$L$105,9,FALSE),VLOOKUP($B45,'Costdrivere 2022'!$B$4:$L$105,10,FALSE),VLOOKUP($B45,'Costdrivere 2022'!$B$4:$L$105,11,FALSE))</f>
        <v>90404992.477967799</v>
      </c>
      <c r="F45" s="93">
        <f>VLOOKUP(B45,'Costdrivere 2022'!B:AP,39,0)+VLOOKUP(B45,'Costdrivere 2022'!B:AP,40,0)+VLOOKUP(B45,'Costdrivere 2022'!B:AP,41,0)</f>
        <v>273840263.60703838</v>
      </c>
      <c r="G45" s="93">
        <v>106621703</v>
      </c>
      <c r="H45" s="94">
        <v>113750430.55806369</v>
      </c>
      <c r="I45" s="95">
        <v>21411050</v>
      </c>
      <c r="J45" s="96">
        <f>VLOOKUP(B45,'Gennemførte investeringer'!B:AE,30,0)</f>
        <v>54858125.200338751</v>
      </c>
      <c r="K45" s="97">
        <f t="shared" si="0"/>
        <v>190019605.75840244</v>
      </c>
      <c r="L45" s="88">
        <f t="shared" si="1"/>
        <v>296641308.75840247</v>
      </c>
      <c r="M45" s="18">
        <v>706776.29036598408</v>
      </c>
      <c r="N45" s="90">
        <v>0</v>
      </c>
      <c r="O45" s="98">
        <v>6477346.4503082344</v>
      </c>
      <c r="P45" s="88">
        <f t="shared" si="2"/>
        <v>106621703</v>
      </c>
      <c r="Q45" s="88">
        <f t="shared" si="3"/>
        <v>182835483.01772821</v>
      </c>
      <c r="R45" s="88">
        <f t="shared" si="4"/>
        <v>289457186.01772821</v>
      </c>
      <c r="S45" s="58">
        <v>0</v>
      </c>
    </row>
    <row r="46" spans="1:19" ht="16.5" customHeight="1" x14ac:dyDescent="0.25">
      <c r="A46" s="49" t="s">
        <v>105</v>
      </c>
      <c r="B46" s="49" t="s">
        <v>106</v>
      </c>
      <c r="C46" s="92">
        <v>45.815112888355301</v>
      </c>
      <c r="D46" s="93">
        <f>VLOOKUP(B46,'Costdrivere 2022'!B:M,12,0)</f>
        <v>0.15000638814360545</v>
      </c>
      <c r="E46" s="94">
        <f>SUM(VLOOKUP($B46,'Costdrivere 2022'!$B$4:$L$105,2,FALSE),VLOOKUP($B46,'Costdrivere 2022'!$B$4:$L$105,3,FALSE),VLOOKUP($B46,'Costdrivere 2022'!$B$4:$L$105,4,FALSE),VLOOKUP($B46,'Costdrivere 2022'!$B$4:$L$105,5,FALSE),VLOOKUP($B46,'Costdrivere 2022'!$B$4:$L$105,6,FALSE),VLOOKUP($B46,'Costdrivere 2022'!$B$4:$L$105,7,FALSE),VLOOKUP($B46,'Costdrivere 2022'!$B$4:$L$105,8,FALSE),VLOOKUP($B46,'Costdrivere 2022'!$B$4:$L$105,9,FALSE),VLOOKUP($B46,'Costdrivere 2022'!$B$4:$L$105,10,FALSE),VLOOKUP($B46,'Costdrivere 2022'!$B$4:$L$105,11,FALSE))</f>
        <v>5964760.4313381677</v>
      </c>
      <c r="F46" s="93">
        <f>VLOOKUP(B46,'Costdrivere 2022'!B:AP,39,0)+VLOOKUP(B46,'Costdrivere 2022'!B:AP,40,0)+VLOOKUP(B46,'Costdrivere 2022'!B:AP,41,0)</f>
        <v>31479463.306938656</v>
      </c>
      <c r="G46" s="93">
        <v>8791336</v>
      </c>
      <c r="H46" s="94">
        <v>9772789.7746524941</v>
      </c>
      <c r="I46" s="95">
        <v>1375000</v>
      </c>
      <c r="J46" s="96">
        <f>VLOOKUP(B46,'Gennemførte investeringer'!B:AE,30,0)</f>
        <v>7010616.0997792454</v>
      </c>
      <c r="K46" s="97">
        <f t="shared" si="0"/>
        <v>18158405.87443174</v>
      </c>
      <c r="L46" s="88">
        <f t="shared" si="1"/>
        <v>26949741.87443174</v>
      </c>
      <c r="M46" s="18">
        <v>0</v>
      </c>
      <c r="N46" s="90">
        <v>0</v>
      </c>
      <c r="O46" s="98">
        <v>0</v>
      </c>
      <c r="P46" s="88">
        <f t="shared" si="2"/>
        <v>8791336</v>
      </c>
      <c r="Q46" s="88">
        <f t="shared" si="3"/>
        <v>18158405.87443174</v>
      </c>
      <c r="R46" s="88">
        <f t="shared" si="4"/>
        <v>26949741.87443174</v>
      </c>
      <c r="S46" s="58">
        <v>0</v>
      </c>
    </row>
    <row r="47" spans="1:19" ht="16.5" customHeight="1" x14ac:dyDescent="0.25">
      <c r="A47" s="49" t="s">
        <v>107</v>
      </c>
      <c r="B47" s="49" t="s">
        <v>108</v>
      </c>
      <c r="C47" s="92">
        <v>35.523039603772432</v>
      </c>
      <c r="D47" s="93">
        <f>VLOOKUP(B47,'Costdrivere 2022'!B:M,12,0)</f>
        <v>3.5589765367873449E-2</v>
      </c>
      <c r="E47" s="94">
        <f>SUM(VLOOKUP($B47,'Costdrivere 2022'!$B$4:$L$105,2,FALSE),VLOOKUP($B47,'Costdrivere 2022'!$B$4:$L$105,3,FALSE),VLOOKUP($B47,'Costdrivere 2022'!$B$4:$L$105,4,FALSE),VLOOKUP($B47,'Costdrivere 2022'!$B$4:$L$105,5,FALSE),VLOOKUP($B47,'Costdrivere 2022'!$B$4:$L$105,6,FALSE),VLOOKUP($B47,'Costdrivere 2022'!$B$4:$L$105,7,FALSE),VLOOKUP($B47,'Costdrivere 2022'!$B$4:$L$105,8,FALSE),VLOOKUP($B47,'Costdrivere 2022'!$B$4:$L$105,9,FALSE),VLOOKUP($B47,'Costdrivere 2022'!$B$4:$L$105,10,FALSE),VLOOKUP($B47,'Costdrivere 2022'!$B$4:$L$105,11,FALSE))</f>
        <v>36618665.075266831</v>
      </c>
      <c r="F47" s="93">
        <f>VLOOKUP(B47,'Costdrivere 2022'!B:AP,39,0)+VLOOKUP(B47,'Costdrivere 2022'!B:AP,40,0)+VLOOKUP(B47,'Costdrivere 2022'!B:AP,41,0)</f>
        <v>119437414.65336245</v>
      </c>
      <c r="G47" s="93">
        <v>52933589</v>
      </c>
      <c r="H47" s="94">
        <v>62652331.385578655</v>
      </c>
      <c r="I47" s="95">
        <v>8500415</v>
      </c>
      <c r="J47" s="96">
        <f>VLOOKUP(B47,'Gennemførte investeringer'!B:AE,30,0)</f>
        <v>18651347.996734709</v>
      </c>
      <c r="K47" s="97">
        <f t="shared" si="0"/>
        <v>89804094.382313371</v>
      </c>
      <c r="L47" s="88">
        <f t="shared" si="1"/>
        <v>142737683.38231337</v>
      </c>
      <c r="M47" s="18">
        <v>0</v>
      </c>
      <c r="N47" s="90">
        <v>0</v>
      </c>
      <c r="O47" s="98">
        <v>0</v>
      </c>
      <c r="P47" s="88">
        <f t="shared" si="2"/>
        <v>52933589</v>
      </c>
      <c r="Q47" s="88">
        <f t="shared" si="3"/>
        <v>89804094.382313371</v>
      </c>
      <c r="R47" s="88">
        <f t="shared" si="4"/>
        <v>142737683.38231337</v>
      </c>
      <c r="S47" s="58">
        <v>0</v>
      </c>
    </row>
    <row r="48" spans="1:19" ht="16.5" customHeight="1" x14ac:dyDescent="0.25">
      <c r="A48" s="49" t="s">
        <v>109</v>
      </c>
      <c r="B48" s="49" t="s">
        <v>110</v>
      </c>
      <c r="C48" s="92">
        <v>33.835342406840006</v>
      </c>
      <c r="D48" s="93">
        <f>VLOOKUP(B48,'Costdrivere 2022'!B:M,12,0)</f>
        <v>4.0230965712906963E-2</v>
      </c>
      <c r="E48" s="94">
        <f>SUM(VLOOKUP($B48,'Costdrivere 2022'!$B$4:$L$105,2,FALSE),VLOOKUP($B48,'Costdrivere 2022'!$B$4:$L$105,3,FALSE),VLOOKUP($B48,'Costdrivere 2022'!$B$4:$L$105,4,FALSE),VLOOKUP($B48,'Costdrivere 2022'!$B$4:$L$105,5,FALSE),VLOOKUP($B48,'Costdrivere 2022'!$B$4:$L$105,6,FALSE),VLOOKUP($B48,'Costdrivere 2022'!$B$4:$L$105,7,FALSE),VLOOKUP($B48,'Costdrivere 2022'!$B$4:$L$105,8,FALSE),VLOOKUP($B48,'Costdrivere 2022'!$B$4:$L$105,9,FALSE),VLOOKUP($B48,'Costdrivere 2022'!$B$4:$L$105,10,FALSE),VLOOKUP($B48,'Costdrivere 2022'!$B$4:$L$105,11,FALSE))</f>
        <v>57208105.785211727</v>
      </c>
      <c r="F48" s="93">
        <f>VLOOKUP(B48,'Costdrivere 2022'!B:AP,39,0)+VLOOKUP(B48,'Costdrivere 2022'!B:AP,40,0)+VLOOKUP(B48,'Costdrivere 2022'!B:AP,41,0)</f>
        <v>146606463.35966218</v>
      </c>
      <c r="G48" s="93">
        <v>52769882</v>
      </c>
      <c r="H48" s="94">
        <v>80996847.482925847</v>
      </c>
      <c r="I48" s="95">
        <v>4859674</v>
      </c>
      <c r="J48" s="96">
        <f>VLOOKUP(B48,'Gennemførte investeringer'!B:AE,30,0)</f>
        <v>27037548.221656248</v>
      </c>
      <c r="K48" s="97">
        <f t="shared" si="0"/>
        <v>112894069.7045821</v>
      </c>
      <c r="L48" s="88">
        <f t="shared" si="1"/>
        <v>165663951.7045821</v>
      </c>
      <c r="M48" s="18">
        <v>0</v>
      </c>
      <c r="N48" s="90">
        <v>0</v>
      </c>
      <c r="O48" s="98">
        <v>0</v>
      </c>
      <c r="P48" s="88">
        <f t="shared" si="2"/>
        <v>52769882</v>
      </c>
      <c r="Q48" s="88">
        <f t="shared" si="3"/>
        <v>112894069.7045821</v>
      </c>
      <c r="R48" s="88">
        <f t="shared" si="4"/>
        <v>165663951.7045821</v>
      </c>
      <c r="S48" s="58">
        <v>0</v>
      </c>
    </row>
    <row r="49" spans="1:19" ht="16.5" customHeight="1" x14ac:dyDescent="0.25">
      <c r="A49" s="49" t="s">
        <v>111</v>
      </c>
      <c r="B49" s="49" t="s">
        <v>112</v>
      </c>
      <c r="C49" s="92">
        <v>41.145207952583007</v>
      </c>
      <c r="D49" s="93">
        <f>VLOOKUP(B49,'Costdrivere 2022'!B:M,12,0)</f>
        <v>6.9195094760312145E-2</v>
      </c>
      <c r="E49" s="94">
        <f>SUM(VLOOKUP($B49,'Costdrivere 2022'!$B$4:$L$105,2,FALSE),VLOOKUP($B49,'Costdrivere 2022'!$B$4:$L$105,3,FALSE),VLOOKUP($B49,'Costdrivere 2022'!$B$4:$L$105,4,FALSE),VLOOKUP($B49,'Costdrivere 2022'!$B$4:$L$105,5,FALSE),VLOOKUP($B49,'Costdrivere 2022'!$B$4:$L$105,6,FALSE),VLOOKUP($B49,'Costdrivere 2022'!$B$4:$L$105,7,FALSE),VLOOKUP($B49,'Costdrivere 2022'!$B$4:$L$105,8,FALSE),VLOOKUP($B49,'Costdrivere 2022'!$B$4:$L$105,9,FALSE),VLOOKUP($B49,'Costdrivere 2022'!$B$4:$L$105,10,FALSE),VLOOKUP($B49,'Costdrivere 2022'!$B$4:$L$105,11,FALSE))</f>
        <v>15698244.381390881</v>
      </c>
      <c r="F49" s="93">
        <f>VLOOKUP(B49,'Costdrivere 2022'!B:AP,39,0)+VLOOKUP(B49,'Costdrivere 2022'!B:AP,40,0)+VLOOKUP(B49,'Costdrivere 2022'!B:AP,41,0)</f>
        <v>68492982.267930552</v>
      </c>
      <c r="G49" s="93">
        <v>10974937.599999994</v>
      </c>
      <c r="H49" s="94">
        <v>37230287.616080441</v>
      </c>
      <c r="I49" s="95">
        <v>479682.59</v>
      </c>
      <c r="J49" s="96">
        <f>VLOOKUP(B49,'Gennemførte investeringer'!B:AE,30,0)</f>
        <v>7969422.0149159851</v>
      </c>
      <c r="K49" s="97">
        <f t="shared" si="0"/>
        <v>45679392.220996432</v>
      </c>
      <c r="L49" s="88">
        <f t="shared" si="1"/>
        <v>56654329.820996426</v>
      </c>
      <c r="M49" s="18">
        <v>0</v>
      </c>
      <c r="N49" s="90">
        <v>0</v>
      </c>
      <c r="O49" s="98">
        <v>0</v>
      </c>
      <c r="P49" s="88">
        <f t="shared" si="2"/>
        <v>10974937.599999994</v>
      </c>
      <c r="Q49" s="88">
        <f t="shared" si="3"/>
        <v>45679392.220996432</v>
      </c>
      <c r="R49" s="88">
        <f t="shared" si="4"/>
        <v>56654329.820996426</v>
      </c>
      <c r="S49" s="58">
        <v>0</v>
      </c>
    </row>
    <row r="50" spans="1:19" ht="16.5" customHeight="1" x14ac:dyDescent="0.25">
      <c r="A50" s="49" t="s">
        <v>113</v>
      </c>
      <c r="B50" s="49" t="s">
        <v>114</v>
      </c>
      <c r="C50" s="92">
        <v>38.990174804924578</v>
      </c>
      <c r="D50" s="93">
        <f>VLOOKUP(B50,'Costdrivere 2022'!B:M,12,0)</f>
        <v>7.6876015159718453E-2</v>
      </c>
      <c r="E50" s="94">
        <f>SUM(VLOOKUP($B50,'Costdrivere 2022'!$B$4:$L$105,2,FALSE),VLOOKUP($B50,'Costdrivere 2022'!$B$4:$L$105,3,FALSE),VLOOKUP($B50,'Costdrivere 2022'!$B$4:$L$105,4,FALSE),VLOOKUP($B50,'Costdrivere 2022'!$B$4:$L$105,5,FALSE),VLOOKUP($B50,'Costdrivere 2022'!$B$4:$L$105,6,FALSE),VLOOKUP($B50,'Costdrivere 2022'!$B$4:$L$105,7,FALSE),VLOOKUP($B50,'Costdrivere 2022'!$B$4:$L$105,8,FALSE),VLOOKUP($B50,'Costdrivere 2022'!$B$4:$L$105,9,FALSE),VLOOKUP($B50,'Costdrivere 2022'!$B$4:$L$105,10,FALSE),VLOOKUP($B50,'Costdrivere 2022'!$B$4:$L$105,11,FALSE))</f>
        <v>15003997.950408246</v>
      </c>
      <c r="F50" s="93">
        <f>VLOOKUP(B50,'Costdrivere 2022'!B:AP,39,0)+VLOOKUP(B50,'Costdrivere 2022'!B:AP,40,0)+VLOOKUP(B50,'Costdrivere 2022'!B:AP,41,0)</f>
        <v>37859977.150404952</v>
      </c>
      <c r="G50" s="93">
        <v>16909692</v>
      </c>
      <c r="H50" s="94">
        <v>18213755.425071962</v>
      </c>
      <c r="I50" s="95">
        <v>1700000</v>
      </c>
      <c r="J50" s="96">
        <f>VLOOKUP(B50,'Gennemførte investeringer'!B:AE,30,0)</f>
        <v>10173045.938053401</v>
      </c>
      <c r="K50" s="97">
        <f t="shared" si="0"/>
        <v>30086801.363125362</v>
      </c>
      <c r="L50" s="88">
        <f t="shared" si="1"/>
        <v>46996493.363125362</v>
      </c>
      <c r="M50" s="18">
        <v>0</v>
      </c>
      <c r="N50" s="90">
        <v>0</v>
      </c>
      <c r="O50" s="98">
        <v>0</v>
      </c>
      <c r="P50" s="88">
        <f t="shared" si="2"/>
        <v>16909692</v>
      </c>
      <c r="Q50" s="88">
        <f t="shared" si="3"/>
        <v>30086801.363125362</v>
      </c>
      <c r="R50" s="88">
        <f t="shared" si="4"/>
        <v>46996493.363125362</v>
      </c>
      <c r="S50" s="58">
        <v>0</v>
      </c>
    </row>
    <row r="51" spans="1:19" ht="16.5" customHeight="1" x14ac:dyDescent="0.25">
      <c r="A51" s="49" t="s">
        <v>115</v>
      </c>
      <c r="B51" s="49" t="s">
        <v>116</v>
      </c>
      <c r="C51" s="92">
        <v>35.287179313430542</v>
      </c>
      <c r="D51" s="93">
        <f>VLOOKUP(B51,'Costdrivere 2022'!B:M,12,0)</f>
        <v>3.2552083333333343E-2</v>
      </c>
      <c r="E51" s="94">
        <f>SUM(VLOOKUP($B51,'Costdrivere 2022'!$B$4:$L$105,2,FALSE),VLOOKUP($B51,'Costdrivere 2022'!$B$4:$L$105,3,FALSE),VLOOKUP($B51,'Costdrivere 2022'!$B$4:$L$105,4,FALSE),VLOOKUP($B51,'Costdrivere 2022'!$B$4:$L$105,5,FALSE),VLOOKUP($B51,'Costdrivere 2022'!$B$4:$L$105,6,FALSE),VLOOKUP($B51,'Costdrivere 2022'!$B$4:$L$105,7,FALSE),VLOOKUP($B51,'Costdrivere 2022'!$B$4:$L$105,8,FALSE),VLOOKUP($B51,'Costdrivere 2022'!$B$4:$L$105,9,FALSE),VLOOKUP($B51,'Costdrivere 2022'!$B$4:$L$105,10,FALSE),VLOOKUP($B51,'Costdrivere 2022'!$B$4:$L$105,11,FALSE))</f>
        <v>22155727.877825525</v>
      </c>
      <c r="F51" s="93">
        <f>VLOOKUP(B51,'Costdrivere 2022'!B:AP,39,0)+VLOOKUP(B51,'Costdrivere 2022'!B:AP,40,0)+VLOOKUP(B51,'Costdrivere 2022'!B:AP,41,0)</f>
        <v>83523600.88719362</v>
      </c>
      <c r="G51" s="93">
        <v>23065327</v>
      </c>
      <c r="H51" s="94">
        <v>38962056.723623484</v>
      </c>
      <c r="I51" s="95">
        <v>737517</v>
      </c>
      <c r="J51" s="96">
        <f>VLOOKUP(B51,'Gennemførte investeringer'!B:AE,30,0)</f>
        <v>11994011.963829532</v>
      </c>
      <c r="K51" s="97">
        <f t="shared" si="0"/>
        <v>51693585.687453017</v>
      </c>
      <c r="L51" s="88">
        <f t="shared" si="1"/>
        <v>74758912.687453017</v>
      </c>
      <c r="M51" s="18">
        <v>0</v>
      </c>
      <c r="N51" s="90">
        <v>0</v>
      </c>
      <c r="O51" s="98">
        <v>0</v>
      </c>
      <c r="P51" s="88">
        <f t="shared" si="2"/>
        <v>23065327</v>
      </c>
      <c r="Q51" s="88">
        <f t="shared" si="3"/>
        <v>51693585.687453017</v>
      </c>
      <c r="R51" s="88">
        <f t="shared" si="4"/>
        <v>74758912.687453017</v>
      </c>
      <c r="S51" s="58">
        <v>0</v>
      </c>
    </row>
    <row r="52" spans="1:19" ht="16.5" customHeight="1" x14ac:dyDescent="0.25">
      <c r="A52" s="49" t="s">
        <v>117</v>
      </c>
      <c r="B52" s="49" t="s">
        <v>118</v>
      </c>
      <c r="C52" s="92">
        <v>38.087839698524185</v>
      </c>
      <c r="D52" s="93">
        <f>VLOOKUP(B52,'Costdrivere 2022'!B:M,12,0)</f>
        <v>3.8601551621245275E-2</v>
      </c>
      <c r="E52" s="94">
        <f>SUM(VLOOKUP($B52,'Costdrivere 2022'!$B$4:$L$105,2,FALSE),VLOOKUP($B52,'Costdrivere 2022'!$B$4:$L$105,3,FALSE),VLOOKUP($B52,'Costdrivere 2022'!$B$4:$L$105,4,FALSE),VLOOKUP($B52,'Costdrivere 2022'!$B$4:$L$105,5,FALSE),VLOOKUP($B52,'Costdrivere 2022'!$B$4:$L$105,6,FALSE),VLOOKUP($B52,'Costdrivere 2022'!$B$4:$L$105,7,FALSE),VLOOKUP($B52,'Costdrivere 2022'!$B$4:$L$105,8,FALSE),VLOOKUP($B52,'Costdrivere 2022'!$B$4:$L$105,9,FALSE),VLOOKUP($B52,'Costdrivere 2022'!$B$4:$L$105,10,FALSE),VLOOKUP($B52,'Costdrivere 2022'!$B$4:$L$105,11,FALSE))</f>
        <v>5255148.2746242192</v>
      </c>
      <c r="F52" s="93">
        <f>VLOOKUP(B52,'Costdrivere 2022'!B:AP,39,0)+VLOOKUP(B52,'Costdrivere 2022'!B:AP,40,0)+VLOOKUP(B52,'Costdrivere 2022'!B:AP,41,0)</f>
        <v>18283396.990666669</v>
      </c>
      <c r="G52" s="93">
        <v>6142541</v>
      </c>
      <c r="H52" s="94">
        <v>14495630.555265553</v>
      </c>
      <c r="I52" s="95">
        <v>975000</v>
      </c>
      <c r="J52" s="96">
        <f>VLOOKUP(B52,'Gennemførte investeringer'!B:AE,30,0)</f>
        <v>4539136.909654405</v>
      </c>
      <c r="K52" s="97">
        <f t="shared" si="0"/>
        <v>20009767.464919958</v>
      </c>
      <c r="L52" s="88">
        <f t="shared" si="1"/>
        <v>26152308.464919958</v>
      </c>
      <c r="M52" s="18">
        <v>0</v>
      </c>
      <c r="N52" s="90">
        <v>0</v>
      </c>
      <c r="O52" s="98">
        <v>0</v>
      </c>
      <c r="P52" s="88">
        <f t="shared" si="2"/>
        <v>6142541</v>
      </c>
      <c r="Q52" s="88">
        <f t="shared" si="3"/>
        <v>20009767.464919958</v>
      </c>
      <c r="R52" s="88">
        <f t="shared" si="4"/>
        <v>26152308.464919958</v>
      </c>
      <c r="S52" s="58">
        <v>0</v>
      </c>
    </row>
    <row r="53" spans="1:19" ht="16.5" customHeight="1" x14ac:dyDescent="0.25">
      <c r="A53" s="49" t="s">
        <v>119</v>
      </c>
      <c r="B53" s="49" t="s">
        <v>120</v>
      </c>
      <c r="C53" s="92">
        <v>36.691056729128924</v>
      </c>
      <c r="D53" s="93">
        <f>VLOOKUP(B53,'Costdrivere 2022'!B:M,12,0)</f>
        <v>2.9657577600436871E-2</v>
      </c>
      <c r="E53" s="94">
        <f>SUM(VLOOKUP($B53,'Costdrivere 2022'!$B$4:$L$105,2,FALSE),VLOOKUP($B53,'Costdrivere 2022'!$B$4:$L$105,3,FALSE),VLOOKUP($B53,'Costdrivere 2022'!$B$4:$L$105,4,FALSE),VLOOKUP($B53,'Costdrivere 2022'!$B$4:$L$105,5,FALSE),VLOOKUP($B53,'Costdrivere 2022'!$B$4:$L$105,6,FALSE),VLOOKUP($B53,'Costdrivere 2022'!$B$4:$L$105,7,FALSE),VLOOKUP($B53,'Costdrivere 2022'!$B$4:$L$105,8,FALSE),VLOOKUP($B53,'Costdrivere 2022'!$B$4:$L$105,9,FALSE),VLOOKUP($B53,'Costdrivere 2022'!$B$4:$L$105,10,FALSE),VLOOKUP($B53,'Costdrivere 2022'!$B$4:$L$105,11,FALSE))</f>
        <v>25693763.461754408</v>
      </c>
      <c r="F53" s="93">
        <f>VLOOKUP(B53,'Costdrivere 2022'!B:AP,39,0)+VLOOKUP(B53,'Costdrivere 2022'!B:AP,40,0)+VLOOKUP(B53,'Costdrivere 2022'!B:AP,41,0)</f>
        <v>87448650.077325583</v>
      </c>
      <c r="G53" s="93">
        <v>27546032</v>
      </c>
      <c r="H53" s="94">
        <v>48431813.468603276</v>
      </c>
      <c r="I53" s="95">
        <v>707431</v>
      </c>
      <c r="J53" s="96">
        <f>VLOOKUP(B53,'Gennemførte investeringer'!B:AE,30,0)</f>
        <v>8465654.8087569755</v>
      </c>
      <c r="K53" s="97">
        <f t="shared" si="0"/>
        <v>57604899.277360253</v>
      </c>
      <c r="L53" s="88">
        <f t="shared" si="1"/>
        <v>85150931.27736026</v>
      </c>
      <c r="M53" s="18">
        <v>0</v>
      </c>
      <c r="N53" s="90">
        <v>0</v>
      </c>
      <c r="O53" s="98">
        <v>0</v>
      </c>
      <c r="P53" s="88">
        <f t="shared" si="2"/>
        <v>27546032</v>
      </c>
      <c r="Q53" s="88">
        <f t="shared" si="3"/>
        <v>57604899.277360253</v>
      </c>
      <c r="R53" s="88">
        <f t="shared" si="4"/>
        <v>85150931.27736026</v>
      </c>
      <c r="S53" s="58">
        <v>0</v>
      </c>
    </row>
    <row r="54" spans="1:19" ht="16.5" customHeight="1" x14ac:dyDescent="0.25">
      <c r="A54" s="49" t="s">
        <v>121</v>
      </c>
      <c r="B54" s="49" t="s">
        <v>122</v>
      </c>
      <c r="C54" s="92">
        <v>26.581887464519269</v>
      </c>
      <c r="D54" s="93">
        <f>VLOOKUP(B54,'Costdrivere 2022'!B:M,12,0)</f>
        <v>3.875968992248062E-4</v>
      </c>
      <c r="E54" s="94">
        <f>SUM(VLOOKUP($B54,'Costdrivere 2022'!$B$4:$L$105,2,FALSE),VLOOKUP($B54,'Costdrivere 2022'!$B$4:$L$105,3,FALSE),VLOOKUP($B54,'Costdrivere 2022'!$B$4:$L$105,4,FALSE),VLOOKUP($B54,'Costdrivere 2022'!$B$4:$L$105,5,FALSE),VLOOKUP($B54,'Costdrivere 2022'!$B$4:$L$105,6,FALSE),VLOOKUP($B54,'Costdrivere 2022'!$B$4:$L$105,7,FALSE),VLOOKUP($B54,'Costdrivere 2022'!$B$4:$L$105,8,FALSE),VLOOKUP($B54,'Costdrivere 2022'!$B$4:$L$105,9,FALSE),VLOOKUP($B54,'Costdrivere 2022'!$B$4:$L$105,10,FALSE),VLOOKUP($B54,'Costdrivere 2022'!$B$4:$L$105,11,FALSE))</f>
        <v>16676093.942738939</v>
      </c>
      <c r="F54" s="93">
        <f>VLOOKUP(B54,'Costdrivere 2022'!B:AP,39,0)+VLOOKUP(B54,'Costdrivere 2022'!B:AP,40,0)+VLOOKUP(B54,'Costdrivere 2022'!B:AP,41,0)</f>
        <v>18772595.098394204</v>
      </c>
      <c r="G54" s="93">
        <v>38701407</v>
      </c>
      <c r="H54" s="94">
        <v>5322640.6348420288</v>
      </c>
      <c r="I54" s="95">
        <v>120000</v>
      </c>
      <c r="J54" s="96">
        <f>VLOOKUP(B54,'Gennemførte investeringer'!B:AE,30,0)</f>
        <v>5262882.4395943731</v>
      </c>
      <c r="K54" s="97">
        <f t="shared" si="0"/>
        <v>10705523.074436402</v>
      </c>
      <c r="L54" s="88">
        <f t="shared" si="1"/>
        <v>49406930.074436404</v>
      </c>
      <c r="M54" s="18">
        <v>0</v>
      </c>
      <c r="N54" s="90">
        <v>4533874</v>
      </c>
      <c r="O54" s="98">
        <v>0</v>
      </c>
      <c r="P54" s="88">
        <f t="shared" si="2"/>
        <v>34167533</v>
      </c>
      <c r="Q54" s="88">
        <f t="shared" si="3"/>
        <v>10705523.074436402</v>
      </c>
      <c r="R54" s="88">
        <f t="shared" si="4"/>
        <v>44873056.074436404</v>
      </c>
      <c r="S54" s="58">
        <v>0</v>
      </c>
    </row>
    <row r="55" spans="1:19" ht="16.5" customHeight="1" x14ac:dyDescent="0.25">
      <c r="A55" s="49" t="s">
        <v>123</v>
      </c>
      <c r="B55" s="49" t="s">
        <v>124</v>
      </c>
      <c r="C55" s="92">
        <v>36.547614610056755</v>
      </c>
      <c r="D55" s="93">
        <f>VLOOKUP(B55,'Costdrivere 2022'!B:M,12,0)</f>
        <v>2.4456271576524743E-2</v>
      </c>
      <c r="E55" s="94">
        <f>SUM(VLOOKUP($B55,'Costdrivere 2022'!$B$4:$L$105,2,FALSE),VLOOKUP($B55,'Costdrivere 2022'!$B$4:$L$105,3,FALSE),VLOOKUP($B55,'Costdrivere 2022'!$B$4:$L$105,4,FALSE),VLOOKUP($B55,'Costdrivere 2022'!$B$4:$L$105,5,FALSE),VLOOKUP($B55,'Costdrivere 2022'!$B$4:$L$105,6,FALSE),VLOOKUP($B55,'Costdrivere 2022'!$B$4:$L$105,7,FALSE),VLOOKUP($B55,'Costdrivere 2022'!$B$4:$L$105,8,FALSE),VLOOKUP($B55,'Costdrivere 2022'!$B$4:$L$105,9,FALSE),VLOOKUP($B55,'Costdrivere 2022'!$B$4:$L$105,10,FALSE),VLOOKUP($B55,'Costdrivere 2022'!$B$4:$L$105,11,FALSE))</f>
        <v>21356856.328863092</v>
      </c>
      <c r="F55" s="93">
        <f>VLOOKUP(B55,'Costdrivere 2022'!B:AP,39,0)+VLOOKUP(B55,'Costdrivere 2022'!B:AP,40,0)+VLOOKUP(B55,'Costdrivere 2022'!B:AP,41,0)</f>
        <v>92324979.932594836</v>
      </c>
      <c r="G55" s="93">
        <v>23000877</v>
      </c>
      <c r="H55" s="94">
        <v>41135315.914696574</v>
      </c>
      <c r="I55" s="95">
        <v>674000</v>
      </c>
      <c r="J55" s="96">
        <f>VLOOKUP(B55,'Gennemførte investeringer'!B:AE,30,0)</f>
        <v>11865428.736357618</v>
      </c>
      <c r="K55" s="97">
        <f t="shared" si="0"/>
        <v>53674744.651054189</v>
      </c>
      <c r="L55" s="88">
        <f t="shared" si="1"/>
        <v>76675621.651054189</v>
      </c>
      <c r="M55" s="18">
        <v>0</v>
      </c>
      <c r="N55" s="90">
        <v>0</v>
      </c>
      <c r="O55" s="98">
        <v>0</v>
      </c>
      <c r="P55" s="88">
        <f t="shared" si="2"/>
        <v>23000877</v>
      </c>
      <c r="Q55" s="88">
        <f t="shared" si="3"/>
        <v>53674744.651054189</v>
      </c>
      <c r="R55" s="88">
        <f t="shared" si="4"/>
        <v>76675621.651054189</v>
      </c>
      <c r="S55" s="58">
        <v>0</v>
      </c>
    </row>
    <row r="56" spans="1:19" ht="16.5" customHeight="1" x14ac:dyDescent="0.25">
      <c r="A56" s="49" t="s">
        <v>125</v>
      </c>
      <c r="B56" s="49" t="s">
        <v>126</v>
      </c>
      <c r="C56" s="92">
        <v>37.141070827584826</v>
      </c>
      <c r="D56" s="93">
        <f>VLOOKUP(B56,'Costdrivere 2022'!B:M,12,0)</f>
        <v>3.0838906852106128E-2</v>
      </c>
      <c r="E56" s="94">
        <f>SUM(VLOOKUP($B56,'Costdrivere 2022'!$B$4:$L$105,2,FALSE),VLOOKUP($B56,'Costdrivere 2022'!$B$4:$L$105,3,FALSE),VLOOKUP($B56,'Costdrivere 2022'!$B$4:$L$105,4,FALSE),VLOOKUP($B56,'Costdrivere 2022'!$B$4:$L$105,5,FALSE),VLOOKUP($B56,'Costdrivere 2022'!$B$4:$L$105,6,FALSE),VLOOKUP($B56,'Costdrivere 2022'!$B$4:$L$105,7,FALSE),VLOOKUP($B56,'Costdrivere 2022'!$B$4:$L$105,8,FALSE),VLOOKUP($B56,'Costdrivere 2022'!$B$4:$L$105,9,FALSE),VLOOKUP($B56,'Costdrivere 2022'!$B$4:$L$105,10,FALSE),VLOOKUP($B56,'Costdrivere 2022'!$B$4:$L$105,11,FALSE))</f>
        <v>16863941.293556157</v>
      </c>
      <c r="F56" s="93">
        <f>VLOOKUP(B56,'Costdrivere 2022'!B:AP,39,0)+VLOOKUP(B56,'Costdrivere 2022'!B:AP,40,0)+VLOOKUP(B56,'Costdrivere 2022'!B:AP,41,0)</f>
        <v>43918980.988395602</v>
      </c>
      <c r="G56" s="93">
        <v>12083031</v>
      </c>
      <c r="H56" s="94">
        <v>25115865.307006981</v>
      </c>
      <c r="I56" s="95">
        <v>512033</v>
      </c>
      <c r="J56" s="96">
        <f>VLOOKUP(B56,'Gennemførte investeringer'!B:AE,30,0)</f>
        <v>4969215.5593521018</v>
      </c>
      <c r="K56" s="97">
        <f t="shared" si="0"/>
        <v>30597113.866359085</v>
      </c>
      <c r="L56" s="88">
        <f t="shared" si="1"/>
        <v>42680144.866359085</v>
      </c>
      <c r="M56" s="18">
        <v>0</v>
      </c>
      <c r="N56" s="90">
        <v>0</v>
      </c>
      <c r="O56" s="98">
        <v>0</v>
      </c>
      <c r="P56" s="88">
        <f t="shared" si="2"/>
        <v>12083031</v>
      </c>
      <c r="Q56" s="88">
        <f t="shared" si="3"/>
        <v>30597113.866359085</v>
      </c>
      <c r="R56" s="88">
        <f t="shared" si="4"/>
        <v>42680144.866359085</v>
      </c>
      <c r="S56" s="58">
        <v>0</v>
      </c>
    </row>
    <row r="57" spans="1:19" ht="16.5" customHeight="1" x14ac:dyDescent="0.25">
      <c r="A57" s="49" t="s">
        <v>127</v>
      </c>
      <c r="B57" s="49" t="s">
        <v>128</v>
      </c>
      <c r="C57" s="92">
        <v>34.211094035925179</v>
      </c>
      <c r="D57" s="93">
        <f>VLOOKUP(B57,'Costdrivere 2022'!B:M,12,0)</f>
        <v>3.362223938223937E-2</v>
      </c>
      <c r="E57" s="94">
        <f>SUM(VLOOKUP($B57,'Costdrivere 2022'!$B$4:$L$105,2,FALSE),VLOOKUP($B57,'Costdrivere 2022'!$B$4:$L$105,3,FALSE),VLOOKUP($B57,'Costdrivere 2022'!$B$4:$L$105,4,FALSE),VLOOKUP($B57,'Costdrivere 2022'!$B$4:$L$105,5,FALSE),VLOOKUP($B57,'Costdrivere 2022'!$B$4:$L$105,6,FALSE),VLOOKUP($B57,'Costdrivere 2022'!$B$4:$L$105,7,FALSE),VLOOKUP($B57,'Costdrivere 2022'!$B$4:$L$105,8,FALSE),VLOOKUP($B57,'Costdrivere 2022'!$B$4:$L$105,9,FALSE),VLOOKUP($B57,'Costdrivere 2022'!$B$4:$L$105,10,FALSE),VLOOKUP($B57,'Costdrivere 2022'!$B$4:$L$105,11,FALSE))</f>
        <v>55560249.259660818</v>
      </c>
      <c r="F57" s="93">
        <f>VLOOKUP(B57,'Costdrivere 2022'!B:AP,39,0)+VLOOKUP(B57,'Costdrivere 2022'!B:AP,40,0)+VLOOKUP(B57,'Costdrivere 2022'!B:AP,41,0)</f>
        <v>193843726.72621378</v>
      </c>
      <c r="G57" s="93">
        <v>70998831</v>
      </c>
      <c r="H57" s="94">
        <v>95169240.37079908</v>
      </c>
      <c r="I57" s="95">
        <v>1613000</v>
      </c>
      <c r="J57" s="96">
        <f>VLOOKUP(B57,'Gennemførte investeringer'!B:AE,30,0)</f>
        <v>29806371.130313706</v>
      </c>
      <c r="K57" s="97">
        <f t="shared" si="0"/>
        <v>126588611.50111279</v>
      </c>
      <c r="L57" s="88">
        <f t="shared" si="1"/>
        <v>197587442.50111279</v>
      </c>
      <c r="M57" s="18">
        <v>0</v>
      </c>
      <c r="N57" s="90">
        <v>0</v>
      </c>
      <c r="O57" s="98">
        <v>0</v>
      </c>
      <c r="P57" s="88">
        <f t="shared" si="2"/>
        <v>70998831</v>
      </c>
      <c r="Q57" s="88">
        <f t="shared" si="3"/>
        <v>126588611.50111279</v>
      </c>
      <c r="R57" s="88">
        <f t="shared" si="4"/>
        <v>197587442.50111279</v>
      </c>
      <c r="S57" s="58">
        <v>0</v>
      </c>
    </row>
    <row r="58" spans="1:19" ht="16.5" customHeight="1" x14ac:dyDescent="0.25">
      <c r="A58" s="49" t="s">
        <v>129</v>
      </c>
      <c r="B58" s="49" t="s">
        <v>130</v>
      </c>
      <c r="C58" s="92">
        <v>36.363844631683513</v>
      </c>
      <c r="D58" s="93">
        <f>VLOOKUP(B58,'Costdrivere 2022'!B:M,12,0)</f>
        <v>3.9480138169257342E-2</v>
      </c>
      <c r="E58" s="94">
        <f>SUM(VLOOKUP($B58,'Costdrivere 2022'!$B$4:$L$105,2,FALSE),VLOOKUP($B58,'Costdrivere 2022'!$B$4:$L$105,3,FALSE),VLOOKUP($B58,'Costdrivere 2022'!$B$4:$L$105,4,FALSE),VLOOKUP($B58,'Costdrivere 2022'!$B$4:$L$105,5,FALSE),VLOOKUP($B58,'Costdrivere 2022'!$B$4:$L$105,6,FALSE),VLOOKUP($B58,'Costdrivere 2022'!$B$4:$L$105,7,FALSE),VLOOKUP($B58,'Costdrivere 2022'!$B$4:$L$105,8,FALSE),VLOOKUP($B58,'Costdrivere 2022'!$B$4:$L$105,9,FALSE),VLOOKUP($B58,'Costdrivere 2022'!$B$4:$L$105,10,FALSE),VLOOKUP($B58,'Costdrivere 2022'!$B$4:$L$105,11,FALSE))</f>
        <v>36157438.120788366</v>
      </c>
      <c r="F58" s="93">
        <f>VLOOKUP(B58,'Costdrivere 2022'!B:AP,39,0)+VLOOKUP(B58,'Costdrivere 2022'!B:AP,40,0)+VLOOKUP(B58,'Costdrivere 2022'!B:AP,41,0)</f>
        <v>94735364.130631998</v>
      </c>
      <c r="G58" s="93">
        <v>30812756</v>
      </c>
      <c r="H58" s="94">
        <v>55735745.918701485</v>
      </c>
      <c r="I58" s="95">
        <v>5787129</v>
      </c>
      <c r="J58" s="96">
        <f>VLOOKUP(B58,'Gennemførte investeringer'!B:AE,30,0)</f>
        <v>25464876.787888795</v>
      </c>
      <c r="K58" s="97">
        <f t="shared" si="0"/>
        <v>86987751.70659028</v>
      </c>
      <c r="L58" s="88">
        <f t="shared" si="1"/>
        <v>117800507.70659028</v>
      </c>
      <c r="M58" s="18">
        <v>0</v>
      </c>
      <c r="N58" s="90">
        <v>0</v>
      </c>
      <c r="O58" s="98">
        <v>0</v>
      </c>
      <c r="P58" s="88">
        <f t="shared" si="2"/>
        <v>30812756</v>
      </c>
      <c r="Q58" s="88">
        <f t="shared" si="3"/>
        <v>86987751.70659028</v>
      </c>
      <c r="R58" s="88">
        <f t="shared" si="4"/>
        <v>117800507.70659028</v>
      </c>
      <c r="S58" s="58">
        <v>0</v>
      </c>
    </row>
    <row r="59" spans="1:19" ht="16.5" customHeight="1" x14ac:dyDescent="0.25">
      <c r="A59" s="49" t="s">
        <v>131</v>
      </c>
      <c r="B59" s="49" t="s">
        <v>132</v>
      </c>
      <c r="C59" s="92">
        <v>36.441831550451326</v>
      </c>
      <c r="D59" s="93">
        <f>VLOOKUP(B59,'Costdrivere 2022'!B:M,12,0)</f>
        <v>2.5462783171521036E-2</v>
      </c>
      <c r="E59" s="94">
        <f>SUM(VLOOKUP($B59,'Costdrivere 2022'!$B$4:$L$105,2,FALSE),VLOOKUP($B59,'Costdrivere 2022'!$B$4:$L$105,3,FALSE),VLOOKUP($B59,'Costdrivere 2022'!$B$4:$L$105,4,FALSE),VLOOKUP($B59,'Costdrivere 2022'!$B$4:$L$105,5,FALSE),VLOOKUP($B59,'Costdrivere 2022'!$B$4:$L$105,6,FALSE),VLOOKUP($B59,'Costdrivere 2022'!$B$4:$L$105,7,FALSE),VLOOKUP($B59,'Costdrivere 2022'!$B$4:$L$105,8,FALSE),VLOOKUP($B59,'Costdrivere 2022'!$B$4:$L$105,9,FALSE),VLOOKUP($B59,'Costdrivere 2022'!$B$4:$L$105,10,FALSE),VLOOKUP($B59,'Costdrivere 2022'!$B$4:$L$105,11,FALSE))</f>
        <v>16783740.598444495</v>
      </c>
      <c r="F59" s="93">
        <f>VLOOKUP(B59,'Costdrivere 2022'!B:AP,39,0)+VLOOKUP(B59,'Costdrivere 2022'!B:AP,40,0)+VLOOKUP(B59,'Costdrivere 2022'!B:AP,41,0)</f>
        <v>50586060.391701102</v>
      </c>
      <c r="G59" s="93">
        <v>29884136</v>
      </c>
      <c r="H59" s="94">
        <v>33127167.569955386</v>
      </c>
      <c r="I59" s="95">
        <v>168949</v>
      </c>
      <c r="J59" s="96">
        <f>VLOOKUP(B59,'Gennemførte investeringer'!B:AE,30,0)</f>
        <v>6138889.3338061804</v>
      </c>
      <c r="K59" s="97">
        <f t="shared" si="0"/>
        <v>39435005.903761566</v>
      </c>
      <c r="L59" s="88">
        <f t="shared" si="1"/>
        <v>69319141.903761566</v>
      </c>
      <c r="M59" s="18">
        <v>0</v>
      </c>
      <c r="N59" s="90">
        <v>0</v>
      </c>
      <c r="O59" s="98">
        <v>0</v>
      </c>
      <c r="P59" s="88">
        <f t="shared" si="2"/>
        <v>29884136</v>
      </c>
      <c r="Q59" s="88">
        <f t="shared" si="3"/>
        <v>39435005.903761566</v>
      </c>
      <c r="R59" s="88">
        <f t="shared" si="4"/>
        <v>69319141.903761566</v>
      </c>
      <c r="S59" s="58">
        <v>0</v>
      </c>
    </row>
    <row r="60" spans="1:19" ht="16.5" customHeight="1" x14ac:dyDescent="0.25">
      <c r="A60" s="49" t="s">
        <v>133</v>
      </c>
      <c r="B60" s="49" t="s">
        <v>134</v>
      </c>
      <c r="C60" s="92">
        <v>32.495168673205754</v>
      </c>
      <c r="D60" s="93">
        <f>VLOOKUP(B60,'Costdrivere 2022'!B:M,12,0)</f>
        <v>2.782891638480969E-2</v>
      </c>
      <c r="E60" s="94">
        <f>SUM(VLOOKUP($B60,'Costdrivere 2022'!$B$4:$L$105,2,FALSE),VLOOKUP($B60,'Costdrivere 2022'!$B$4:$L$105,3,FALSE),VLOOKUP($B60,'Costdrivere 2022'!$B$4:$L$105,4,FALSE),VLOOKUP($B60,'Costdrivere 2022'!$B$4:$L$105,5,FALSE),VLOOKUP($B60,'Costdrivere 2022'!$B$4:$L$105,6,FALSE),VLOOKUP($B60,'Costdrivere 2022'!$B$4:$L$105,7,FALSE),VLOOKUP($B60,'Costdrivere 2022'!$B$4:$L$105,8,FALSE),VLOOKUP($B60,'Costdrivere 2022'!$B$4:$L$105,9,FALSE),VLOOKUP($B60,'Costdrivere 2022'!$B$4:$L$105,10,FALSE),VLOOKUP($B60,'Costdrivere 2022'!$B$4:$L$105,11,FALSE))</f>
        <v>23602902.920972697</v>
      </c>
      <c r="F60" s="93">
        <f>VLOOKUP(B60,'Costdrivere 2022'!B:AP,39,0)+VLOOKUP(B60,'Costdrivere 2022'!B:AP,40,0)+VLOOKUP(B60,'Costdrivere 2022'!B:AP,41,0)</f>
        <v>51609215.002114542</v>
      </c>
      <c r="G60" s="93">
        <v>19517423.129999999</v>
      </c>
      <c r="H60" s="94">
        <v>31196734.32163294</v>
      </c>
      <c r="I60" s="95">
        <v>3003794.03</v>
      </c>
      <c r="J60" s="96">
        <f>VLOOKUP(B60,'Gennemførte investeringer'!B:AE,30,0)</f>
        <v>8026935.3843317963</v>
      </c>
      <c r="K60" s="97">
        <f t="shared" si="0"/>
        <v>42227463.73596473</v>
      </c>
      <c r="L60" s="88">
        <f t="shared" si="1"/>
        <v>61744886.865964726</v>
      </c>
      <c r="M60" s="18">
        <v>0</v>
      </c>
      <c r="N60" s="90">
        <v>0</v>
      </c>
      <c r="O60" s="98">
        <v>0</v>
      </c>
      <c r="P60" s="88">
        <f t="shared" si="2"/>
        <v>19517423.129999999</v>
      </c>
      <c r="Q60" s="88">
        <f t="shared" si="3"/>
        <v>42227463.73596473</v>
      </c>
      <c r="R60" s="88">
        <f t="shared" si="4"/>
        <v>61744886.865964726</v>
      </c>
      <c r="S60" s="58">
        <v>0</v>
      </c>
    </row>
    <row r="61" spans="1:19" ht="16.5" customHeight="1" x14ac:dyDescent="0.25">
      <c r="A61" s="49" t="s">
        <v>135</v>
      </c>
      <c r="B61" s="49" t="s">
        <v>136</v>
      </c>
      <c r="C61" s="92">
        <v>34.200368937198078</v>
      </c>
      <c r="D61" s="93">
        <f>VLOOKUP(B61,'Costdrivere 2022'!B:M,12,0)</f>
        <v>2.0811591702962609E-2</v>
      </c>
      <c r="E61" s="94">
        <f>SUM(VLOOKUP($B61,'Costdrivere 2022'!$B$4:$L$105,2,FALSE),VLOOKUP($B61,'Costdrivere 2022'!$B$4:$L$105,3,FALSE),VLOOKUP($B61,'Costdrivere 2022'!$B$4:$L$105,4,FALSE),VLOOKUP($B61,'Costdrivere 2022'!$B$4:$L$105,5,FALSE),VLOOKUP($B61,'Costdrivere 2022'!$B$4:$L$105,6,FALSE),VLOOKUP($B61,'Costdrivere 2022'!$B$4:$L$105,7,FALSE),VLOOKUP($B61,'Costdrivere 2022'!$B$4:$L$105,8,FALSE),VLOOKUP($B61,'Costdrivere 2022'!$B$4:$L$105,9,FALSE),VLOOKUP($B61,'Costdrivere 2022'!$B$4:$L$105,10,FALSE),VLOOKUP($B61,'Costdrivere 2022'!$B$4:$L$105,11,FALSE))</f>
        <v>38243397.199372284</v>
      </c>
      <c r="F61" s="93">
        <f>VLOOKUP(B61,'Costdrivere 2022'!B:AP,39,0)+VLOOKUP(B61,'Costdrivere 2022'!B:AP,40,0)+VLOOKUP(B61,'Costdrivere 2022'!B:AP,41,0)</f>
        <v>104719682.3506797</v>
      </c>
      <c r="G61" s="93">
        <v>38180046</v>
      </c>
      <c r="H61" s="94">
        <v>49645704.190495595</v>
      </c>
      <c r="I61" s="95">
        <v>8965982</v>
      </c>
      <c r="J61" s="96">
        <f>VLOOKUP(B61,'Gennemførte investeringer'!B:AE,30,0)</f>
        <v>25026436.289031077</v>
      </c>
      <c r="K61" s="97">
        <f t="shared" si="0"/>
        <v>83638122.479526669</v>
      </c>
      <c r="L61" s="88">
        <f t="shared" si="1"/>
        <v>121818168.47952667</v>
      </c>
      <c r="M61" s="18">
        <v>0</v>
      </c>
      <c r="N61" s="90">
        <v>0</v>
      </c>
      <c r="O61" s="98">
        <v>0</v>
      </c>
      <c r="P61" s="88">
        <f t="shared" si="2"/>
        <v>38180046</v>
      </c>
      <c r="Q61" s="88">
        <f t="shared" si="3"/>
        <v>83638122.479526669</v>
      </c>
      <c r="R61" s="88">
        <f t="shared" si="4"/>
        <v>121818168.47952667</v>
      </c>
      <c r="S61" s="58">
        <v>0</v>
      </c>
    </row>
    <row r="62" spans="1:19" ht="16.5" customHeight="1" x14ac:dyDescent="0.25">
      <c r="A62" s="49" t="s">
        <v>137</v>
      </c>
      <c r="B62" s="49" t="s">
        <v>138</v>
      </c>
      <c r="C62" s="92">
        <v>34.045715972262713</v>
      </c>
      <c r="D62" s="93">
        <f>VLOOKUP(B62,'Costdrivere 2022'!B:M,12,0)</f>
        <v>0.10967500701087463</v>
      </c>
      <c r="E62" s="94">
        <f>SUM(VLOOKUP($B62,'Costdrivere 2022'!$B$4:$L$105,2,FALSE),VLOOKUP($B62,'Costdrivere 2022'!$B$4:$L$105,3,FALSE),VLOOKUP($B62,'Costdrivere 2022'!$B$4:$L$105,4,FALSE),VLOOKUP($B62,'Costdrivere 2022'!$B$4:$L$105,5,FALSE),VLOOKUP($B62,'Costdrivere 2022'!$B$4:$L$105,6,FALSE),VLOOKUP($B62,'Costdrivere 2022'!$B$4:$L$105,7,FALSE),VLOOKUP($B62,'Costdrivere 2022'!$B$4:$L$105,8,FALSE),VLOOKUP($B62,'Costdrivere 2022'!$B$4:$L$105,9,FALSE),VLOOKUP($B62,'Costdrivere 2022'!$B$4:$L$105,10,FALSE),VLOOKUP($B62,'Costdrivere 2022'!$B$4:$L$105,11,FALSE))</f>
        <v>9340552.0940338746</v>
      </c>
      <c r="F62" s="93">
        <f>VLOOKUP(B62,'Costdrivere 2022'!B:AP,39,0)+VLOOKUP(B62,'Costdrivere 2022'!B:AP,40,0)+VLOOKUP(B62,'Costdrivere 2022'!B:AP,41,0)</f>
        <v>51535441.594224967</v>
      </c>
      <c r="G62" s="93">
        <v>11501849.5</v>
      </c>
      <c r="H62" s="94">
        <v>16988668.830076445</v>
      </c>
      <c r="I62" s="95">
        <v>10993345</v>
      </c>
      <c r="J62" s="96">
        <f>VLOOKUP(B62,'Gennemførte investeringer'!B:AE,30,0)</f>
        <v>19846260.885079898</v>
      </c>
      <c r="K62" s="97">
        <f t="shared" si="0"/>
        <v>47828274.715156347</v>
      </c>
      <c r="L62" s="88">
        <f t="shared" si="1"/>
        <v>59330124.215156347</v>
      </c>
      <c r="M62" s="18">
        <v>0</v>
      </c>
      <c r="N62" s="90">
        <v>0</v>
      </c>
      <c r="O62" s="98">
        <v>0</v>
      </c>
      <c r="P62" s="88">
        <f t="shared" si="2"/>
        <v>11501849.5</v>
      </c>
      <c r="Q62" s="88">
        <f t="shared" si="3"/>
        <v>47828274.715156347</v>
      </c>
      <c r="R62" s="88">
        <f t="shared" si="4"/>
        <v>59330124.215156347</v>
      </c>
      <c r="S62" s="58">
        <v>0</v>
      </c>
    </row>
    <row r="63" spans="1:19" ht="16.5" customHeight="1" x14ac:dyDescent="0.25">
      <c r="A63" s="49" t="s">
        <v>139</v>
      </c>
      <c r="B63" s="49" t="s">
        <v>140</v>
      </c>
      <c r="C63" s="92">
        <v>31.789502698048562</v>
      </c>
      <c r="D63" s="93">
        <f>VLOOKUP(B63,'Costdrivere 2022'!B:M,12,0)</f>
        <v>2.4438669906407487E-2</v>
      </c>
      <c r="E63" s="94">
        <f>SUM(VLOOKUP($B63,'Costdrivere 2022'!$B$4:$L$105,2,FALSE),VLOOKUP($B63,'Costdrivere 2022'!$B$4:$L$105,3,FALSE),VLOOKUP($B63,'Costdrivere 2022'!$B$4:$L$105,4,FALSE),VLOOKUP($B63,'Costdrivere 2022'!$B$4:$L$105,5,FALSE),VLOOKUP($B63,'Costdrivere 2022'!$B$4:$L$105,6,FALSE),VLOOKUP($B63,'Costdrivere 2022'!$B$4:$L$105,7,FALSE),VLOOKUP($B63,'Costdrivere 2022'!$B$4:$L$105,8,FALSE),VLOOKUP($B63,'Costdrivere 2022'!$B$4:$L$105,9,FALSE),VLOOKUP($B63,'Costdrivere 2022'!$B$4:$L$105,10,FALSE),VLOOKUP($B63,'Costdrivere 2022'!$B$4:$L$105,11,FALSE))</f>
        <v>31517158.380671978</v>
      </c>
      <c r="F63" s="93">
        <f>VLOOKUP(B63,'Costdrivere 2022'!B:AP,39,0)+VLOOKUP(B63,'Costdrivere 2022'!B:AP,40,0)+VLOOKUP(B63,'Costdrivere 2022'!B:AP,41,0)</f>
        <v>120543776.31720299</v>
      </c>
      <c r="G63" s="93">
        <v>34409101</v>
      </c>
      <c r="H63" s="94">
        <v>56344542.116290577</v>
      </c>
      <c r="I63" s="95">
        <v>12938000</v>
      </c>
      <c r="J63" s="96">
        <f>VLOOKUP(B63,'Gennemførte investeringer'!B:AE,30,0)</f>
        <v>29859085.957996011</v>
      </c>
      <c r="K63" s="97">
        <f t="shared" si="0"/>
        <v>99141628.07428658</v>
      </c>
      <c r="L63" s="88">
        <f t="shared" si="1"/>
        <v>133550729.07428658</v>
      </c>
      <c r="M63" s="18">
        <v>0</v>
      </c>
      <c r="N63" s="90">
        <v>0</v>
      </c>
      <c r="O63" s="98">
        <v>0</v>
      </c>
      <c r="P63" s="88">
        <f t="shared" si="2"/>
        <v>34409101</v>
      </c>
      <c r="Q63" s="88">
        <f t="shared" si="3"/>
        <v>99141628.07428658</v>
      </c>
      <c r="R63" s="88">
        <f t="shared" si="4"/>
        <v>133550729.07428658</v>
      </c>
      <c r="S63" s="58">
        <v>0</v>
      </c>
    </row>
    <row r="64" spans="1:19" ht="16.5" customHeight="1" x14ac:dyDescent="0.25">
      <c r="A64" s="49" t="s">
        <v>141</v>
      </c>
      <c r="B64" s="49" t="s">
        <v>142</v>
      </c>
      <c r="C64" s="92">
        <v>32.50773915890877</v>
      </c>
      <c r="D64" s="93">
        <f>VLOOKUP(B64,'Costdrivere 2022'!B:M,12,0)</f>
        <v>2.0172042013494405E-2</v>
      </c>
      <c r="E64" s="94">
        <f>SUM(VLOOKUP($B64,'Costdrivere 2022'!$B$4:$L$105,2,FALSE),VLOOKUP($B64,'Costdrivere 2022'!$B$4:$L$105,3,FALSE),VLOOKUP($B64,'Costdrivere 2022'!$B$4:$L$105,4,FALSE),VLOOKUP($B64,'Costdrivere 2022'!$B$4:$L$105,5,FALSE),VLOOKUP($B64,'Costdrivere 2022'!$B$4:$L$105,6,FALSE),VLOOKUP($B64,'Costdrivere 2022'!$B$4:$L$105,7,FALSE),VLOOKUP($B64,'Costdrivere 2022'!$B$4:$L$105,8,FALSE),VLOOKUP($B64,'Costdrivere 2022'!$B$4:$L$105,9,FALSE),VLOOKUP($B64,'Costdrivere 2022'!$B$4:$L$105,10,FALSE),VLOOKUP($B64,'Costdrivere 2022'!$B$4:$L$105,11,FALSE))</f>
        <v>25578419.73118028</v>
      </c>
      <c r="F64" s="93">
        <f>VLOOKUP(B64,'Costdrivere 2022'!B:AP,39,0)+VLOOKUP(B64,'Costdrivere 2022'!B:AP,40,0)+VLOOKUP(B64,'Costdrivere 2022'!B:AP,41,0)</f>
        <v>103593513.02547295</v>
      </c>
      <c r="G64" s="93">
        <v>22855942</v>
      </c>
      <c r="H64" s="94">
        <v>41651509.165590666</v>
      </c>
      <c r="I64" s="95">
        <v>3813000</v>
      </c>
      <c r="J64" s="96">
        <f>VLOOKUP(B64,'Gennemførte investeringer'!B:AE,30,0)</f>
        <v>14362822.464422014</v>
      </c>
      <c r="K64" s="97">
        <f t="shared" si="0"/>
        <v>59827331.630012676</v>
      </c>
      <c r="L64" s="88">
        <f t="shared" si="1"/>
        <v>82683273.630012676</v>
      </c>
      <c r="M64" s="18">
        <v>0</v>
      </c>
      <c r="N64" s="90">
        <v>0</v>
      </c>
      <c r="O64" s="98">
        <v>0</v>
      </c>
      <c r="P64" s="88">
        <f t="shared" si="2"/>
        <v>22855942</v>
      </c>
      <c r="Q64" s="88">
        <f t="shared" si="3"/>
        <v>59827331.630012676</v>
      </c>
      <c r="R64" s="88">
        <f t="shared" si="4"/>
        <v>82683273.630012676</v>
      </c>
      <c r="S64" s="58">
        <v>0</v>
      </c>
    </row>
    <row r="65" spans="1:19" ht="16.5" customHeight="1" x14ac:dyDescent="0.25">
      <c r="A65" s="49" t="s">
        <v>143</v>
      </c>
      <c r="B65" s="49" t="s">
        <v>144</v>
      </c>
      <c r="C65" s="92">
        <v>33.049009373818862</v>
      </c>
      <c r="D65" s="93">
        <f>VLOOKUP(B65,'Costdrivere 2022'!B:M,12,0)</f>
        <v>1.6635478327286613E-2</v>
      </c>
      <c r="E65" s="94">
        <f>SUM(VLOOKUP($B65,'Costdrivere 2022'!$B$4:$L$105,2,FALSE),VLOOKUP($B65,'Costdrivere 2022'!$B$4:$L$105,3,FALSE),VLOOKUP($B65,'Costdrivere 2022'!$B$4:$L$105,4,FALSE),VLOOKUP($B65,'Costdrivere 2022'!$B$4:$L$105,5,FALSE),VLOOKUP($B65,'Costdrivere 2022'!$B$4:$L$105,6,FALSE),VLOOKUP($B65,'Costdrivere 2022'!$B$4:$L$105,7,FALSE),VLOOKUP($B65,'Costdrivere 2022'!$B$4:$L$105,8,FALSE),VLOOKUP($B65,'Costdrivere 2022'!$B$4:$L$105,9,FALSE),VLOOKUP($B65,'Costdrivere 2022'!$B$4:$L$105,10,FALSE),VLOOKUP($B65,'Costdrivere 2022'!$B$4:$L$105,11,FALSE))</f>
        <v>23336500.172849715</v>
      </c>
      <c r="F65" s="93">
        <f>VLOOKUP(B65,'Costdrivere 2022'!B:AP,39,0)+VLOOKUP(B65,'Costdrivere 2022'!B:AP,40,0)+VLOOKUP(B65,'Costdrivere 2022'!B:AP,41,0)</f>
        <v>72027218.224017322</v>
      </c>
      <c r="G65" s="93">
        <v>18001142</v>
      </c>
      <c r="H65" s="94">
        <v>30259618.175073188</v>
      </c>
      <c r="I65" s="95">
        <v>5555969</v>
      </c>
      <c r="J65" s="96">
        <f>VLOOKUP(B65,'Gennemførte investeringer'!B:AE,30,0)</f>
        <v>10144302.780882925</v>
      </c>
      <c r="K65" s="97">
        <f t="shared" si="0"/>
        <v>45959889.955956116</v>
      </c>
      <c r="L65" s="88">
        <f t="shared" si="1"/>
        <v>63961031.955956116</v>
      </c>
      <c r="M65" s="18">
        <v>0</v>
      </c>
      <c r="N65" s="90">
        <v>0</v>
      </c>
      <c r="O65" s="98">
        <v>0</v>
      </c>
      <c r="P65" s="88">
        <f t="shared" si="2"/>
        <v>18001142</v>
      </c>
      <c r="Q65" s="88">
        <f t="shared" si="3"/>
        <v>45959889.955956116</v>
      </c>
      <c r="R65" s="88">
        <f t="shared" si="4"/>
        <v>63961031.955956116</v>
      </c>
      <c r="S65" s="58">
        <v>0</v>
      </c>
    </row>
    <row r="66" spans="1:19" ht="16.5" customHeight="1" x14ac:dyDescent="0.25">
      <c r="A66" s="49" t="s">
        <v>145</v>
      </c>
      <c r="B66" s="49" t="s">
        <v>146</v>
      </c>
      <c r="C66" s="92">
        <v>33.370454973852866</v>
      </c>
      <c r="D66" s="93">
        <f>VLOOKUP(B66,'Costdrivere 2022'!B:M,12,0)</f>
        <v>5.6179775280898881E-4</v>
      </c>
      <c r="E66" s="94">
        <f>SUM(VLOOKUP($B66,'Costdrivere 2022'!$B$4:$L$105,2,FALSE),VLOOKUP($B66,'Costdrivere 2022'!$B$4:$L$105,3,FALSE),VLOOKUP($B66,'Costdrivere 2022'!$B$4:$L$105,4,FALSE),VLOOKUP($B66,'Costdrivere 2022'!$B$4:$L$105,5,FALSE),VLOOKUP($B66,'Costdrivere 2022'!$B$4:$L$105,6,FALSE),VLOOKUP($B66,'Costdrivere 2022'!$B$4:$L$105,7,FALSE),VLOOKUP($B66,'Costdrivere 2022'!$B$4:$L$105,8,FALSE),VLOOKUP($B66,'Costdrivere 2022'!$B$4:$L$105,9,FALSE),VLOOKUP($B66,'Costdrivere 2022'!$B$4:$L$105,10,FALSE),VLOOKUP($B66,'Costdrivere 2022'!$B$4:$L$105,11,FALSE))</f>
        <v>22898628.497503754</v>
      </c>
      <c r="F66" s="93">
        <f>VLOOKUP(B66,'Costdrivere 2022'!B:AP,39,0)+VLOOKUP(B66,'Costdrivere 2022'!B:AP,40,0)+VLOOKUP(B66,'Costdrivere 2022'!B:AP,41,0)</f>
        <v>25890390.377183326</v>
      </c>
      <c r="G66" s="93">
        <v>34152663.870000005</v>
      </c>
      <c r="H66" s="94">
        <v>12374503.528093472</v>
      </c>
      <c r="I66" s="95">
        <v>935957</v>
      </c>
      <c r="J66" s="96">
        <f>VLOOKUP(B66,'Gennemførte investeringer'!B:AE,30,0)</f>
        <v>13602913.094955718</v>
      </c>
      <c r="K66" s="97">
        <f t="shared" si="0"/>
        <v>26913373.623049192</v>
      </c>
      <c r="L66" s="88">
        <f t="shared" si="1"/>
        <v>61066037.493049197</v>
      </c>
      <c r="M66" s="18">
        <v>13488.731341906871</v>
      </c>
      <c r="N66" s="90">
        <v>1629530</v>
      </c>
      <c r="O66" s="98">
        <v>6056494</v>
      </c>
      <c r="P66" s="88">
        <f t="shared" si="2"/>
        <v>32523133.870000005</v>
      </c>
      <c r="Q66" s="88">
        <f t="shared" si="3"/>
        <v>20843390.891707286</v>
      </c>
      <c r="R66" s="88">
        <f t="shared" si="4"/>
        <v>53366524.761707291</v>
      </c>
      <c r="S66" s="58">
        <v>0</v>
      </c>
    </row>
    <row r="67" spans="1:19" ht="16.5" customHeight="1" x14ac:dyDescent="0.25">
      <c r="A67" s="49" t="s">
        <v>147</v>
      </c>
      <c r="B67" s="49" t="s">
        <v>148</v>
      </c>
      <c r="C67" s="92">
        <v>24.048624118758223</v>
      </c>
      <c r="D67" s="93">
        <f>VLOOKUP(B67,'Costdrivere 2022'!B:M,12,0)</f>
        <v>4.3478260869565227E-3</v>
      </c>
      <c r="E67" s="94">
        <f>SUM(VLOOKUP($B67,'Costdrivere 2022'!$B$4:$L$105,2,FALSE),VLOOKUP($B67,'Costdrivere 2022'!$B$4:$L$105,3,FALSE),VLOOKUP($B67,'Costdrivere 2022'!$B$4:$L$105,4,FALSE),VLOOKUP($B67,'Costdrivere 2022'!$B$4:$L$105,5,FALSE),VLOOKUP($B67,'Costdrivere 2022'!$B$4:$L$105,6,FALSE),VLOOKUP($B67,'Costdrivere 2022'!$B$4:$L$105,7,FALSE),VLOOKUP($B67,'Costdrivere 2022'!$B$4:$L$105,8,FALSE),VLOOKUP($B67,'Costdrivere 2022'!$B$4:$L$105,9,FALSE),VLOOKUP($B67,'Costdrivere 2022'!$B$4:$L$105,10,FALSE),VLOOKUP($B67,'Costdrivere 2022'!$B$4:$L$105,11,FALSE))</f>
        <v>14087298.236837009</v>
      </c>
      <c r="F67" s="93">
        <f>VLOOKUP(B67,'Costdrivere 2022'!B:AP,39,0)+VLOOKUP(B67,'Costdrivere 2022'!B:AP,40,0)+VLOOKUP(B67,'Costdrivere 2022'!B:AP,41,0)</f>
        <v>8005847.4571215492</v>
      </c>
      <c r="G67" s="93">
        <v>13643095</v>
      </c>
      <c r="H67" s="94">
        <v>3202080.2765066661</v>
      </c>
      <c r="I67" s="95">
        <v>680000</v>
      </c>
      <c r="J67" s="96">
        <f>VLOOKUP(B67,'Gennemførte investeringer'!B:AE,30,0)</f>
        <v>5769734.2887218762</v>
      </c>
      <c r="K67" s="97">
        <f t="shared" si="0"/>
        <v>9651814.5652285423</v>
      </c>
      <c r="L67" s="88">
        <f t="shared" si="1"/>
        <v>23294909.565228544</v>
      </c>
      <c r="M67" s="18">
        <v>0</v>
      </c>
      <c r="N67" s="90">
        <v>0</v>
      </c>
      <c r="O67" s="98">
        <v>0</v>
      </c>
      <c r="P67" s="88">
        <f t="shared" si="2"/>
        <v>13643095</v>
      </c>
      <c r="Q67" s="88">
        <f t="shared" si="3"/>
        <v>9651814.5652285423</v>
      </c>
      <c r="R67" s="88">
        <f t="shared" si="4"/>
        <v>23294909.565228544</v>
      </c>
      <c r="S67" s="58">
        <v>0</v>
      </c>
    </row>
    <row r="68" spans="1:19" ht="16.5" customHeight="1" x14ac:dyDescent="0.25">
      <c r="A68" s="49" t="s">
        <v>149</v>
      </c>
      <c r="B68" s="49" t="s">
        <v>150</v>
      </c>
      <c r="C68" s="92">
        <v>35.479709630715661</v>
      </c>
      <c r="D68" s="93">
        <f>VLOOKUP(B68,'Costdrivere 2022'!B:M,12,0)</f>
        <v>2.5299854894109436E-2</v>
      </c>
      <c r="E68" s="94">
        <f>SUM(VLOOKUP($B68,'Costdrivere 2022'!$B$4:$L$105,2,FALSE),VLOOKUP($B68,'Costdrivere 2022'!$B$4:$L$105,3,FALSE),VLOOKUP($B68,'Costdrivere 2022'!$B$4:$L$105,4,FALSE),VLOOKUP($B68,'Costdrivere 2022'!$B$4:$L$105,5,FALSE),VLOOKUP($B68,'Costdrivere 2022'!$B$4:$L$105,6,FALSE),VLOOKUP($B68,'Costdrivere 2022'!$B$4:$L$105,7,FALSE),VLOOKUP($B68,'Costdrivere 2022'!$B$4:$L$105,8,FALSE),VLOOKUP($B68,'Costdrivere 2022'!$B$4:$L$105,9,FALSE),VLOOKUP($B68,'Costdrivere 2022'!$B$4:$L$105,10,FALSE),VLOOKUP($B68,'Costdrivere 2022'!$B$4:$L$105,11,FALSE))</f>
        <v>26101048.111877263</v>
      </c>
      <c r="F68" s="93">
        <f>VLOOKUP(B68,'Costdrivere 2022'!B:AP,39,0)+VLOOKUP(B68,'Costdrivere 2022'!B:AP,40,0)+VLOOKUP(B68,'Costdrivere 2022'!B:AP,41,0)</f>
        <v>61040733.441827558</v>
      </c>
      <c r="G68" s="93">
        <v>28236578</v>
      </c>
      <c r="H68" s="94">
        <v>31203243.302017402</v>
      </c>
      <c r="I68" s="95">
        <v>249276</v>
      </c>
      <c r="J68" s="96">
        <f>VLOOKUP(B68,'Gennemførte investeringer'!B:AE,30,0)</f>
        <v>9852795.5048404206</v>
      </c>
      <c r="K68" s="97">
        <f t="shared" si="0"/>
        <v>41305314.806857824</v>
      </c>
      <c r="L68" s="88">
        <f t="shared" si="1"/>
        <v>69541892.806857824</v>
      </c>
      <c r="M68" s="18">
        <v>0</v>
      </c>
      <c r="N68" s="90">
        <v>0</v>
      </c>
      <c r="O68" s="98">
        <v>0</v>
      </c>
      <c r="P68" s="88">
        <f t="shared" si="2"/>
        <v>28236578</v>
      </c>
      <c r="Q68" s="88">
        <f t="shared" si="3"/>
        <v>41305314.806857824</v>
      </c>
      <c r="R68" s="88">
        <f t="shared" si="4"/>
        <v>69541892.806857824</v>
      </c>
      <c r="S68" s="58">
        <v>0</v>
      </c>
    </row>
    <row r="69" spans="1:19" ht="16.5" customHeight="1" x14ac:dyDescent="0.25">
      <c r="A69" s="49" t="s">
        <v>151</v>
      </c>
      <c r="B69" s="49" t="s">
        <v>152</v>
      </c>
      <c r="C69" s="92">
        <v>33.835019608415479</v>
      </c>
      <c r="D69" s="93">
        <f>VLOOKUP(B69,'Costdrivere 2022'!B:M,12,0)</f>
        <v>4.5232635983263596E-2</v>
      </c>
      <c r="E69" s="94">
        <f>SUM(VLOOKUP($B69,'Costdrivere 2022'!$B$4:$L$105,2,FALSE),VLOOKUP($B69,'Costdrivere 2022'!$B$4:$L$105,3,FALSE),VLOOKUP($B69,'Costdrivere 2022'!$B$4:$L$105,4,FALSE),VLOOKUP($B69,'Costdrivere 2022'!$B$4:$L$105,5,FALSE),VLOOKUP($B69,'Costdrivere 2022'!$B$4:$L$105,6,FALSE),VLOOKUP($B69,'Costdrivere 2022'!$B$4:$L$105,7,FALSE),VLOOKUP($B69,'Costdrivere 2022'!$B$4:$L$105,8,FALSE),VLOOKUP($B69,'Costdrivere 2022'!$B$4:$L$105,9,FALSE),VLOOKUP($B69,'Costdrivere 2022'!$B$4:$L$105,10,FALSE),VLOOKUP($B69,'Costdrivere 2022'!$B$4:$L$105,11,FALSE))</f>
        <v>43972561.689950846</v>
      </c>
      <c r="F69" s="93">
        <f>VLOOKUP(B69,'Costdrivere 2022'!B:AP,39,0)+VLOOKUP(B69,'Costdrivere 2022'!B:AP,40,0)+VLOOKUP(B69,'Costdrivere 2022'!B:AP,41,0)</f>
        <v>172028945.7464115</v>
      </c>
      <c r="G69" s="93">
        <v>49602782</v>
      </c>
      <c r="H69" s="94">
        <v>80189423.701338142</v>
      </c>
      <c r="I69" s="95">
        <v>3987000</v>
      </c>
      <c r="J69" s="96">
        <f>VLOOKUP(B69,'Gennemførte investeringer'!B:AE,30,0)</f>
        <v>34404985.531015836</v>
      </c>
      <c r="K69" s="97">
        <f t="shared" ref="K69:K104" si="5">SUM(H69:J69)</f>
        <v>118581409.23235399</v>
      </c>
      <c r="L69" s="88">
        <f t="shared" ref="L69:L104" si="6">G69+K69</f>
        <v>168184191.23235399</v>
      </c>
      <c r="M69" s="18">
        <v>0</v>
      </c>
      <c r="N69" s="90">
        <v>0</v>
      </c>
      <c r="O69" s="98">
        <v>0</v>
      </c>
      <c r="P69" s="88">
        <f t="shared" ref="P69:P104" si="7">G69-N69</f>
        <v>49602782</v>
      </c>
      <c r="Q69" s="88">
        <f t="shared" ref="Q69:Q104" si="8">K69-M69-O69</f>
        <v>118581409.23235399</v>
      </c>
      <c r="R69" s="88">
        <f t="shared" ref="R69:R104" si="9">P69+Q69</f>
        <v>168184191.23235399</v>
      </c>
      <c r="S69" s="58">
        <v>0</v>
      </c>
    </row>
    <row r="70" spans="1:19" ht="16.5" customHeight="1" x14ac:dyDescent="0.25">
      <c r="A70" s="49" t="s">
        <v>153</v>
      </c>
      <c r="B70" s="49" t="s">
        <v>154</v>
      </c>
      <c r="C70" s="92">
        <v>34.693669084189459</v>
      </c>
      <c r="D70" s="93">
        <f>VLOOKUP(B70,'Costdrivere 2022'!B:M,12,0)</f>
        <v>3.5818835937114976E-2</v>
      </c>
      <c r="E70" s="94">
        <f>SUM(VLOOKUP($B70,'Costdrivere 2022'!$B$4:$L$105,2,FALSE),VLOOKUP($B70,'Costdrivere 2022'!$B$4:$L$105,3,FALSE),VLOOKUP($B70,'Costdrivere 2022'!$B$4:$L$105,4,FALSE),VLOOKUP($B70,'Costdrivere 2022'!$B$4:$L$105,5,FALSE),VLOOKUP($B70,'Costdrivere 2022'!$B$4:$L$105,6,FALSE),VLOOKUP($B70,'Costdrivere 2022'!$B$4:$L$105,7,FALSE),VLOOKUP($B70,'Costdrivere 2022'!$B$4:$L$105,8,FALSE),VLOOKUP($B70,'Costdrivere 2022'!$B$4:$L$105,9,FALSE),VLOOKUP($B70,'Costdrivere 2022'!$B$4:$L$105,10,FALSE),VLOOKUP($B70,'Costdrivere 2022'!$B$4:$L$105,11,FALSE))</f>
        <v>12335004.089890748</v>
      </c>
      <c r="F70" s="93">
        <f>VLOOKUP(B70,'Costdrivere 2022'!B:AP,39,0)+VLOOKUP(B70,'Costdrivere 2022'!B:AP,40,0)+VLOOKUP(B70,'Costdrivere 2022'!B:AP,41,0)</f>
        <v>34860566.073812164</v>
      </c>
      <c r="G70" s="93">
        <v>12098380.370000001</v>
      </c>
      <c r="H70" s="94">
        <v>18474143.063418556</v>
      </c>
      <c r="I70" s="95">
        <v>1172450</v>
      </c>
      <c r="J70" s="96">
        <f>VLOOKUP(B70,'Gennemførte investeringer'!B:AE,30,0)</f>
        <v>6557270.3655051803</v>
      </c>
      <c r="K70" s="97">
        <f t="shared" si="5"/>
        <v>26203863.428923737</v>
      </c>
      <c r="L70" s="88">
        <f t="shared" si="6"/>
        <v>38302243.798923738</v>
      </c>
      <c r="M70" s="18">
        <v>0</v>
      </c>
      <c r="N70" s="90">
        <v>0</v>
      </c>
      <c r="O70" s="98">
        <v>0</v>
      </c>
      <c r="P70" s="88">
        <f t="shared" si="7"/>
        <v>12098380.370000001</v>
      </c>
      <c r="Q70" s="88">
        <f t="shared" si="8"/>
        <v>26203863.428923737</v>
      </c>
      <c r="R70" s="88">
        <f t="shared" si="9"/>
        <v>38302243.798923738</v>
      </c>
      <c r="S70" s="58">
        <v>0</v>
      </c>
    </row>
    <row r="71" spans="1:19" ht="16.5" customHeight="1" x14ac:dyDescent="0.25">
      <c r="A71" s="49" t="s">
        <v>155</v>
      </c>
      <c r="B71" s="49" t="s">
        <v>156</v>
      </c>
      <c r="C71" s="92">
        <v>31.339429404934069</v>
      </c>
      <c r="D71" s="93">
        <f>VLOOKUP(B71,'Costdrivere 2022'!B:M,12,0)</f>
        <v>1.9815756909115908E-2</v>
      </c>
      <c r="E71" s="94">
        <f>SUM(VLOOKUP($B71,'Costdrivere 2022'!$B$4:$L$105,2,FALSE),VLOOKUP($B71,'Costdrivere 2022'!$B$4:$L$105,3,FALSE),VLOOKUP($B71,'Costdrivere 2022'!$B$4:$L$105,4,FALSE),VLOOKUP($B71,'Costdrivere 2022'!$B$4:$L$105,5,FALSE),VLOOKUP($B71,'Costdrivere 2022'!$B$4:$L$105,6,FALSE),VLOOKUP($B71,'Costdrivere 2022'!$B$4:$L$105,7,FALSE),VLOOKUP($B71,'Costdrivere 2022'!$B$4:$L$105,8,FALSE),VLOOKUP($B71,'Costdrivere 2022'!$B$4:$L$105,9,FALSE),VLOOKUP($B71,'Costdrivere 2022'!$B$4:$L$105,10,FALSE),VLOOKUP($B71,'Costdrivere 2022'!$B$4:$L$105,11,FALSE))</f>
        <v>19273586.589565199</v>
      </c>
      <c r="F71" s="93">
        <f>VLOOKUP(B71,'Costdrivere 2022'!B:AP,39,0)+VLOOKUP(B71,'Costdrivere 2022'!B:AP,40,0)+VLOOKUP(B71,'Costdrivere 2022'!B:AP,41,0)</f>
        <v>66848439.927117474</v>
      </c>
      <c r="G71" s="93">
        <v>23847507.27</v>
      </c>
      <c r="H71" s="94">
        <v>31492629.45383694</v>
      </c>
      <c r="I71" s="95">
        <v>3898932</v>
      </c>
      <c r="J71" s="96">
        <f>VLOOKUP(B71,'Gennemførte investeringer'!B:AE,30,0)</f>
        <v>15164557.926503429</v>
      </c>
      <c r="K71" s="97">
        <f t="shared" si="5"/>
        <v>50556119.380340368</v>
      </c>
      <c r="L71" s="88">
        <f t="shared" si="6"/>
        <v>74403626.650340363</v>
      </c>
      <c r="M71" s="18">
        <v>0</v>
      </c>
      <c r="N71" s="90">
        <v>0</v>
      </c>
      <c r="O71" s="98">
        <v>0</v>
      </c>
      <c r="P71" s="88">
        <f t="shared" si="7"/>
        <v>23847507.27</v>
      </c>
      <c r="Q71" s="88">
        <f t="shared" si="8"/>
        <v>50556119.380340368</v>
      </c>
      <c r="R71" s="88">
        <f t="shared" si="9"/>
        <v>74403626.650340363</v>
      </c>
      <c r="S71" s="58">
        <v>0</v>
      </c>
    </row>
    <row r="72" spans="1:19" ht="16.5" customHeight="1" x14ac:dyDescent="0.25">
      <c r="A72" s="49" t="s">
        <v>157</v>
      </c>
      <c r="B72" s="49" t="s">
        <v>158</v>
      </c>
      <c r="C72" s="92">
        <v>33.793671354018301</v>
      </c>
      <c r="D72" s="93">
        <f>VLOOKUP(B72,'Costdrivere 2022'!B:M,12,0)</f>
        <v>3.9511075734995259E-2</v>
      </c>
      <c r="E72" s="94">
        <f>SUM(VLOOKUP($B72,'Costdrivere 2022'!$B$4:$L$105,2,FALSE),VLOOKUP($B72,'Costdrivere 2022'!$B$4:$L$105,3,FALSE),VLOOKUP($B72,'Costdrivere 2022'!$B$4:$L$105,4,FALSE),VLOOKUP($B72,'Costdrivere 2022'!$B$4:$L$105,5,FALSE),VLOOKUP($B72,'Costdrivere 2022'!$B$4:$L$105,6,FALSE),VLOOKUP($B72,'Costdrivere 2022'!$B$4:$L$105,7,FALSE),VLOOKUP($B72,'Costdrivere 2022'!$B$4:$L$105,8,FALSE),VLOOKUP($B72,'Costdrivere 2022'!$B$4:$L$105,9,FALSE),VLOOKUP($B72,'Costdrivere 2022'!$B$4:$L$105,10,FALSE),VLOOKUP($B72,'Costdrivere 2022'!$B$4:$L$105,11,FALSE))</f>
        <v>52274552.148106366</v>
      </c>
      <c r="F72" s="93">
        <f>VLOOKUP(B72,'Costdrivere 2022'!B:AP,39,0)+VLOOKUP(B72,'Costdrivere 2022'!B:AP,40,0)+VLOOKUP(B72,'Costdrivere 2022'!B:AP,41,0)</f>
        <v>198488586.26811904</v>
      </c>
      <c r="G72" s="93">
        <v>46441931.379999995</v>
      </c>
      <c r="H72" s="94">
        <v>91382144.674576312</v>
      </c>
      <c r="I72" s="95">
        <v>4302842.54</v>
      </c>
      <c r="J72" s="96">
        <f>VLOOKUP(B72,'Gennemførte investeringer'!B:AE,30,0)</f>
        <v>30570563.307525363</v>
      </c>
      <c r="K72" s="97">
        <f t="shared" si="5"/>
        <v>126255550.52210169</v>
      </c>
      <c r="L72" s="88">
        <f t="shared" si="6"/>
        <v>172697481.9021017</v>
      </c>
      <c r="M72" s="18">
        <v>0</v>
      </c>
      <c r="N72" s="90">
        <v>0</v>
      </c>
      <c r="O72" s="98">
        <v>0</v>
      </c>
      <c r="P72" s="88">
        <f t="shared" si="7"/>
        <v>46441931.379999995</v>
      </c>
      <c r="Q72" s="88">
        <f t="shared" si="8"/>
        <v>126255550.52210169</v>
      </c>
      <c r="R72" s="88">
        <f t="shared" si="9"/>
        <v>172697481.9021017</v>
      </c>
      <c r="S72" s="58">
        <v>0</v>
      </c>
    </row>
    <row r="73" spans="1:19" ht="16.5" customHeight="1" x14ac:dyDescent="0.25">
      <c r="A73" s="49" t="s">
        <v>159</v>
      </c>
      <c r="B73" s="49" t="s">
        <v>160</v>
      </c>
      <c r="C73" s="92">
        <v>35.786807759296117</v>
      </c>
      <c r="D73" s="93">
        <f>VLOOKUP(B73,'Costdrivere 2022'!B:M,12,0)</f>
        <v>2.5255498778049321E-2</v>
      </c>
      <c r="E73" s="94">
        <f>SUM(VLOOKUP($B73,'Costdrivere 2022'!$B$4:$L$105,2,FALSE),VLOOKUP($B73,'Costdrivere 2022'!$B$4:$L$105,3,FALSE),VLOOKUP($B73,'Costdrivere 2022'!$B$4:$L$105,4,FALSE),VLOOKUP($B73,'Costdrivere 2022'!$B$4:$L$105,5,FALSE),VLOOKUP($B73,'Costdrivere 2022'!$B$4:$L$105,6,FALSE),VLOOKUP($B73,'Costdrivere 2022'!$B$4:$L$105,7,FALSE),VLOOKUP($B73,'Costdrivere 2022'!$B$4:$L$105,8,FALSE),VLOOKUP($B73,'Costdrivere 2022'!$B$4:$L$105,9,FALSE),VLOOKUP($B73,'Costdrivere 2022'!$B$4:$L$105,10,FALSE),VLOOKUP($B73,'Costdrivere 2022'!$B$4:$L$105,11,FALSE))</f>
        <v>12967591.94204976</v>
      </c>
      <c r="F73" s="93">
        <f>VLOOKUP(B73,'Costdrivere 2022'!B:AP,39,0)+VLOOKUP(B73,'Costdrivere 2022'!B:AP,40,0)+VLOOKUP(B73,'Costdrivere 2022'!B:AP,41,0)</f>
        <v>65046713.034293503</v>
      </c>
      <c r="G73" s="93">
        <v>15269300</v>
      </c>
      <c r="H73" s="94">
        <v>36225189.54527735</v>
      </c>
      <c r="I73" s="95">
        <v>1315000</v>
      </c>
      <c r="J73" s="96">
        <f>VLOOKUP(B73,'Gennemførte investeringer'!B:AE,30,0)</f>
        <v>7821346.5558584165</v>
      </c>
      <c r="K73" s="97">
        <f t="shared" si="5"/>
        <v>45361536.101135768</v>
      </c>
      <c r="L73" s="88">
        <f t="shared" si="6"/>
        <v>60630836.101135768</v>
      </c>
      <c r="M73" s="18">
        <v>0</v>
      </c>
      <c r="N73" s="90">
        <v>0</v>
      </c>
      <c r="O73" s="98">
        <v>0</v>
      </c>
      <c r="P73" s="88">
        <f t="shared" si="7"/>
        <v>15269300</v>
      </c>
      <c r="Q73" s="88">
        <f t="shared" si="8"/>
        <v>45361536.101135768</v>
      </c>
      <c r="R73" s="88">
        <f t="shared" si="9"/>
        <v>60630836.101135768</v>
      </c>
      <c r="S73" s="58">
        <v>0</v>
      </c>
    </row>
    <row r="74" spans="1:19" ht="16.5" customHeight="1" x14ac:dyDescent="0.25">
      <c r="A74" s="49" t="s">
        <v>161</v>
      </c>
      <c r="B74" s="49" t="s">
        <v>162</v>
      </c>
      <c r="C74" s="92">
        <v>34.332189334320923</v>
      </c>
      <c r="D74" s="93">
        <f>VLOOKUP(B74,'Costdrivere 2022'!B:M,12,0)</f>
        <v>2.5978821362799269E-2</v>
      </c>
      <c r="E74" s="94">
        <f>SUM(VLOOKUP($B74,'Costdrivere 2022'!$B$4:$L$105,2,FALSE),VLOOKUP($B74,'Costdrivere 2022'!$B$4:$L$105,3,FALSE),VLOOKUP($B74,'Costdrivere 2022'!$B$4:$L$105,4,FALSE),VLOOKUP($B74,'Costdrivere 2022'!$B$4:$L$105,5,FALSE),VLOOKUP($B74,'Costdrivere 2022'!$B$4:$L$105,6,FALSE),VLOOKUP($B74,'Costdrivere 2022'!$B$4:$L$105,7,FALSE),VLOOKUP($B74,'Costdrivere 2022'!$B$4:$L$105,8,FALSE),VLOOKUP($B74,'Costdrivere 2022'!$B$4:$L$105,9,FALSE),VLOOKUP($B74,'Costdrivere 2022'!$B$4:$L$105,10,FALSE),VLOOKUP($B74,'Costdrivere 2022'!$B$4:$L$105,11,FALSE))</f>
        <v>16862726.259126894</v>
      </c>
      <c r="F74" s="93">
        <f>VLOOKUP(B74,'Costdrivere 2022'!B:AP,39,0)+VLOOKUP(B74,'Costdrivere 2022'!B:AP,40,0)+VLOOKUP(B74,'Costdrivere 2022'!B:AP,41,0)</f>
        <v>101758724.46666665</v>
      </c>
      <c r="G74" s="93">
        <v>15352341</v>
      </c>
      <c r="H74" s="94">
        <v>54603828.475088887</v>
      </c>
      <c r="I74" s="95">
        <v>1150146</v>
      </c>
      <c r="J74" s="96">
        <f>VLOOKUP(B74,'Gennemførte investeringer'!B:AE,30,0)</f>
        <v>14241668.558334572</v>
      </c>
      <c r="K74" s="97">
        <f t="shared" si="5"/>
        <v>69995643.033423454</v>
      </c>
      <c r="L74" s="88">
        <f t="shared" si="6"/>
        <v>85347984.033423454</v>
      </c>
      <c r="M74" s="18">
        <v>0</v>
      </c>
      <c r="N74" s="90">
        <v>0</v>
      </c>
      <c r="O74" s="98">
        <v>0</v>
      </c>
      <c r="P74" s="88">
        <f t="shared" si="7"/>
        <v>15352341</v>
      </c>
      <c r="Q74" s="88">
        <f t="shared" si="8"/>
        <v>69995643.033423454</v>
      </c>
      <c r="R74" s="88">
        <f t="shared" si="9"/>
        <v>85347984.033423454</v>
      </c>
      <c r="S74" s="58">
        <v>0</v>
      </c>
    </row>
    <row r="75" spans="1:19" ht="16.5" customHeight="1" x14ac:dyDescent="0.25">
      <c r="A75" s="49" t="s">
        <v>163</v>
      </c>
      <c r="B75" s="49" t="s">
        <v>164</v>
      </c>
      <c r="C75" s="92">
        <v>30.686487231030227</v>
      </c>
      <c r="D75" s="93">
        <f>VLOOKUP(B75,'Costdrivere 2022'!B:M,12,0)</f>
        <v>0</v>
      </c>
      <c r="E75" s="94">
        <f>SUM(VLOOKUP($B75,'Costdrivere 2022'!$B$4:$L$105,2,FALSE),VLOOKUP($B75,'Costdrivere 2022'!$B$4:$L$105,3,FALSE),VLOOKUP($B75,'Costdrivere 2022'!$B$4:$L$105,4,FALSE),VLOOKUP($B75,'Costdrivere 2022'!$B$4:$L$105,5,FALSE),VLOOKUP($B75,'Costdrivere 2022'!$B$4:$L$105,6,FALSE),VLOOKUP($B75,'Costdrivere 2022'!$B$4:$L$105,7,FALSE),VLOOKUP($B75,'Costdrivere 2022'!$B$4:$L$105,8,FALSE),VLOOKUP($B75,'Costdrivere 2022'!$B$4:$L$105,9,FALSE),VLOOKUP($B75,'Costdrivere 2022'!$B$4:$L$105,10,FALSE),VLOOKUP($B75,'Costdrivere 2022'!$B$4:$L$105,11,FALSE))</f>
        <v>15215777.462311432</v>
      </c>
      <c r="F75" s="93">
        <f>VLOOKUP(B75,'Costdrivere 2022'!B:AP,39,0)+VLOOKUP(B75,'Costdrivere 2022'!B:AP,40,0)+VLOOKUP(B75,'Costdrivere 2022'!B:AP,41,0)</f>
        <v>12720440.84552216</v>
      </c>
      <c r="G75" s="93">
        <v>14817906</v>
      </c>
      <c r="H75" s="94">
        <v>2687179.7880954971</v>
      </c>
      <c r="I75" s="95">
        <v>62442</v>
      </c>
      <c r="J75" s="96">
        <f>VLOOKUP(B75,'Gennemførte investeringer'!B:AE,30,0)</f>
        <v>2520555.2814446706</v>
      </c>
      <c r="K75" s="97">
        <f t="shared" si="5"/>
        <v>5270177.0695401672</v>
      </c>
      <c r="L75" s="88">
        <f t="shared" si="6"/>
        <v>20088083.069540165</v>
      </c>
      <c r="M75" s="18">
        <v>0</v>
      </c>
      <c r="N75" s="90">
        <v>1543852.01</v>
      </c>
      <c r="O75" s="98">
        <v>0</v>
      </c>
      <c r="P75" s="88">
        <f t="shared" si="7"/>
        <v>13274053.99</v>
      </c>
      <c r="Q75" s="88">
        <f t="shared" si="8"/>
        <v>5270177.0695401672</v>
      </c>
      <c r="R75" s="88">
        <f t="shared" si="9"/>
        <v>18544231.059540167</v>
      </c>
      <c r="S75" s="58">
        <v>0</v>
      </c>
    </row>
    <row r="76" spans="1:19" ht="16.5" customHeight="1" x14ac:dyDescent="0.25">
      <c r="A76" s="49" t="s">
        <v>165</v>
      </c>
      <c r="B76" s="49" t="s">
        <v>166</v>
      </c>
      <c r="C76" s="92">
        <v>30.361889520072509</v>
      </c>
      <c r="D76" s="93">
        <f>VLOOKUP(B76,'Costdrivere 2022'!B:M,12,0)</f>
        <v>2.3028813559322039E-2</v>
      </c>
      <c r="E76" s="94">
        <f>SUM(VLOOKUP($B76,'Costdrivere 2022'!$B$4:$L$105,2,FALSE),VLOOKUP($B76,'Costdrivere 2022'!$B$4:$L$105,3,FALSE),VLOOKUP($B76,'Costdrivere 2022'!$B$4:$L$105,4,FALSE),VLOOKUP($B76,'Costdrivere 2022'!$B$4:$L$105,5,FALSE),VLOOKUP($B76,'Costdrivere 2022'!$B$4:$L$105,6,FALSE),VLOOKUP($B76,'Costdrivere 2022'!$B$4:$L$105,7,FALSE),VLOOKUP($B76,'Costdrivere 2022'!$B$4:$L$105,8,FALSE),VLOOKUP($B76,'Costdrivere 2022'!$B$4:$L$105,9,FALSE),VLOOKUP($B76,'Costdrivere 2022'!$B$4:$L$105,10,FALSE),VLOOKUP($B76,'Costdrivere 2022'!$B$4:$L$105,11,FALSE))</f>
        <v>18308765.566740021</v>
      </c>
      <c r="F76" s="93">
        <f>VLOOKUP(B76,'Costdrivere 2022'!B:AP,39,0)+VLOOKUP(B76,'Costdrivere 2022'!B:AP,40,0)+VLOOKUP(B76,'Costdrivere 2022'!B:AP,41,0)</f>
        <v>69430614.086333498</v>
      </c>
      <c r="G76" s="93">
        <v>22516403</v>
      </c>
      <c r="H76" s="94">
        <v>29398188.583990842</v>
      </c>
      <c r="I76" s="95">
        <v>4354138</v>
      </c>
      <c r="J76" s="96">
        <f>VLOOKUP(B76,'Gennemførte investeringer'!B:AE,30,0)</f>
        <v>15305671.899724955</v>
      </c>
      <c r="K76" s="97">
        <f t="shared" si="5"/>
        <v>49057998.483715795</v>
      </c>
      <c r="L76" s="88">
        <f t="shared" si="6"/>
        <v>71574401.483715802</v>
      </c>
      <c r="M76" s="18">
        <v>0</v>
      </c>
      <c r="N76" s="90">
        <v>0</v>
      </c>
      <c r="O76" s="98">
        <v>0</v>
      </c>
      <c r="P76" s="88">
        <f t="shared" si="7"/>
        <v>22516403</v>
      </c>
      <c r="Q76" s="88">
        <f t="shared" si="8"/>
        <v>49057998.483715795</v>
      </c>
      <c r="R76" s="88">
        <f t="shared" si="9"/>
        <v>71574401.483715802</v>
      </c>
      <c r="S76" s="58">
        <v>0</v>
      </c>
    </row>
    <row r="77" spans="1:19" ht="16.5" customHeight="1" x14ac:dyDescent="0.25">
      <c r="A77" s="49" t="s">
        <v>167</v>
      </c>
      <c r="B77" s="49" t="s">
        <v>168</v>
      </c>
      <c r="C77" s="92">
        <v>36.50730494015054</v>
      </c>
      <c r="D77" s="93">
        <f>VLOOKUP(B77,'Costdrivere 2022'!B:M,12,0)</f>
        <v>4.7122770919067219E-2</v>
      </c>
      <c r="E77" s="94">
        <f>SUM(VLOOKUP($B77,'Costdrivere 2022'!$B$4:$L$105,2,FALSE),VLOOKUP($B77,'Costdrivere 2022'!$B$4:$L$105,3,FALSE),VLOOKUP($B77,'Costdrivere 2022'!$B$4:$L$105,4,FALSE),VLOOKUP($B77,'Costdrivere 2022'!$B$4:$L$105,5,FALSE),VLOOKUP($B77,'Costdrivere 2022'!$B$4:$L$105,6,FALSE),VLOOKUP($B77,'Costdrivere 2022'!$B$4:$L$105,7,FALSE),VLOOKUP($B77,'Costdrivere 2022'!$B$4:$L$105,8,FALSE),VLOOKUP($B77,'Costdrivere 2022'!$B$4:$L$105,9,FALSE),VLOOKUP($B77,'Costdrivere 2022'!$B$4:$L$105,10,FALSE),VLOOKUP($B77,'Costdrivere 2022'!$B$4:$L$105,11,FALSE))</f>
        <v>41506116.286321513</v>
      </c>
      <c r="F77" s="93">
        <f>VLOOKUP(B77,'Costdrivere 2022'!B:AP,39,0)+VLOOKUP(B77,'Costdrivere 2022'!B:AP,40,0)+VLOOKUP(B77,'Costdrivere 2022'!B:AP,41,0)</f>
        <v>125060646.30074944</v>
      </c>
      <c r="G77" s="93">
        <v>71236020</v>
      </c>
      <c r="H77" s="94">
        <v>64752631.320472598</v>
      </c>
      <c r="I77" s="95">
        <v>3739113</v>
      </c>
      <c r="J77" s="96">
        <f>VLOOKUP(B77,'Gennemførte investeringer'!B:AE,30,0)</f>
        <v>19156449.075716782</v>
      </c>
      <c r="K77" s="97">
        <f t="shared" si="5"/>
        <v>87648193.396189377</v>
      </c>
      <c r="L77" s="88">
        <f t="shared" si="6"/>
        <v>158884213.39618939</v>
      </c>
      <c r="M77" s="18">
        <v>0</v>
      </c>
      <c r="N77" s="90">
        <v>0</v>
      </c>
      <c r="O77" s="98">
        <v>0</v>
      </c>
      <c r="P77" s="88">
        <f t="shared" si="7"/>
        <v>71236020</v>
      </c>
      <c r="Q77" s="88">
        <f t="shared" si="8"/>
        <v>87648193.396189377</v>
      </c>
      <c r="R77" s="88">
        <f t="shared" si="9"/>
        <v>158884213.39618939</v>
      </c>
      <c r="S77" s="58">
        <v>0</v>
      </c>
    </row>
    <row r="78" spans="1:19" ht="16.5" customHeight="1" x14ac:dyDescent="0.25">
      <c r="A78" s="49" t="s">
        <v>169</v>
      </c>
      <c r="B78" s="49" t="s">
        <v>170</v>
      </c>
      <c r="C78" s="92">
        <v>43.440545463598241</v>
      </c>
      <c r="D78" s="93">
        <f>VLOOKUP(B78,'Costdrivere 2022'!B:M,12,0)</f>
        <v>6.3766022380467954E-2</v>
      </c>
      <c r="E78" s="94">
        <f>SUM(VLOOKUP($B78,'Costdrivere 2022'!$B$4:$L$105,2,FALSE),VLOOKUP($B78,'Costdrivere 2022'!$B$4:$L$105,3,FALSE),VLOOKUP($B78,'Costdrivere 2022'!$B$4:$L$105,4,FALSE),VLOOKUP($B78,'Costdrivere 2022'!$B$4:$L$105,5,FALSE),VLOOKUP($B78,'Costdrivere 2022'!$B$4:$L$105,6,FALSE),VLOOKUP($B78,'Costdrivere 2022'!$B$4:$L$105,7,FALSE),VLOOKUP($B78,'Costdrivere 2022'!$B$4:$L$105,8,FALSE),VLOOKUP($B78,'Costdrivere 2022'!$B$4:$L$105,9,FALSE),VLOOKUP($B78,'Costdrivere 2022'!$B$4:$L$105,10,FALSE),VLOOKUP($B78,'Costdrivere 2022'!$B$4:$L$105,11,FALSE))</f>
        <v>19689964.359533075</v>
      </c>
      <c r="F78" s="93">
        <f>VLOOKUP(B78,'Costdrivere 2022'!B:AP,39,0)+VLOOKUP(B78,'Costdrivere 2022'!B:AP,40,0)+VLOOKUP(B78,'Costdrivere 2022'!B:AP,41,0)</f>
        <v>69705302.549222782</v>
      </c>
      <c r="G78" s="93">
        <v>23134036</v>
      </c>
      <c r="H78" s="94">
        <v>29041719.317868862</v>
      </c>
      <c r="I78" s="95">
        <v>2129000</v>
      </c>
      <c r="J78" s="96">
        <f>VLOOKUP(B78,'Gennemførte investeringer'!B:AE,30,0)</f>
        <v>12149031.881516665</v>
      </c>
      <c r="K78" s="97">
        <f t="shared" si="5"/>
        <v>43319751.199385524</v>
      </c>
      <c r="L78" s="88">
        <f t="shared" si="6"/>
        <v>66453787.199385524</v>
      </c>
      <c r="M78" s="18">
        <v>0</v>
      </c>
      <c r="N78" s="90">
        <v>1414555</v>
      </c>
      <c r="O78" s="98">
        <v>0</v>
      </c>
      <c r="P78" s="88">
        <f t="shared" si="7"/>
        <v>21719481</v>
      </c>
      <c r="Q78" s="88">
        <f t="shared" si="8"/>
        <v>43319751.199385524</v>
      </c>
      <c r="R78" s="88">
        <f t="shared" si="9"/>
        <v>65039232.199385524</v>
      </c>
      <c r="S78" s="58">
        <v>0</v>
      </c>
    </row>
    <row r="79" spans="1:19" ht="16.5" customHeight="1" x14ac:dyDescent="0.25">
      <c r="A79" s="49" t="s">
        <v>171</v>
      </c>
      <c r="B79" s="49" t="s">
        <v>172</v>
      </c>
      <c r="C79" s="92">
        <v>34.603665696841645</v>
      </c>
      <c r="D79" s="93">
        <f>VLOOKUP(B79,'Costdrivere 2022'!B:M,12,0)</f>
        <v>5.5245168923360073E-2</v>
      </c>
      <c r="E79" s="94">
        <f>SUM(VLOOKUP($B79,'Costdrivere 2022'!$B$4:$L$105,2,FALSE),VLOOKUP($B79,'Costdrivere 2022'!$B$4:$L$105,3,FALSE),VLOOKUP($B79,'Costdrivere 2022'!$B$4:$L$105,4,FALSE),VLOOKUP($B79,'Costdrivere 2022'!$B$4:$L$105,5,FALSE),VLOOKUP($B79,'Costdrivere 2022'!$B$4:$L$105,6,FALSE),VLOOKUP($B79,'Costdrivere 2022'!$B$4:$L$105,7,FALSE),VLOOKUP($B79,'Costdrivere 2022'!$B$4:$L$105,8,FALSE),VLOOKUP($B79,'Costdrivere 2022'!$B$4:$L$105,9,FALSE),VLOOKUP($B79,'Costdrivere 2022'!$B$4:$L$105,10,FALSE),VLOOKUP($B79,'Costdrivere 2022'!$B$4:$L$105,11,FALSE))</f>
        <v>44749660.833063789</v>
      </c>
      <c r="F79" s="93">
        <f>VLOOKUP(B79,'Costdrivere 2022'!B:AP,39,0)+VLOOKUP(B79,'Costdrivere 2022'!B:AP,40,0)+VLOOKUP(B79,'Costdrivere 2022'!B:AP,41,0)</f>
        <v>186927829.29077911</v>
      </c>
      <c r="G79" s="93">
        <v>60754213</v>
      </c>
      <c r="H79" s="94">
        <v>87580026.420664772</v>
      </c>
      <c r="I79" s="95">
        <v>13846</v>
      </c>
      <c r="J79" s="96">
        <f>VLOOKUP(B79,'Gennemførte investeringer'!B:AE,30,0)</f>
        <v>19656371.609256364</v>
      </c>
      <c r="K79" s="97">
        <f t="shared" si="5"/>
        <v>107250244.02992114</v>
      </c>
      <c r="L79" s="88">
        <f t="shared" si="6"/>
        <v>168004457.02992114</v>
      </c>
      <c r="M79" s="18">
        <v>0</v>
      </c>
      <c r="N79" s="90">
        <v>0</v>
      </c>
      <c r="O79" s="98">
        <v>0</v>
      </c>
      <c r="P79" s="88">
        <f t="shared" si="7"/>
        <v>60754213</v>
      </c>
      <c r="Q79" s="88">
        <f t="shared" si="8"/>
        <v>107250244.02992114</v>
      </c>
      <c r="R79" s="88">
        <f t="shared" si="9"/>
        <v>168004457.02992114</v>
      </c>
      <c r="S79" s="58">
        <v>0</v>
      </c>
    </row>
    <row r="80" spans="1:19" ht="16.5" customHeight="1" x14ac:dyDescent="0.25">
      <c r="A80" s="49" t="s">
        <v>173</v>
      </c>
      <c r="B80" s="49" t="s">
        <v>174</v>
      </c>
      <c r="C80" s="92">
        <v>35.641130859718288</v>
      </c>
      <c r="D80" s="93">
        <f>VLOOKUP(B80,'Costdrivere 2022'!B:M,12,0)</f>
        <v>3.5873486622602785E-2</v>
      </c>
      <c r="E80" s="94">
        <f>SUM(VLOOKUP($B80,'Costdrivere 2022'!$B$4:$L$105,2,FALSE),VLOOKUP($B80,'Costdrivere 2022'!$B$4:$L$105,3,FALSE),VLOOKUP($B80,'Costdrivere 2022'!$B$4:$L$105,4,FALSE),VLOOKUP($B80,'Costdrivere 2022'!$B$4:$L$105,5,FALSE),VLOOKUP($B80,'Costdrivere 2022'!$B$4:$L$105,6,FALSE),VLOOKUP($B80,'Costdrivere 2022'!$B$4:$L$105,7,FALSE),VLOOKUP($B80,'Costdrivere 2022'!$B$4:$L$105,8,FALSE),VLOOKUP($B80,'Costdrivere 2022'!$B$4:$L$105,9,FALSE),VLOOKUP($B80,'Costdrivere 2022'!$B$4:$L$105,10,FALSE),VLOOKUP($B80,'Costdrivere 2022'!$B$4:$L$105,11,FALSE))</f>
        <v>50939776.366221659</v>
      </c>
      <c r="F80" s="93">
        <f>VLOOKUP(B80,'Costdrivere 2022'!B:AP,39,0)+VLOOKUP(B80,'Costdrivere 2022'!B:AP,40,0)+VLOOKUP(B80,'Costdrivere 2022'!B:AP,41,0)</f>
        <v>187711691.87906313</v>
      </c>
      <c r="G80" s="93">
        <v>68613126</v>
      </c>
      <c r="H80" s="94">
        <v>59418766.172620587</v>
      </c>
      <c r="I80" s="95">
        <v>4957000</v>
      </c>
      <c r="J80" s="96">
        <f>VLOOKUP(B80,'Gennemførte investeringer'!B:AE,30,0)</f>
        <v>29741994.862428013</v>
      </c>
      <c r="K80" s="97">
        <f t="shared" si="5"/>
        <v>94117761.035048604</v>
      </c>
      <c r="L80" s="88">
        <f t="shared" si="6"/>
        <v>162730887.0350486</v>
      </c>
      <c r="M80" s="18">
        <v>0</v>
      </c>
      <c r="N80" s="90">
        <v>0</v>
      </c>
      <c r="O80" s="98">
        <v>0</v>
      </c>
      <c r="P80" s="88">
        <f t="shared" si="7"/>
        <v>68613126</v>
      </c>
      <c r="Q80" s="88">
        <f t="shared" si="8"/>
        <v>94117761.035048604</v>
      </c>
      <c r="R80" s="88">
        <f t="shared" si="9"/>
        <v>162730887.0350486</v>
      </c>
      <c r="S80" s="58">
        <v>0</v>
      </c>
    </row>
    <row r="81" spans="1:19" ht="16.5" customHeight="1" x14ac:dyDescent="0.25">
      <c r="A81" s="49" t="s">
        <v>175</v>
      </c>
      <c r="B81" s="49" t="s">
        <v>176</v>
      </c>
      <c r="C81" s="92">
        <v>32.154974182827779</v>
      </c>
      <c r="D81" s="93">
        <f>VLOOKUP(B81,'Costdrivere 2022'!B:M,12,0)</f>
        <v>3.7586671069006677E-2</v>
      </c>
      <c r="E81" s="94">
        <f>SUM(VLOOKUP($B81,'Costdrivere 2022'!$B$4:$L$105,2,FALSE),VLOOKUP($B81,'Costdrivere 2022'!$B$4:$L$105,3,FALSE),VLOOKUP($B81,'Costdrivere 2022'!$B$4:$L$105,4,FALSE),VLOOKUP($B81,'Costdrivere 2022'!$B$4:$L$105,5,FALSE),VLOOKUP($B81,'Costdrivere 2022'!$B$4:$L$105,6,FALSE),VLOOKUP($B81,'Costdrivere 2022'!$B$4:$L$105,7,FALSE),VLOOKUP($B81,'Costdrivere 2022'!$B$4:$L$105,8,FALSE),VLOOKUP($B81,'Costdrivere 2022'!$B$4:$L$105,9,FALSE),VLOOKUP($B81,'Costdrivere 2022'!$B$4:$L$105,10,FALSE),VLOOKUP($B81,'Costdrivere 2022'!$B$4:$L$105,11,FALSE))</f>
        <v>31502027.013092671</v>
      </c>
      <c r="F81" s="93">
        <f>VLOOKUP(B81,'Costdrivere 2022'!B:AP,39,0)+VLOOKUP(B81,'Costdrivere 2022'!B:AP,40,0)+VLOOKUP(B81,'Costdrivere 2022'!B:AP,41,0)</f>
        <v>106142362.95267688</v>
      </c>
      <c r="G81" s="93">
        <v>48413286</v>
      </c>
      <c r="H81" s="94">
        <v>55497349.767576352</v>
      </c>
      <c r="I81" s="95">
        <v>1919139</v>
      </c>
      <c r="J81" s="96">
        <f>VLOOKUP(B81,'Gennemførte investeringer'!B:AE,30,0)</f>
        <v>22369233.521452568</v>
      </c>
      <c r="K81" s="97">
        <f t="shared" si="5"/>
        <v>79785722.289028913</v>
      </c>
      <c r="L81" s="88">
        <f t="shared" si="6"/>
        <v>128199008.28902891</v>
      </c>
      <c r="M81" s="18">
        <v>0</v>
      </c>
      <c r="N81" s="90">
        <v>0</v>
      </c>
      <c r="O81" s="98">
        <v>0</v>
      </c>
      <c r="P81" s="88">
        <f t="shared" si="7"/>
        <v>48413286</v>
      </c>
      <c r="Q81" s="88">
        <f t="shared" si="8"/>
        <v>79785722.289028913</v>
      </c>
      <c r="R81" s="88">
        <f t="shared" si="9"/>
        <v>128199008.28902891</v>
      </c>
      <c r="S81" s="58">
        <v>2524216</v>
      </c>
    </row>
    <row r="82" spans="1:19" ht="16.5" customHeight="1" x14ac:dyDescent="0.25">
      <c r="A82" s="49" t="s">
        <v>177</v>
      </c>
      <c r="B82" s="49" t="s">
        <v>178</v>
      </c>
      <c r="C82" s="92">
        <v>37.095520053142828</v>
      </c>
      <c r="D82" s="93">
        <f>VLOOKUP(B82,'Costdrivere 2022'!B:M,12,0)</f>
        <v>1.907571053260091E-2</v>
      </c>
      <c r="E82" s="94">
        <f>SUM(VLOOKUP($B82,'Costdrivere 2022'!$B$4:$L$105,2,FALSE),VLOOKUP($B82,'Costdrivere 2022'!$B$4:$L$105,3,FALSE),VLOOKUP($B82,'Costdrivere 2022'!$B$4:$L$105,4,FALSE),VLOOKUP($B82,'Costdrivere 2022'!$B$4:$L$105,5,FALSE),VLOOKUP($B82,'Costdrivere 2022'!$B$4:$L$105,6,FALSE),VLOOKUP($B82,'Costdrivere 2022'!$B$4:$L$105,7,FALSE),VLOOKUP($B82,'Costdrivere 2022'!$B$4:$L$105,8,FALSE),VLOOKUP($B82,'Costdrivere 2022'!$B$4:$L$105,9,FALSE),VLOOKUP($B82,'Costdrivere 2022'!$B$4:$L$105,10,FALSE),VLOOKUP($B82,'Costdrivere 2022'!$B$4:$L$105,11,FALSE))</f>
        <v>24043606.211124141</v>
      </c>
      <c r="F82" s="93">
        <f>VLOOKUP(B82,'Costdrivere 2022'!B:AP,39,0)+VLOOKUP(B82,'Costdrivere 2022'!B:AP,40,0)+VLOOKUP(B82,'Costdrivere 2022'!B:AP,41,0)</f>
        <v>99611837.40038076</v>
      </c>
      <c r="G82" s="93">
        <v>28155384.48</v>
      </c>
      <c r="H82" s="94">
        <v>48751704.318056628</v>
      </c>
      <c r="I82" s="95">
        <v>1475690</v>
      </c>
      <c r="J82" s="96">
        <f>VLOOKUP(B82,'Gennemførte investeringer'!B:AE,30,0)</f>
        <v>13596308.615245905</v>
      </c>
      <c r="K82" s="97">
        <f t="shared" si="5"/>
        <v>63823702.933302537</v>
      </c>
      <c r="L82" s="88">
        <f t="shared" si="6"/>
        <v>91979087.413302541</v>
      </c>
      <c r="M82" s="18">
        <v>0</v>
      </c>
      <c r="N82" s="90">
        <v>0</v>
      </c>
      <c r="O82" s="98">
        <v>0</v>
      </c>
      <c r="P82" s="88">
        <f t="shared" si="7"/>
        <v>28155384.48</v>
      </c>
      <c r="Q82" s="88">
        <f t="shared" si="8"/>
        <v>63823702.933302537</v>
      </c>
      <c r="R82" s="88">
        <f t="shared" si="9"/>
        <v>91979087.413302541</v>
      </c>
      <c r="S82" s="58">
        <v>0</v>
      </c>
    </row>
    <row r="83" spans="1:19" ht="16.5" customHeight="1" x14ac:dyDescent="0.25">
      <c r="A83" s="49" t="s">
        <v>179</v>
      </c>
      <c r="B83" s="49" t="s">
        <v>180</v>
      </c>
      <c r="C83" s="92">
        <v>40.930262424776373</v>
      </c>
      <c r="D83" s="93">
        <f>VLOOKUP(B83,'Costdrivere 2022'!B:M,12,0)</f>
        <v>4.0906981062012626E-2</v>
      </c>
      <c r="E83" s="94">
        <f>SUM(VLOOKUP($B83,'Costdrivere 2022'!$B$4:$L$105,2,FALSE),VLOOKUP($B83,'Costdrivere 2022'!$B$4:$L$105,3,FALSE),VLOOKUP($B83,'Costdrivere 2022'!$B$4:$L$105,4,FALSE),VLOOKUP($B83,'Costdrivere 2022'!$B$4:$L$105,5,FALSE),VLOOKUP($B83,'Costdrivere 2022'!$B$4:$L$105,6,FALSE),VLOOKUP($B83,'Costdrivere 2022'!$B$4:$L$105,7,FALSE),VLOOKUP($B83,'Costdrivere 2022'!$B$4:$L$105,8,FALSE),VLOOKUP($B83,'Costdrivere 2022'!$B$4:$L$105,9,FALSE),VLOOKUP($B83,'Costdrivere 2022'!$B$4:$L$105,10,FALSE),VLOOKUP($B83,'Costdrivere 2022'!$B$4:$L$105,11,FALSE))</f>
        <v>11936192.500340305</v>
      </c>
      <c r="F83" s="93">
        <f>VLOOKUP(B83,'Costdrivere 2022'!B:AP,39,0)+VLOOKUP(B83,'Costdrivere 2022'!B:AP,40,0)+VLOOKUP(B83,'Costdrivere 2022'!B:AP,41,0)</f>
        <v>32050080.318298459</v>
      </c>
      <c r="G83" s="93">
        <v>11674137</v>
      </c>
      <c r="H83" s="94">
        <v>17209382.361240115</v>
      </c>
      <c r="I83" s="95">
        <v>975348</v>
      </c>
      <c r="J83" s="96">
        <f>VLOOKUP(B83,'Gennemførte investeringer'!B:AE,30,0)</f>
        <v>5709763.3835070506</v>
      </c>
      <c r="K83" s="97">
        <f t="shared" si="5"/>
        <v>23894493.744747166</v>
      </c>
      <c r="L83" s="88">
        <f t="shared" si="6"/>
        <v>35568630.744747162</v>
      </c>
      <c r="M83" s="18">
        <v>0</v>
      </c>
      <c r="N83" s="90">
        <v>0</v>
      </c>
      <c r="O83" s="98">
        <v>0</v>
      </c>
      <c r="P83" s="88">
        <f t="shared" si="7"/>
        <v>11674137</v>
      </c>
      <c r="Q83" s="88">
        <f t="shared" si="8"/>
        <v>23894493.744747166</v>
      </c>
      <c r="R83" s="88">
        <f t="shared" si="9"/>
        <v>35568630.744747162</v>
      </c>
      <c r="S83" s="58">
        <v>0</v>
      </c>
    </row>
    <row r="84" spans="1:19" ht="16.5" customHeight="1" x14ac:dyDescent="0.25">
      <c r="A84" s="49" t="s">
        <v>181</v>
      </c>
      <c r="B84" s="49" t="s">
        <v>182</v>
      </c>
      <c r="C84" s="99">
        <v>31.979807875467401</v>
      </c>
      <c r="D84" s="100">
        <f>VLOOKUP(B84,'Costdrivere 2022'!B:M,12,0)</f>
        <v>0</v>
      </c>
      <c r="E84" s="101">
        <f>SUM(VLOOKUP($B84,'Costdrivere 2022'!$B$4:$L$105,2,FALSE),VLOOKUP($B84,'Costdrivere 2022'!$B$4:$L$105,3,FALSE),VLOOKUP($B84,'Costdrivere 2022'!$B$4:$L$105,4,FALSE),VLOOKUP($B84,'Costdrivere 2022'!$B$4:$L$105,5,FALSE),VLOOKUP($B84,'Costdrivere 2022'!$B$4:$L$105,6,FALSE),VLOOKUP($B84,'Costdrivere 2022'!$B$4:$L$105,7,FALSE),VLOOKUP($B84,'Costdrivere 2022'!$B$4:$L$105,8,FALSE),VLOOKUP($B84,'Costdrivere 2022'!$B$4:$L$105,9,FALSE),VLOOKUP($B84,'Costdrivere 2022'!$B$4:$L$105,10,FALSE),VLOOKUP($B84,'Costdrivere 2022'!$B$4:$L$105,11,FALSE))</f>
        <v>1871137.8855206582</v>
      </c>
      <c r="F84" s="100" t="e">
        <f>VLOOKUP(B84,'Costdrivere 2022'!B:AP,39,0)+VLOOKUP(B84,'Costdrivere 2022'!B:AP,40,0)+VLOOKUP(B84,'Costdrivere 2022'!B:AP,41,0)</f>
        <v>#N/A</v>
      </c>
      <c r="G84" s="93">
        <v>17986536</v>
      </c>
      <c r="H84" s="94">
        <v>28956712.321653645</v>
      </c>
      <c r="I84" s="95">
        <v>3183653</v>
      </c>
      <c r="J84" s="96">
        <f>VLOOKUP(B84,'Gennemførte investeringer'!B:AE,30,0)</f>
        <v>8707993.8037348185</v>
      </c>
      <c r="K84" s="97">
        <f t="shared" si="5"/>
        <v>40848359.125388466</v>
      </c>
      <c r="L84" s="88">
        <f t="shared" si="6"/>
        <v>58834895.125388466</v>
      </c>
      <c r="M84" s="18">
        <v>0</v>
      </c>
      <c r="N84" s="90">
        <v>0</v>
      </c>
      <c r="O84" s="98">
        <v>0</v>
      </c>
      <c r="P84" s="88">
        <f t="shared" si="7"/>
        <v>17986536</v>
      </c>
      <c r="Q84" s="88">
        <f t="shared" si="8"/>
        <v>40848359.125388466</v>
      </c>
      <c r="R84" s="88">
        <f t="shared" si="9"/>
        <v>58834895.125388466</v>
      </c>
      <c r="S84" s="58">
        <v>0</v>
      </c>
    </row>
    <row r="85" spans="1:19" ht="16.5" customHeight="1" x14ac:dyDescent="0.25">
      <c r="A85" s="49" t="s">
        <v>183</v>
      </c>
      <c r="B85" s="49" t="s">
        <v>184</v>
      </c>
      <c r="C85" s="92">
        <v>30.190207954260195</v>
      </c>
      <c r="D85" s="93">
        <f>VLOOKUP(B85,'Costdrivere 2022'!B:M,12,0)</f>
        <v>1.9731918078519428E-2</v>
      </c>
      <c r="E85" s="94">
        <f>SUM(VLOOKUP($B85,'Costdrivere 2022'!$B$4:$L$105,2,FALSE),VLOOKUP($B85,'Costdrivere 2022'!$B$4:$L$105,3,FALSE),VLOOKUP($B85,'Costdrivere 2022'!$B$4:$L$105,4,FALSE),VLOOKUP($B85,'Costdrivere 2022'!$B$4:$L$105,5,FALSE),VLOOKUP($B85,'Costdrivere 2022'!$B$4:$L$105,6,FALSE),VLOOKUP($B85,'Costdrivere 2022'!$B$4:$L$105,7,FALSE),VLOOKUP($B85,'Costdrivere 2022'!$B$4:$L$105,8,FALSE),VLOOKUP($B85,'Costdrivere 2022'!$B$4:$L$105,9,FALSE),VLOOKUP($B85,'Costdrivere 2022'!$B$4:$L$105,10,FALSE),VLOOKUP($B85,'Costdrivere 2022'!$B$4:$L$105,11,FALSE))</f>
        <v>16859123.325481687</v>
      </c>
      <c r="F85" s="93">
        <f>VLOOKUP(B85,'Costdrivere 2022'!B:AP,39,0)+VLOOKUP(B85,'Costdrivere 2022'!B:AP,40,0)+VLOOKUP(B85,'Costdrivere 2022'!B:AP,41,0)</f>
        <v>48675359.571472093</v>
      </c>
      <c r="G85" s="93">
        <v>13998027</v>
      </c>
      <c r="H85" s="94">
        <v>30724144.955907974</v>
      </c>
      <c r="I85" s="95">
        <v>1128337</v>
      </c>
      <c r="J85" s="96">
        <f>VLOOKUP(B85,'Gennemførte investeringer'!B:AE,30,0)</f>
        <v>9750823.1159449778</v>
      </c>
      <c r="K85" s="97">
        <f t="shared" si="5"/>
        <v>41603305.071852952</v>
      </c>
      <c r="L85" s="88">
        <f t="shared" si="6"/>
        <v>55601332.071852952</v>
      </c>
      <c r="M85" s="18">
        <v>0</v>
      </c>
      <c r="N85" s="90">
        <v>0</v>
      </c>
      <c r="O85" s="98">
        <v>0</v>
      </c>
      <c r="P85" s="88">
        <f t="shared" si="7"/>
        <v>13998027</v>
      </c>
      <c r="Q85" s="88">
        <f t="shared" si="8"/>
        <v>41603305.071852952</v>
      </c>
      <c r="R85" s="88">
        <f t="shared" si="9"/>
        <v>55601332.071852952</v>
      </c>
      <c r="S85" s="58">
        <v>0</v>
      </c>
    </row>
    <row r="86" spans="1:19" ht="16.5" customHeight="1" x14ac:dyDescent="0.25">
      <c r="A86" s="49" t="s">
        <v>185</v>
      </c>
      <c r="B86" s="49" t="s">
        <v>186</v>
      </c>
      <c r="C86" s="92">
        <v>39.180549608498787</v>
      </c>
      <c r="D86" s="93">
        <f>VLOOKUP(B86,'Costdrivere 2022'!B:M,12,0)</f>
        <v>3.0332517633510872E-2</v>
      </c>
      <c r="E86" s="94">
        <f>SUM(VLOOKUP($B86,'Costdrivere 2022'!$B$4:$L$105,2,FALSE),VLOOKUP($B86,'Costdrivere 2022'!$B$4:$L$105,3,FALSE),VLOOKUP($B86,'Costdrivere 2022'!$B$4:$L$105,4,FALSE),VLOOKUP($B86,'Costdrivere 2022'!$B$4:$L$105,5,FALSE),VLOOKUP($B86,'Costdrivere 2022'!$B$4:$L$105,6,FALSE),VLOOKUP($B86,'Costdrivere 2022'!$B$4:$L$105,7,FALSE),VLOOKUP($B86,'Costdrivere 2022'!$B$4:$L$105,8,FALSE),VLOOKUP($B86,'Costdrivere 2022'!$B$4:$L$105,9,FALSE),VLOOKUP($B86,'Costdrivere 2022'!$B$4:$L$105,10,FALSE),VLOOKUP($B86,'Costdrivere 2022'!$B$4:$L$105,11,FALSE))</f>
        <v>14330238.910056632</v>
      </c>
      <c r="F86" s="93">
        <f>VLOOKUP(B86,'Costdrivere 2022'!B:AP,39,0)+VLOOKUP(B86,'Costdrivere 2022'!B:AP,40,0)+VLOOKUP(B86,'Costdrivere 2022'!B:AP,41,0)</f>
        <v>38737765.285110429</v>
      </c>
      <c r="G86" s="93">
        <v>15259887</v>
      </c>
      <c r="H86" s="94">
        <v>20290691.407380827</v>
      </c>
      <c r="I86" s="95">
        <v>713183</v>
      </c>
      <c r="J86" s="96">
        <f>VLOOKUP(B86,'Gennemførte investeringer'!B:AE,30,0)</f>
        <v>4346606.930636866</v>
      </c>
      <c r="K86" s="97">
        <f t="shared" si="5"/>
        <v>25350481.338017695</v>
      </c>
      <c r="L86" s="88">
        <f t="shared" si="6"/>
        <v>40610368.338017695</v>
      </c>
      <c r="M86" s="18">
        <v>0</v>
      </c>
      <c r="N86" s="90">
        <v>0</v>
      </c>
      <c r="O86" s="98">
        <v>0</v>
      </c>
      <c r="P86" s="88">
        <f t="shared" si="7"/>
        <v>15259887</v>
      </c>
      <c r="Q86" s="88">
        <f t="shared" si="8"/>
        <v>25350481.338017695</v>
      </c>
      <c r="R86" s="88">
        <f t="shared" si="9"/>
        <v>40610368.338017695</v>
      </c>
      <c r="S86" s="58">
        <v>0</v>
      </c>
    </row>
    <row r="87" spans="1:19" ht="16.5" customHeight="1" x14ac:dyDescent="0.25">
      <c r="A87" s="49" t="s">
        <v>187</v>
      </c>
      <c r="B87" s="49" t="s">
        <v>188</v>
      </c>
      <c r="C87" s="92">
        <v>32.047455689234674</v>
      </c>
      <c r="D87" s="93">
        <f>VLOOKUP(B87,'Costdrivere 2022'!B:M,12,0)</f>
        <v>3.5237733351310939E-2</v>
      </c>
      <c r="E87" s="94">
        <f>SUM(VLOOKUP($B87,'Costdrivere 2022'!$B$4:$L$105,2,FALSE),VLOOKUP($B87,'Costdrivere 2022'!$B$4:$L$105,3,FALSE),VLOOKUP($B87,'Costdrivere 2022'!$B$4:$L$105,4,FALSE),VLOOKUP($B87,'Costdrivere 2022'!$B$4:$L$105,5,FALSE),VLOOKUP($B87,'Costdrivere 2022'!$B$4:$L$105,6,FALSE),VLOOKUP($B87,'Costdrivere 2022'!$B$4:$L$105,7,FALSE),VLOOKUP($B87,'Costdrivere 2022'!$B$4:$L$105,8,FALSE),VLOOKUP($B87,'Costdrivere 2022'!$B$4:$L$105,9,FALSE),VLOOKUP($B87,'Costdrivere 2022'!$B$4:$L$105,10,FALSE),VLOOKUP($B87,'Costdrivere 2022'!$B$4:$L$105,11,FALSE))</f>
        <v>34928235.391289704</v>
      </c>
      <c r="F87" s="93">
        <f>VLOOKUP(B87,'Costdrivere 2022'!B:AP,39,0)+VLOOKUP(B87,'Costdrivere 2022'!B:AP,40,0)+VLOOKUP(B87,'Costdrivere 2022'!B:AP,41,0)</f>
        <v>108870563.32358144</v>
      </c>
      <c r="G87" s="93">
        <v>38784775</v>
      </c>
      <c r="H87" s="94">
        <v>58800848.777817838</v>
      </c>
      <c r="I87" s="95">
        <v>8931000</v>
      </c>
      <c r="J87" s="96">
        <f>VLOOKUP(B87,'Gennemførte investeringer'!B:AE,30,0)</f>
        <v>16006180.979951689</v>
      </c>
      <c r="K87" s="97">
        <f t="shared" si="5"/>
        <v>83738029.75776954</v>
      </c>
      <c r="L87" s="88">
        <f t="shared" si="6"/>
        <v>122522804.75776954</v>
      </c>
      <c r="M87" s="18">
        <v>0</v>
      </c>
      <c r="N87" s="90">
        <v>0</v>
      </c>
      <c r="O87" s="98">
        <v>0</v>
      </c>
      <c r="P87" s="88">
        <f t="shared" si="7"/>
        <v>38784775</v>
      </c>
      <c r="Q87" s="88">
        <f t="shared" si="8"/>
        <v>83738029.75776954</v>
      </c>
      <c r="R87" s="88">
        <f t="shared" si="9"/>
        <v>122522804.75776954</v>
      </c>
      <c r="S87" s="58">
        <v>0</v>
      </c>
    </row>
    <row r="88" spans="1:19" ht="16.5" customHeight="1" x14ac:dyDescent="0.25">
      <c r="A88" s="49" t="s">
        <v>189</v>
      </c>
      <c r="B88" s="49" t="s">
        <v>190</v>
      </c>
      <c r="C88" s="92">
        <v>28.720909719602943</v>
      </c>
      <c r="D88" s="93">
        <f>VLOOKUP(B88,'Costdrivere 2022'!B:M,12,0)</f>
        <v>2.6135782376191585E-2</v>
      </c>
      <c r="E88" s="94">
        <f>SUM(VLOOKUP($B88,'Costdrivere 2022'!$B$4:$L$105,2,FALSE),VLOOKUP($B88,'Costdrivere 2022'!$B$4:$L$105,3,FALSE),VLOOKUP($B88,'Costdrivere 2022'!$B$4:$L$105,4,FALSE),VLOOKUP($B88,'Costdrivere 2022'!$B$4:$L$105,5,FALSE),VLOOKUP($B88,'Costdrivere 2022'!$B$4:$L$105,6,FALSE),VLOOKUP($B88,'Costdrivere 2022'!$B$4:$L$105,7,FALSE),VLOOKUP($B88,'Costdrivere 2022'!$B$4:$L$105,8,FALSE),VLOOKUP($B88,'Costdrivere 2022'!$B$4:$L$105,9,FALSE),VLOOKUP($B88,'Costdrivere 2022'!$B$4:$L$105,10,FALSE),VLOOKUP($B88,'Costdrivere 2022'!$B$4:$L$105,11,FALSE))</f>
        <v>25033208.638052374</v>
      </c>
      <c r="F88" s="93">
        <f>VLOOKUP(B88,'Costdrivere 2022'!B:AP,39,0)+VLOOKUP(B88,'Costdrivere 2022'!B:AP,40,0)+VLOOKUP(B88,'Costdrivere 2022'!B:AP,41,0)</f>
        <v>81323758.052339002</v>
      </c>
      <c r="G88" s="93">
        <v>25556752.089999992</v>
      </c>
      <c r="H88" s="94">
        <v>39394485.601439305</v>
      </c>
      <c r="I88" s="95">
        <v>1791446.13</v>
      </c>
      <c r="J88" s="96">
        <f>VLOOKUP(B88,'Gennemførte investeringer'!B:AE,30,0)</f>
        <v>14233235.322768642</v>
      </c>
      <c r="K88" s="97">
        <f t="shared" si="5"/>
        <v>55419167.054207951</v>
      </c>
      <c r="L88" s="88">
        <f t="shared" si="6"/>
        <v>80975919.14420794</v>
      </c>
      <c r="M88" s="18">
        <v>0</v>
      </c>
      <c r="N88" s="90">
        <v>0</v>
      </c>
      <c r="O88" s="98">
        <v>0</v>
      </c>
      <c r="P88" s="88">
        <f t="shared" si="7"/>
        <v>25556752.089999992</v>
      </c>
      <c r="Q88" s="88">
        <f t="shared" si="8"/>
        <v>55419167.054207951</v>
      </c>
      <c r="R88" s="88">
        <f t="shared" si="9"/>
        <v>80975919.14420794</v>
      </c>
      <c r="S88" s="58">
        <v>0</v>
      </c>
    </row>
    <row r="89" spans="1:19" ht="16.5" customHeight="1" x14ac:dyDescent="0.25">
      <c r="A89" s="49" t="s">
        <v>191</v>
      </c>
      <c r="B89" s="49" t="s">
        <v>192</v>
      </c>
      <c r="C89" s="92">
        <v>33.479201802573492</v>
      </c>
      <c r="D89" s="93">
        <f>VLOOKUP(B89,'Costdrivere 2022'!B:M,12,0)</f>
        <v>3.0377693242120068E-2</v>
      </c>
      <c r="E89" s="94">
        <f>SUM(VLOOKUP($B89,'Costdrivere 2022'!$B$4:$L$105,2,FALSE),VLOOKUP($B89,'Costdrivere 2022'!$B$4:$L$105,3,FALSE),VLOOKUP($B89,'Costdrivere 2022'!$B$4:$L$105,4,FALSE),VLOOKUP($B89,'Costdrivere 2022'!$B$4:$L$105,5,FALSE),VLOOKUP($B89,'Costdrivere 2022'!$B$4:$L$105,6,FALSE),VLOOKUP($B89,'Costdrivere 2022'!$B$4:$L$105,7,FALSE),VLOOKUP($B89,'Costdrivere 2022'!$B$4:$L$105,8,FALSE),VLOOKUP($B89,'Costdrivere 2022'!$B$4:$L$105,9,FALSE),VLOOKUP($B89,'Costdrivere 2022'!$B$4:$L$105,10,FALSE),VLOOKUP($B89,'Costdrivere 2022'!$B$4:$L$105,11,FALSE))</f>
        <v>55620524.9080147</v>
      </c>
      <c r="F89" s="93">
        <f>VLOOKUP(B89,'Costdrivere 2022'!B:AP,39,0)+VLOOKUP(B89,'Costdrivere 2022'!B:AP,40,0)+VLOOKUP(B89,'Costdrivere 2022'!B:AP,41,0)</f>
        <v>142867808.2278266</v>
      </c>
      <c r="G89" s="93">
        <v>52609791.350000001</v>
      </c>
      <c r="H89" s="94">
        <v>86190121.077200204</v>
      </c>
      <c r="I89" s="95">
        <v>4191000</v>
      </c>
      <c r="J89" s="96">
        <f>VLOOKUP(B89,'Gennemførte investeringer'!B:AE,30,0)</f>
        <v>27580842.694588553</v>
      </c>
      <c r="K89" s="97">
        <f t="shared" si="5"/>
        <v>117961963.77178876</v>
      </c>
      <c r="L89" s="88">
        <f t="shared" si="6"/>
        <v>170571755.12178877</v>
      </c>
      <c r="M89" s="18">
        <v>0</v>
      </c>
      <c r="N89" s="90">
        <v>0</v>
      </c>
      <c r="O89" s="98">
        <v>0</v>
      </c>
      <c r="P89" s="88">
        <f t="shared" si="7"/>
        <v>52609791.350000001</v>
      </c>
      <c r="Q89" s="88">
        <f t="shared" si="8"/>
        <v>117961963.77178876</v>
      </c>
      <c r="R89" s="88">
        <f t="shared" si="9"/>
        <v>170571755.12178877</v>
      </c>
      <c r="S89" s="58">
        <v>0</v>
      </c>
    </row>
    <row r="90" spans="1:19" ht="16.5" customHeight="1" x14ac:dyDescent="0.25">
      <c r="A90" s="49" t="s">
        <v>193</v>
      </c>
      <c r="B90" s="49" t="s">
        <v>194</v>
      </c>
      <c r="C90" s="92">
        <v>22.93696852001505</v>
      </c>
      <c r="D90" s="93">
        <f>VLOOKUP(B90,'Costdrivere 2022'!B:M,12,0)</f>
        <v>0</v>
      </c>
      <c r="E90" s="94">
        <f>SUM(VLOOKUP($B90,'Costdrivere 2022'!$B$4:$L$105,2,FALSE),VLOOKUP($B90,'Costdrivere 2022'!$B$4:$L$105,3,FALSE),VLOOKUP($B90,'Costdrivere 2022'!$B$4:$L$105,4,FALSE),VLOOKUP($B90,'Costdrivere 2022'!$B$4:$L$105,5,FALSE),VLOOKUP($B90,'Costdrivere 2022'!$B$4:$L$105,6,FALSE),VLOOKUP($B90,'Costdrivere 2022'!$B$4:$L$105,7,FALSE),VLOOKUP($B90,'Costdrivere 2022'!$B$4:$L$105,8,FALSE),VLOOKUP($B90,'Costdrivere 2022'!$B$4:$L$105,9,FALSE),VLOOKUP($B90,'Costdrivere 2022'!$B$4:$L$105,10,FALSE),VLOOKUP($B90,'Costdrivere 2022'!$B$4:$L$105,11,FALSE))</f>
        <v>26700228.688838731</v>
      </c>
      <c r="F90" s="93">
        <f>VLOOKUP(B90,'Costdrivere 2022'!B:AP,39,0)+VLOOKUP(B90,'Costdrivere 2022'!B:AP,40,0)+VLOOKUP(B90,'Costdrivere 2022'!B:AP,41,0)</f>
        <v>29312496.314856905</v>
      </c>
      <c r="G90" s="93">
        <v>22084394</v>
      </c>
      <c r="H90" s="94">
        <v>8718506.2259247843</v>
      </c>
      <c r="I90" s="95">
        <v>1157068</v>
      </c>
      <c r="J90" s="96">
        <f>VLOOKUP(B90,'Gennemførte investeringer'!B:AE,30,0)</f>
        <v>5113568.1815847745</v>
      </c>
      <c r="K90" s="97">
        <f t="shared" si="5"/>
        <v>14989142.407509558</v>
      </c>
      <c r="L90" s="88">
        <f t="shared" si="6"/>
        <v>37073536.407509558</v>
      </c>
      <c r="M90" s="18">
        <v>396967.51146647567</v>
      </c>
      <c r="N90" s="90">
        <v>0</v>
      </c>
      <c r="O90" s="98">
        <v>0</v>
      </c>
      <c r="P90" s="88">
        <f t="shared" si="7"/>
        <v>22084394</v>
      </c>
      <c r="Q90" s="88">
        <f t="shared" si="8"/>
        <v>14592174.896043083</v>
      </c>
      <c r="R90" s="88">
        <f t="shared" si="9"/>
        <v>36676568.896043085</v>
      </c>
      <c r="S90" s="58">
        <v>0</v>
      </c>
    </row>
    <row r="91" spans="1:19" ht="16.5" customHeight="1" x14ac:dyDescent="0.25">
      <c r="A91" s="49" t="s">
        <v>195</v>
      </c>
      <c r="B91" s="49" t="s">
        <v>196</v>
      </c>
      <c r="C91" s="92">
        <v>35.884838519678489</v>
      </c>
      <c r="D91" s="93">
        <f>VLOOKUP(B91,'Costdrivere 2022'!B:M,12,0)</f>
        <v>2.6776581172951987E-2</v>
      </c>
      <c r="E91" s="94">
        <f>SUM(VLOOKUP($B91,'Costdrivere 2022'!$B$4:$L$105,2,FALSE),VLOOKUP($B91,'Costdrivere 2022'!$B$4:$L$105,3,FALSE),VLOOKUP($B91,'Costdrivere 2022'!$B$4:$L$105,4,FALSE),VLOOKUP($B91,'Costdrivere 2022'!$B$4:$L$105,5,FALSE),VLOOKUP($B91,'Costdrivere 2022'!$B$4:$L$105,6,FALSE),VLOOKUP($B91,'Costdrivere 2022'!$B$4:$L$105,7,FALSE),VLOOKUP($B91,'Costdrivere 2022'!$B$4:$L$105,8,FALSE),VLOOKUP($B91,'Costdrivere 2022'!$B$4:$L$105,9,FALSE),VLOOKUP($B91,'Costdrivere 2022'!$B$4:$L$105,10,FALSE),VLOOKUP($B91,'Costdrivere 2022'!$B$4:$L$105,11,FALSE))</f>
        <v>13688026.440723155</v>
      </c>
      <c r="F91" s="93">
        <f>VLOOKUP(B91,'Costdrivere 2022'!B:AP,39,0)+VLOOKUP(B91,'Costdrivere 2022'!B:AP,40,0)+VLOOKUP(B91,'Costdrivere 2022'!B:AP,41,0)</f>
        <v>96608727.889999986</v>
      </c>
      <c r="G91" s="93">
        <v>16710436</v>
      </c>
      <c r="H91" s="94">
        <v>42282175.463979192</v>
      </c>
      <c r="I91" s="95">
        <v>3955371</v>
      </c>
      <c r="J91" s="96">
        <f>VLOOKUP(B91,'Gennemførte investeringer'!B:AE,30,0)</f>
        <v>7765554.8371690167</v>
      </c>
      <c r="K91" s="97">
        <f t="shared" si="5"/>
        <v>54003101.301148206</v>
      </c>
      <c r="L91" s="88">
        <f t="shared" si="6"/>
        <v>70713537.301148206</v>
      </c>
      <c r="M91" s="18">
        <v>0</v>
      </c>
      <c r="N91" s="90">
        <v>0</v>
      </c>
      <c r="O91" s="98">
        <v>0</v>
      </c>
      <c r="P91" s="88">
        <f t="shared" si="7"/>
        <v>16710436</v>
      </c>
      <c r="Q91" s="88">
        <f t="shared" si="8"/>
        <v>54003101.301148206</v>
      </c>
      <c r="R91" s="88">
        <f t="shared" si="9"/>
        <v>70713537.301148206</v>
      </c>
      <c r="S91" s="58">
        <v>0</v>
      </c>
    </row>
    <row r="92" spans="1:19" ht="16.5" customHeight="1" x14ac:dyDescent="0.25">
      <c r="A92" s="49" t="s">
        <v>197</v>
      </c>
      <c r="B92" s="49" t="s">
        <v>198</v>
      </c>
      <c r="C92" s="92">
        <v>36.534773534177504</v>
      </c>
      <c r="D92" s="93">
        <f>VLOOKUP(B92,'Costdrivere 2022'!B:M,12,0)</f>
        <v>2.8614084507042253E-2</v>
      </c>
      <c r="E92" s="94">
        <f>SUM(VLOOKUP($B92,'Costdrivere 2022'!$B$4:$L$105,2,FALSE),VLOOKUP($B92,'Costdrivere 2022'!$B$4:$L$105,3,FALSE),VLOOKUP($B92,'Costdrivere 2022'!$B$4:$L$105,4,FALSE),VLOOKUP($B92,'Costdrivere 2022'!$B$4:$L$105,5,FALSE),VLOOKUP($B92,'Costdrivere 2022'!$B$4:$L$105,6,FALSE),VLOOKUP($B92,'Costdrivere 2022'!$B$4:$L$105,7,FALSE),VLOOKUP($B92,'Costdrivere 2022'!$B$4:$L$105,8,FALSE),VLOOKUP($B92,'Costdrivere 2022'!$B$4:$L$105,9,FALSE),VLOOKUP($B92,'Costdrivere 2022'!$B$4:$L$105,10,FALSE),VLOOKUP($B92,'Costdrivere 2022'!$B$4:$L$105,11,FALSE))</f>
        <v>29068287.898949042</v>
      </c>
      <c r="F92" s="93">
        <f>VLOOKUP(B92,'Costdrivere 2022'!B:AP,39,0)+VLOOKUP(B92,'Costdrivere 2022'!B:AP,40,0)+VLOOKUP(B92,'Costdrivere 2022'!B:AP,41,0)</f>
        <v>117430223.7403831</v>
      </c>
      <c r="G92" s="93">
        <v>37444520</v>
      </c>
      <c r="H92" s="94">
        <v>43700216.381578021</v>
      </c>
      <c r="I92" s="95">
        <v>4150447</v>
      </c>
      <c r="J92" s="96">
        <f>VLOOKUP(B92,'Gennemførte investeringer'!B:AE,30,0)</f>
        <v>8765990.4753545076</v>
      </c>
      <c r="K92" s="97">
        <f t="shared" si="5"/>
        <v>56616653.856932528</v>
      </c>
      <c r="L92" s="88">
        <f t="shared" si="6"/>
        <v>94061173.856932521</v>
      </c>
      <c r="M92" s="18">
        <v>14930.115645660488</v>
      </c>
      <c r="N92" s="90">
        <v>0</v>
      </c>
      <c r="O92" s="98">
        <v>0</v>
      </c>
      <c r="P92" s="88">
        <f t="shared" si="7"/>
        <v>37444520</v>
      </c>
      <c r="Q92" s="88">
        <f t="shared" si="8"/>
        <v>56601723.741286866</v>
      </c>
      <c r="R92" s="88">
        <f t="shared" si="9"/>
        <v>94046243.741286874</v>
      </c>
      <c r="S92" s="58">
        <v>0</v>
      </c>
    </row>
    <row r="93" spans="1:19" ht="16.5" customHeight="1" x14ac:dyDescent="0.25">
      <c r="A93" s="49" t="s">
        <v>199</v>
      </c>
      <c r="B93" s="49" t="s">
        <v>200</v>
      </c>
      <c r="C93" s="92">
        <v>36.160318936489404</v>
      </c>
      <c r="D93" s="93">
        <f>VLOOKUP(B93,'Costdrivere 2022'!B:M,12,0)</f>
        <v>5.632549019607843E-2</v>
      </c>
      <c r="E93" s="94">
        <f>SUM(VLOOKUP($B93,'Costdrivere 2022'!$B$4:$L$105,2,FALSE),VLOOKUP($B93,'Costdrivere 2022'!$B$4:$L$105,3,FALSE),VLOOKUP($B93,'Costdrivere 2022'!$B$4:$L$105,4,FALSE),VLOOKUP($B93,'Costdrivere 2022'!$B$4:$L$105,5,FALSE),VLOOKUP($B93,'Costdrivere 2022'!$B$4:$L$105,6,FALSE),VLOOKUP($B93,'Costdrivere 2022'!$B$4:$L$105,7,FALSE),VLOOKUP($B93,'Costdrivere 2022'!$B$4:$L$105,8,FALSE),VLOOKUP($B93,'Costdrivere 2022'!$B$4:$L$105,9,FALSE),VLOOKUP($B93,'Costdrivere 2022'!$B$4:$L$105,10,FALSE),VLOOKUP($B93,'Costdrivere 2022'!$B$4:$L$105,11,FALSE))</f>
        <v>19750575.860731684</v>
      </c>
      <c r="F93" s="93">
        <f>VLOOKUP(B93,'Costdrivere 2022'!B:AP,39,0)+VLOOKUP(B93,'Costdrivere 2022'!B:AP,40,0)+VLOOKUP(B93,'Costdrivere 2022'!B:AP,41,0)</f>
        <v>48439709.231717914</v>
      </c>
      <c r="G93" s="93">
        <v>23356173</v>
      </c>
      <c r="H93" s="94">
        <v>17565058.952619169</v>
      </c>
      <c r="I93" s="95">
        <v>2407443</v>
      </c>
      <c r="J93" s="96">
        <f>VLOOKUP(B93,'Gennemførte investeringer'!B:AE,30,0)</f>
        <v>13044929.349777516</v>
      </c>
      <c r="K93" s="97">
        <f t="shared" si="5"/>
        <v>33017431.302396685</v>
      </c>
      <c r="L93" s="88">
        <f t="shared" si="6"/>
        <v>56373604.302396685</v>
      </c>
      <c r="M93" s="18">
        <v>0</v>
      </c>
      <c r="N93" s="90">
        <v>0</v>
      </c>
      <c r="O93" s="98">
        <v>0</v>
      </c>
      <c r="P93" s="88">
        <f t="shared" si="7"/>
        <v>23356173</v>
      </c>
      <c r="Q93" s="88">
        <f t="shared" si="8"/>
        <v>33017431.302396685</v>
      </c>
      <c r="R93" s="88">
        <f t="shared" si="9"/>
        <v>56373604.302396685</v>
      </c>
      <c r="S93" s="58">
        <v>0</v>
      </c>
    </row>
    <row r="94" spans="1:19" ht="16.5" customHeight="1" x14ac:dyDescent="0.25">
      <c r="A94" s="49" t="s">
        <v>201</v>
      </c>
      <c r="B94" s="49" t="s">
        <v>202</v>
      </c>
      <c r="C94" s="92">
        <v>34.17374659689829</v>
      </c>
      <c r="D94" s="93">
        <f>VLOOKUP(B94,'Costdrivere 2022'!B:M,12,0)</f>
        <v>6.6555045575020996E-2</v>
      </c>
      <c r="E94" s="94">
        <f>SUM(VLOOKUP($B94,'Costdrivere 2022'!$B$4:$L$105,2,FALSE),VLOOKUP($B94,'Costdrivere 2022'!$B$4:$L$105,3,FALSE),VLOOKUP($B94,'Costdrivere 2022'!$B$4:$L$105,4,FALSE),VLOOKUP($B94,'Costdrivere 2022'!$B$4:$L$105,5,FALSE),VLOOKUP($B94,'Costdrivere 2022'!$B$4:$L$105,6,FALSE),VLOOKUP($B94,'Costdrivere 2022'!$B$4:$L$105,7,FALSE),VLOOKUP($B94,'Costdrivere 2022'!$B$4:$L$105,8,FALSE),VLOOKUP($B94,'Costdrivere 2022'!$B$4:$L$105,9,FALSE),VLOOKUP($B94,'Costdrivere 2022'!$B$4:$L$105,10,FALSE),VLOOKUP($B94,'Costdrivere 2022'!$B$4:$L$105,11,FALSE))</f>
        <v>117364359.40131354</v>
      </c>
      <c r="F94" s="93">
        <f>VLOOKUP(B94,'Costdrivere 2022'!B:AP,39,0)+VLOOKUP(B94,'Costdrivere 2022'!B:AP,40,0)+VLOOKUP(B94,'Costdrivere 2022'!B:AP,41,0)</f>
        <v>336551182.10480005</v>
      </c>
      <c r="G94" s="93">
        <v>120595605.82000001</v>
      </c>
      <c r="H94" s="94">
        <v>164171201.28057364</v>
      </c>
      <c r="I94" s="95">
        <v>9221897</v>
      </c>
      <c r="J94" s="96">
        <f>VLOOKUP(B94,'Gennemførte investeringer'!B:AE,30,0)</f>
        <v>73501503.825102359</v>
      </c>
      <c r="K94" s="97">
        <f t="shared" si="5"/>
        <v>246894602.105676</v>
      </c>
      <c r="L94" s="88">
        <f t="shared" si="6"/>
        <v>367490207.92567599</v>
      </c>
      <c r="M94" s="18">
        <v>0</v>
      </c>
      <c r="N94" s="90">
        <v>0</v>
      </c>
      <c r="O94" s="98">
        <v>0</v>
      </c>
      <c r="P94" s="88">
        <f t="shared" si="7"/>
        <v>120595605.82000001</v>
      </c>
      <c r="Q94" s="88">
        <f t="shared" si="8"/>
        <v>246894602.105676</v>
      </c>
      <c r="R94" s="88">
        <f t="shared" si="9"/>
        <v>367490207.92567599</v>
      </c>
      <c r="S94" s="58">
        <v>0</v>
      </c>
    </row>
    <row r="95" spans="1:19" ht="16.5" customHeight="1" x14ac:dyDescent="0.25">
      <c r="A95" s="49" t="s">
        <v>203</v>
      </c>
      <c r="B95" s="49" t="s">
        <v>204</v>
      </c>
      <c r="C95" s="92">
        <v>19.273468896808801</v>
      </c>
      <c r="D95" s="93">
        <f>VLOOKUP(B95,'Costdrivere 2022'!B:M,12,0)</f>
        <v>0</v>
      </c>
      <c r="E95" s="94">
        <f>SUM(VLOOKUP($B95,'Costdrivere 2022'!$B$4:$L$105,2,FALSE),VLOOKUP($B95,'Costdrivere 2022'!$B$4:$L$105,3,FALSE),VLOOKUP($B95,'Costdrivere 2022'!$B$4:$L$105,4,FALSE),VLOOKUP($B95,'Costdrivere 2022'!$B$4:$L$105,5,FALSE),VLOOKUP($B95,'Costdrivere 2022'!$B$4:$L$105,6,FALSE),VLOOKUP($B95,'Costdrivere 2022'!$B$4:$L$105,7,FALSE),VLOOKUP($B95,'Costdrivere 2022'!$B$4:$L$105,8,FALSE),VLOOKUP($B95,'Costdrivere 2022'!$B$4:$L$105,9,FALSE),VLOOKUP($B95,'Costdrivere 2022'!$B$4:$L$105,10,FALSE),VLOOKUP($B95,'Costdrivere 2022'!$B$4:$L$105,11,FALSE))</f>
        <v>14396421.233432408</v>
      </c>
      <c r="F95" s="93">
        <f>VLOOKUP(B95,'Costdrivere 2022'!B:AP,39,0)+VLOOKUP(B95,'Costdrivere 2022'!B:AP,40,0)+VLOOKUP(B95,'Costdrivere 2022'!B:AP,41,0)</f>
        <v>12367752.183088962</v>
      </c>
      <c r="G95" s="93">
        <v>12349022</v>
      </c>
      <c r="H95" s="94">
        <v>4666990.1314122193</v>
      </c>
      <c r="I95" s="95">
        <v>583534</v>
      </c>
      <c r="J95" s="96">
        <f>VLOOKUP(B95,'Gennemførte investeringer'!B:AE,30,0)</f>
        <v>3793194.7430948634</v>
      </c>
      <c r="K95" s="97">
        <f t="shared" si="5"/>
        <v>9043718.8745070826</v>
      </c>
      <c r="L95" s="88">
        <f t="shared" si="6"/>
        <v>21392740.874507084</v>
      </c>
      <c r="M95" s="18">
        <v>0</v>
      </c>
      <c r="N95" s="90">
        <v>0</v>
      </c>
      <c r="O95" s="98">
        <v>0</v>
      </c>
      <c r="P95" s="88">
        <f t="shared" si="7"/>
        <v>12349022</v>
      </c>
      <c r="Q95" s="88">
        <f t="shared" si="8"/>
        <v>9043718.8745070826</v>
      </c>
      <c r="R95" s="88">
        <f t="shared" si="9"/>
        <v>21392740.874507084</v>
      </c>
      <c r="S95" s="58">
        <v>0</v>
      </c>
    </row>
    <row r="96" spans="1:19" ht="16.5" customHeight="1" x14ac:dyDescent="0.25">
      <c r="A96" s="49" t="s">
        <v>205</v>
      </c>
      <c r="B96" s="49" t="s">
        <v>206</v>
      </c>
      <c r="C96" s="92">
        <v>33.678153710298695</v>
      </c>
      <c r="D96" s="93">
        <f>VLOOKUP(B96,'Costdrivere 2022'!B:M,12,0)</f>
        <v>2.6536891308206616E-2</v>
      </c>
      <c r="E96" s="94">
        <f>SUM(VLOOKUP($B96,'Costdrivere 2022'!$B$4:$L$105,2,FALSE),VLOOKUP($B96,'Costdrivere 2022'!$B$4:$L$105,3,FALSE),VLOOKUP($B96,'Costdrivere 2022'!$B$4:$L$105,4,FALSE),VLOOKUP($B96,'Costdrivere 2022'!$B$4:$L$105,5,FALSE),VLOOKUP($B96,'Costdrivere 2022'!$B$4:$L$105,6,FALSE),VLOOKUP($B96,'Costdrivere 2022'!$B$4:$L$105,7,FALSE),VLOOKUP($B96,'Costdrivere 2022'!$B$4:$L$105,8,FALSE),VLOOKUP($B96,'Costdrivere 2022'!$B$4:$L$105,9,FALSE),VLOOKUP($B96,'Costdrivere 2022'!$B$4:$L$105,10,FALSE),VLOOKUP($B96,'Costdrivere 2022'!$B$4:$L$105,11,FALSE))</f>
        <v>10892559.617002558</v>
      </c>
      <c r="F96" s="93">
        <f>VLOOKUP(B96,'Costdrivere 2022'!B:AP,39,0)+VLOOKUP(B96,'Costdrivere 2022'!B:AP,40,0)+VLOOKUP(B96,'Costdrivere 2022'!B:AP,41,0)</f>
        <v>86339891.823910579</v>
      </c>
      <c r="G96" s="93">
        <v>13236417</v>
      </c>
      <c r="H96" s="94">
        <v>49260354.786361918</v>
      </c>
      <c r="I96" s="95">
        <v>955296</v>
      </c>
      <c r="J96" s="96">
        <f>VLOOKUP(B96,'Gennemførte investeringer'!B:AE,30,0)</f>
        <v>11439637.189428121</v>
      </c>
      <c r="K96" s="97">
        <f t="shared" si="5"/>
        <v>61655287.975790039</v>
      </c>
      <c r="L96" s="88">
        <f t="shared" si="6"/>
        <v>74891704.975790039</v>
      </c>
      <c r="M96" s="18">
        <v>0</v>
      </c>
      <c r="N96" s="90">
        <v>0</v>
      </c>
      <c r="O96" s="98">
        <v>0</v>
      </c>
      <c r="P96" s="88">
        <f t="shared" si="7"/>
        <v>13236417</v>
      </c>
      <c r="Q96" s="88">
        <f t="shared" si="8"/>
        <v>61655287.975790039</v>
      </c>
      <c r="R96" s="88">
        <f t="shared" si="9"/>
        <v>74891704.975790039</v>
      </c>
      <c r="S96" s="58">
        <v>0</v>
      </c>
    </row>
    <row r="97" spans="1:19" ht="16.5" customHeight="1" x14ac:dyDescent="0.25">
      <c r="A97" s="49" t="s">
        <v>207</v>
      </c>
      <c r="B97" s="49" t="s">
        <v>208</v>
      </c>
      <c r="C97" s="92">
        <v>34.810086378133633</v>
      </c>
      <c r="D97" s="93">
        <f>VLOOKUP(B97,'Costdrivere 2022'!B:M,12,0)</f>
        <v>3.5531056169759698E-2</v>
      </c>
      <c r="E97" s="94">
        <f>SUM(VLOOKUP($B97,'Costdrivere 2022'!$B$4:$L$105,2,FALSE),VLOOKUP($B97,'Costdrivere 2022'!$B$4:$L$105,3,FALSE),VLOOKUP($B97,'Costdrivere 2022'!$B$4:$L$105,4,FALSE),VLOOKUP($B97,'Costdrivere 2022'!$B$4:$L$105,5,FALSE),VLOOKUP($B97,'Costdrivere 2022'!$B$4:$L$105,6,FALSE),VLOOKUP($B97,'Costdrivere 2022'!$B$4:$L$105,7,FALSE),VLOOKUP($B97,'Costdrivere 2022'!$B$4:$L$105,8,FALSE),VLOOKUP($B97,'Costdrivere 2022'!$B$4:$L$105,9,FALSE),VLOOKUP($B97,'Costdrivere 2022'!$B$4:$L$105,10,FALSE),VLOOKUP($B97,'Costdrivere 2022'!$B$4:$L$105,11,FALSE))</f>
        <v>62176683.199740186</v>
      </c>
      <c r="F97" s="93">
        <f>VLOOKUP(B97,'Costdrivere 2022'!B:AP,39,0)+VLOOKUP(B97,'Costdrivere 2022'!B:AP,40,0)+VLOOKUP(B97,'Costdrivere 2022'!B:AP,41,0)</f>
        <v>243868475.50720838</v>
      </c>
      <c r="G97" s="93">
        <v>64573806</v>
      </c>
      <c r="H97" s="94">
        <v>105500995.80690508</v>
      </c>
      <c r="I97" s="95">
        <v>9750202</v>
      </c>
      <c r="J97" s="96">
        <f>VLOOKUP(B97,'Gennemførte investeringer'!B:AE,30,0)</f>
        <v>32998417.588462103</v>
      </c>
      <c r="K97" s="97">
        <f t="shared" si="5"/>
        <v>148249615.39536718</v>
      </c>
      <c r="L97" s="88">
        <f t="shared" si="6"/>
        <v>212823421.39536718</v>
      </c>
      <c r="M97" s="18">
        <v>148771.02666666664</v>
      </c>
      <c r="N97" s="90">
        <v>0</v>
      </c>
      <c r="O97" s="98">
        <v>0</v>
      </c>
      <c r="P97" s="88">
        <f t="shared" si="7"/>
        <v>64573806</v>
      </c>
      <c r="Q97" s="88">
        <f t="shared" si="8"/>
        <v>148100844.3687005</v>
      </c>
      <c r="R97" s="88">
        <f t="shared" si="9"/>
        <v>212674650.3687005</v>
      </c>
      <c r="S97" s="58">
        <v>0</v>
      </c>
    </row>
    <row r="98" spans="1:19" ht="16.5" customHeight="1" x14ac:dyDescent="0.25">
      <c r="A98" s="49" t="s">
        <v>209</v>
      </c>
      <c r="B98" s="49" t="s">
        <v>210</v>
      </c>
      <c r="C98" s="92">
        <v>35.419388447620577</v>
      </c>
      <c r="D98" s="93">
        <f>VLOOKUP(B98,'Costdrivere 2022'!B:M,12,0)</f>
        <v>2.4247632450140146E-2</v>
      </c>
      <c r="E98" s="94">
        <f>SUM(VLOOKUP($B98,'Costdrivere 2022'!$B$4:$L$105,2,FALSE),VLOOKUP($B98,'Costdrivere 2022'!$B$4:$L$105,3,FALSE),VLOOKUP($B98,'Costdrivere 2022'!$B$4:$L$105,4,FALSE),VLOOKUP($B98,'Costdrivere 2022'!$B$4:$L$105,5,FALSE),VLOOKUP($B98,'Costdrivere 2022'!$B$4:$L$105,6,FALSE),VLOOKUP($B98,'Costdrivere 2022'!$B$4:$L$105,7,FALSE),VLOOKUP($B98,'Costdrivere 2022'!$B$4:$L$105,8,FALSE),VLOOKUP($B98,'Costdrivere 2022'!$B$4:$L$105,9,FALSE),VLOOKUP($B98,'Costdrivere 2022'!$B$4:$L$105,10,FALSE),VLOOKUP($B98,'Costdrivere 2022'!$B$4:$L$105,11,FALSE))</f>
        <v>48719422.502293929</v>
      </c>
      <c r="F98" s="93">
        <f>VLOOKUP(B98,'Costdrivere 2022'!B:AP,39,0)+VLOOKUP(B98,'Costdrivere 2022'!B:AP,40,0)+VLOOKUP(B98,'Costdrivere 2022'!B:AP,41,0)</f>
        <v>148426522.34641185</v>
      </c>
      <c r="G98" s="93">
        <v>53514551.770000003</v>
      </c>
      <c r="H98" s="94">
        <v>63570752.352465831</v>
      </c>
      <c r="I98" s="95">
        <v>498406.95</v>
      </c>
      <c r="J98" s="96">
        <f>VLOOKUP(B98,'Gennemførte investeringer'!B:AE,30,0)</f>
        <v>18234293.151509531</v>
      </c>
      <c r="K98" s="97">
        <f t="shared" si="5"/>
        <v>82303452.453975365</v>
      </c>
      <c r="L98" s="88">
        <f t="shared" si="6"/>
        <v>135818004.22397536</v>
      </c>
      <c r="M98" s="18">
        <v>0</v>
      </c>
      <c r="N98" s="90">
        <v>0</v>
      </c>
      <c r="O98" s="98">
        <v>0</v>
      </c>
      <c r="P98" s="88">
        <f t="shared" si="7"/>
        <v>53514551.770000003</v>
      </c>
      <c r="Q98" s="88">
        <f t="shared" si="8"/>
        <v>82303452.453975365</v>
      </c>
      <c r="R98" s="88">
        <f t="shared" si="9"/>
        <v>135818004.22397536</v>
      </c>
      <c r="S98" s="58">
        <v>0</v>
      </c>
    </row>
    <row r="99" spans="1:19" ht="16.5" customHeight="1" x14ac:dyDescent="0.25">
      <c r="A99" s="49" t="s">
        <v>211</v>
      </c>
      <c r="B99" s="49" t="s">
        <v>212</v>
      </c>
      <c r="C99" s="92">
        <v>35.526493399235733</v>
      </c>
      <c r="D99" s="93">
        <f>VLOOKUP(B99,'Costdrivere 2022'!B:M,12,0)</f>
        <v>3.340699989028386E-2</v>
      </c>
      <c r="E99" s="94">
        <f>SUM(VLOOKUP($B99,'Costdrivere 2022'!$B$4:$L$105,2,FALSE),VLOOKUP($B99,'Costdrivere 2022'!$B$4:$L$105,3,FALSE),VLOOKUP($B99,'Costdrivere 2022'!$B$4:$L$105,4,FALSE),VLOOKUP($B99,'Costdrivere 2022'!$B$4:$L$105,5,FALSE),VLOOKUP($B99,'Costdrivere 2022'!$B$4:$L$105,6,FALSE),VLOOKUP($B99,'Costdrivere 2022'!$B$4:$L$105,7,FALSE),VLOOKUP($B99,'Costdrivere 2022'!$B$4:$L$105,8,FALSE),VLOOKUP($B99,'Costdrivere 2022'!$B$4:$L$105,9,FALSE),VLOOKUP($B99,'Costdrivere 2022'!$B$4:$L$105,10,FALSE),VLOOKUP($B99,'Costdrivere 2022'!$B$4:$L$105,11,FALSE))</f>
        <v>31216766.258899491</v>
      </c>
      <c r="F99" s="93">
        <f>VLOOKUP(B99,'Costdrivere 2022'!B:AP,39,0)+VLOOKUP(B99,'Costdrivere 2022'!B:AP,40,0)+VLOOKUP(B99,'Costdrivere 2022'!B:AP,41,0)</f>
        <v>103132015.44212683</v>
      </c>
      <c r="G99" s="93">
        <v>29278061</v>
      </c>
      <c r="H99" s="94">
        <v>47298914.887660116</v>
      </c>
      <c r="I99" s="95">
        <v>933668</v>
      </c>
      <c r="J99" s="96">
        <f>VLOOKUP(B99,'Gennemførte investeringer'!B:AE,30,0)</f>
        <v>13023875.887732092</v>
      </c>
      <c r="K99" s="97">
        <f t="shared" si="5"/>
        <v>61256458.775392205</v>
      </c>
      <c r="L99" s="88">
        <f t="shared" si="6"/>
        <v>90534519.775392205</v>
      </c>
      <c r="M99" s="18">
        <v>0</v>
      </c>
      <c r="N99" s="90">
        <v>0</v>
      </c>
      <c r="O99" s="98">
        <v>0</v>
      </c>
      <c r="P99" s="88">
        <f t="shared" si="7"/>
        <v>29278061</v>
      </c>
      <c r="Q99" s="88">
        <f t="shared" si="8"/>
        <v>61256458.775392205</v>
      </c>
      <c r="R99" s="88">
        <f t="shared" si="9"/>
        <v>90534519.775392205</v>
      </c>
      <c r="S99" s="58">
        <v>0</v>
      </c>
    </row>
    <row r="100" spans="1:19" ht="16.5" customHeight="1" x14ac:dyDescent="0.25">
      <c r="A100" s="49" t="s">
        <v>213</v>
      </c>
      <c r="B100" s="49" t="s">
        <v>214</v>
      </c>
      <c r="C100" s="92">
        <v>35.359828986413376</v>
      </c>
      <c r="D100" s="93">
        <f>VLOOKUP(B100,'Costdrivere 2022'!B:M,12,0)</f>
        <v>3.6496350364963508E-2</v>
      </c>
      <c r="E100" s="94">
        <f>SUM(VLOOKUP($B100,'Costdrivere 2022'!$B$4:$L$105,2,FALSE),VLOOKUP($B100,'Costdrivere 2022'!$B$4:$L$105,3,FALSE),VLOOKUP($B100,'Costdrivere 2022'!$B$4:$L$105,4,FALSE),VLOOKUP($B100,'Costdrivere 2022'!$B$4:$L$105,5,FALSE),VLOOKUP($B100,'Costdrivere 2022'!$B$4:$L$105,6,FALSE),VLOOKUP($B100,'Costdrivere 2022'!$B$4:$L$105,7,FALSE),VLOOKUP($B100,'Costdrivere 2022'!$B$4:$L$105,8,FALSE),VLOOKUP($B100,'Costdrivere 2022'!$B$4:$L$105,9,FALSE),VLOOKUP($B100,'Costdrivere 2022'!$B$4:$L$105,10,FALSE),VLOOKUP($B100,'Costdrivere 2022'!$B$4:$L$105,11,FALSE))</f>
        <v>37041903.225502215</v>
      </c>
      <c r="F100" s="93">
        <f>VLOOKUP(B100,'Costdrivere 2022'!B:AP,39,0)+VLOOKUP(B100,'Costdrivere 2022'!B:AP,40,0)+VLOOKUP(B100,'Costdrivere 2022'!B:AP,41,0)</f>
        <v>95814493.275413871</v>
      </c>
      <c r="G100" s="93">
        <v>37105746</v>
      </c>
      <c r="H100" s="94">
        <v>49680707.516858369</v>
      </c>
      <c r="I100" s="95">
        <v>2615266</v>
      </c>
      <c r="J100" s="96">
        <f>VLOOKUP(B100,'Gennemførte investeringer'!B:AE,30,0)</f>
        <v>12348577.269251134</v>
      </c>
      <c r="K100" s="97">
        <f t="shared" si="5"/>
        <v>64644550.786109507</v>
      </c>
      <c r="L100" s="88">
        <f t="shared" si="6"/>
        <v>101750296.78610951</v>
      </c>
      <c r="M100" s="18">
        <v>0</v>
      </c>
      <c r="N100" s="90">
        <v>0</v>
      </c>
      <c r="O100" s="98">
        <v>0</v>
      </c>
      <c r="P100" s="88">
        <f t="shared" si="7"/>
        <v>37105746</v>
      </c>
      <c r="Q100" s="88">
        <f t="shared" si="8"/>
        <v>64644550.786109507</v>
      </c>
      <c r="R100" s="88">
        <f t="shared" si="9"/>
        <v>101750296.78610951</v>
      </c>
      <c r="S100" s="58">
        <v>0</v>
      </c>
    </row>
    <row r="101" spans="1:19" ht="16.5" customHeight="1" x14ac:dyDescent="0.25">
      <c r="A101" s="49" t="s">
        <v>215</v>
      </c>
      <c r="B101" s="49" t="s">
        <v>216</v>
      </c>
      <c r="C101" s="92">
        <v>35.30557303725508</v>
      </c>
      <c r="D101" s="93">
        <f>VLOOKUP(B101,'Costdrivere 2022'!B:M,12,0)</f>
        <v>8.3894742559200527E-2</v>
      </c>
      <c r="E101" s="94">
        <f>SUM(VLOOKUP($B101,'Costdrivere 2022'!$B$4:$L$105,2,FALSE),VLOOKUP($B101,'Costdrivere 2022'!$B$4:$L$105,3,FALSE),VLOOKUP($B101,'Costdrivere 2022'!$B$4:$L$105,4,FALSE),VLOOKUP($B101,'Costdrivere 2022'!$B$4:$L$105,5,FALSE),VLOOKUP($B101,'Costdrivere 2022'!$B$4:$L$105,6,FALSE),VLOOKUP($B101,'Costdrivere 2022'!$B$4:$L$105,7,FALSE),VLOOKUP($B101,'Costdrivere 2022'!$B$4:$L$105,8,FALSE),VLOOKUP($B101,'Costdrivere 2022'!$B$4:$L$105,9,FALSE),VLOOKUP($B101,'Costdrivere 2022'!$B$4:$L$105,10,FALSE),VLOOKUP($B101,'Costdrivere 2022'!$B$4:$L$105,11,FALSE))</f>
        <v>94475013.835557699</v>
      </c>
      <c r="F101" s="93">
        <f>VLOOKUP(B101,'Costdrivere 2022'!B:AP,39,0)+VLOOKUP(B101,'Costdrivere 2022'!B:AP,40,0)+VLOOKUP(B101,'Costdrivere 2022'!B:AP,41,0)</f>
        <v>249024406.4829967</v>
      </c>
      <c r="G101" s="93">
        <v>128948854.23000002</v>
      </c>
      <c r="H101" s="94">
        <v>136423552.723827</v>
      </c>
      <c r="I101" s="95">
        <v>3299837.61</v>
      </c>
      <c r="J101" s="96">
        <f>VLOOKUP(B101,'Gennemførte investeringer'!B:AE,30,0)</f>
        <v>52245986.106556863</v>
      </c>
      <c r="K101" s="97">
        <f t="shared" si="5"/>
        <v>191969376.44038388</v>
      </c>
      <c r="L101" s="88">
        <f t="shared" si="6"/>
        <v>320918230.67038393</v>
      </c>
      <c r="M101" s="18">
        <v>0</v>
      </c>
      <c r="N101" s="90">
        <v>0</v>
      </c>
      <c r="O101" s="98">
        <v>0</v>
      </c>
      <c r="P101" s="88">
        <f t="shared" si="7"/>
        <v>128948854.23000002</v>
      </c>
      <c r="Q101" s="88">
        <f t="shared" si="8"/>
        <v>191969376.44038388</v>
      </c>
      <c r="R101" s="88">
        <f t="shared" si="9"/>
        <v>320918230.67038393</v>
      </c>
      <c r="S101" s="58">
        <v>0</v>
      </c>
    </row>
    <row r="102" spans="1:19" ht="16.5" customHeight="1" x14ac:dyDescent="0.25">
      <c r="A102" s="49" t="s">
        <v>217</v>
      </c>
      <c r="B102" s="49" t="s">
        <v>218</v>
      </c>
      <c r="C102" s="92">
        <v>34.659465827552914</v>
      </c>
      <c r="D102" s="93">
        <f>VLOOKUP(B102,'Costdrivere 2022'!B:M,12,0)</f>
        <v>8.7961256117455144E-2</v>
      </c>
      <c r="E102" s="94">
        <f>SUM(VLOOKUP($B102,'Costdrivere 2022'!$B$4:$L$105,2,FALSE),VLOOKUP($B102,'Costdrivere 2022'!$B$4:$L$105,3,FALSE),VLOOKUP($B102,'Costdrivere 2022'!$B$4:$L$105,4,FALSE),VLOOKUP($B102,'Costdrivere 2022'!$B$4:$L$105,5,FALSE),VLOOKUP($B102,'Costdrivere 2022'!$B$4:$L$105,6,FALSE),VLOOKUP($B102,'Costdrivere 2022'!$B$4:$L$105,7,FALSE),VLOOKUP($B102,'Costdrivere 2022'!$B$4:$L$105,8,FALSE),VLOOKUP($B102,'Costdrivere 2022'!$B$4:$L$105,9,FALSE),VLOOKUP($B102,'Costdrivere 2022'!$B$4:$L$105,10,FALSE),VLOOKUP($B102,'Costdrivere 2022'!$B$4:$L$105,11,FALSE))</f>
        <v>125073822.64593412</v>
      </c>
      <c r="F102" s="93">
        <f>VLOOKUP(B102,'Costdrivere 2022'!B:AP,39,0)+VLOOKUP(B102,'Costdrivere 2022'!B:AP,40,0)+VLOOKUP(B102,'Costdrivere 2022'!B:AP,41,0)</f>
        <v>411810483.65658289</v>
      </c>
      <c r="G102" s="93">
        <v>141919377</v>
      </c>
      <c r="H102" s="94">
        <v>185088107.46293595</v>
      </c>
      <c r="I102" s="95">
        <v>8235569</v>
      </c>
      <c r="J102" s="96">
        <f>VLOOKUP(B102,'Gennemførte investeringer'!B:AE,30,0)</f>
        <v>90626561.114977792</v>
      </c>
      <c r="K102" s="97">
        <f t="shared" si="5"/>
        <v>283950237.57791376</v>
      </c>
      <c r="L102" s="88">
        <f t="shared" si="6"/>
        <v>425869614.57791376</v>
      </c>
      <c r="M102" s="18">
        <v>4077381.7022664049</v>
      </c>
      <c r="N102" s="90">
        <v>0</v>
      </c>
      <c r="O102" s="98">
        <v>0</v>
      </c>
      <c r="P102" s="88">
        <f t="shared" si="7"/>
        <v>141919377</v>
      </c>
      <c r="Q102" s="88">
        <f t="shared" si="8"/>
        <v>279872855.87564737</v>
      </c>
      <c r="R102" s="88">
        <f t="shared" si="9"/>
        <v>421792232.87564737</v>
      </c>
      <c r="S102" s="58">
        <v>0</v>
      </c>
    </row>
    <row r="103" spans="1:19" ht="16.5" customHeight="1" x14ac:dyDescent="0.25">
      <c r="A103" s="49" t="s">
        <v>219</v>
      </c>
      <c r="B103" s="49" t="s">
        <v>220</v>
      </c>
      <c r="C103" s="92">
        <v>21.757105313564576</v>
      </c>
      <c r="D103" s="93">
        <f>VLOOKUP(B103,'Costdrivere 2022'!B:M,12,0)</f>
        <v>0</v>
      </c>
      <c r="E103" s="94">
        <f>SUM(VLOOKUP($B103,'Costdrivere 2022'!$B$4:$L$105,2,FALSE),VLOOKUP($B103,'Costdrivere 2022'!$B$4:$L$105,3,FALSE),VLOOKUP($B103,'Costdrivere 2022'!$B$4:$L$105,4,FALSE),VLOOKUP($B103,'Costdrivere 2022'!$B$4:$L$105,5,FALSE),VLOOKUP($B103,'Costdrivere 2022'!$B$4:$L$105,6,FALSE),VLOOKUP($B103,'Costdrivere 2022'!$B$4:$L$105,7,FALSE),VLOOKUP($B103,'Costdrivere 2022'!$B$4:$L$105,8,FALSE),VLOOKUP($B103,'Costdrivere 2022'!$B$4:$L$105,9,FALSE),VLOOKUP($B103,'Costdrivere 2022'!$B$4:$L$105,10,FALSE),VLOOKUP($B103,'Costdrivere 2022'!$B$4:$L$105,11,FALSE))</f>
        <v>22738056.783595663</v>
      </c>
      <c r="F103" s="93">
        <f>VLOOKUP(B103,'Costdrivere 2022'!B:AP,39,0)+VLOOKUP(B103,'Costdrivere 2022'!B:AP,40,0)+VLOOKUP(B103,'Costdrivere 2022'!B:AP,41,0)</f>
        <v>14593304.526271779</v>
      </c>
      <c r="G103" s="93">
        <v>18815850</v>
      </c>
      <c r="H103" s="94">
        <v>5575555.3440321498</v>
      </c>
      <c r="I103" s="95">
        <v>587832</v>
      </c>
      <c r="J103" s="96">
        <f>VLOOKUP(B103,'Gennemførte investeringer'!B:AE,30,0)</f>
        <v>6592122.3979765614</v>
      </c>
      <c r="K103" s="97">
        <f t="shared" si="5"/>
        <v>12755509.742008712</v>
      </c>
      <c r="L103" s="88">
        <f t="shared" si="6"/>
        <v>31571359.742008712</v>
      </c>
      <c r="M103" s="18">
        <v>0</v>
      </c>
      <c r="N103" s="90">
        <v>0</v>
      </c>
      <c r="O103" s="98">
        <v>0</v>
      </c>
      <c r="P103" s="88">
        <f t="shared" si="7"/>
        <v>18815850</v>
      </c>
      <c r="Q103" s="88">
        <f t="shared" si="8"/>
        <v>12755509.742008712</v>
      </c>
      <c r="R103" s="88">
        <f t="shared" si="9"/>
        <v>31571359.742008712</v>
      </c>
      <c r="S103" s="58">
        <v>0</v>
      </c>
    </row>
    <row r="104" spans="1:19" ht="16.5" customHeight="1" thickBot="1" x14ac:dyDescent="0.3">
      <c r="A104" s="62" t="s">
        <v>221</v>
      </c>
      <c r="B104" s="62" t="s">
        <v>222</v>
      </c>
      <c r="C104" s="102">
        <v>23.760452678045933</v>
      </c>
      <c r="D104" s="103">
        <f>VLOOKUP(B104,'Costdrivere 2022'!B:M,12,0)</f>
        <v>0</v>
      </c>
      <c r="E104" s="104">
        <f>SUM(VLOOKUP($B104,'Costdrivere 2022'!$B$4:$L$105,2,FALSE),VLOOKUP($B104,'Costdrivere 2022'!$B$4:$L$105,3,FALSE),VLOOKUP($B104,'Costdrivere 2022'!$B$4:$L$105,4,FALSE),VLOOKUP($B104,'Costdrivere 2022'!$B$4:$L$105,5,FALSE),VLOOKUP($B104,'Costdrivere 2022'!$B$4:$L$105,6,FALSE),VLOOKUP($B104,'Costdrivere 2022'!$B$4:$L$105,7,FALSE),VLOOKUP($B104,'Costdrivere 2022'!$B$4:$L$105,8,FALSE),VLOOKUP($B104,'Costdrivere 2022'!$B$4:$L$105,9,FALSE),VLOOKUP($B104,'Costdrivere 2022'!$B$4:$L$105,10,FALSE),VLOOKUP($B104,'Costdrivere 2022'!$B$4:$L$105,11,FALSE))</f>
        <v>12215090.492161619</v>
      </c>
      <c r="F104" s="103">
        <f>VLOOKUP(B104,'Costdrivere 2022'!B:AP,39,0)+VLOOKUP(B104,'Costdrivere 2022'!B:AP,40,0)+VLOOKUP(B104,'Costdrivere 2022'!B:AP,41,0)</f>
        <v>18207735.517309211</v>
      </c>
      <c r="G104" s="103">
        <v>18827817</v>
      </c>
      <c r="H104" s="104">
        <v>3091612.7755617816</v>
      </c>
      <c r="I104" s="105">
        <v>652217</v>
      </c>
      <c r="J104" s="106">
        <f>VLOOKUP(B104,'Gennemførte investeringer'!B:AE,30,0)</f>
        <v>6395845.7753793765</v>
      </c>
      <c r="K104" s="107">
        <f t="shared" si="5"/>
        <v>10139675.550941158</v>
      </c>
      <c r="L104" s="108">
        <f t="shared" si="6"/>
        <v>28967492.550941158</v>
      </c>
      <c r="M104" s="109">
        <v>305103.1648256997</v>
      </c>
      <c r="N104" s="110">
        <v>0</v>
      </c>
      <c r="O104" s="111">
        <v>0</v>
      </c>
      <c r="P104" s="108">
        <f t="shared" si="7"/>
        <v>18827817</v>
      </c>
      <c r="Q104" s="108">
        <f t="shared" si="8"/>
        <v>9834572.3861154579</v>
      </c>
      <c r="R104" s="108">
        <f t="shared" si="9"/>
        <v>28662389.386115458</v>
      </c>
      <c r="S104" s="58">
        <v>0</v>
      </c>
    </row>
    <row r="105" spans="1:19" x14ac:dyDescent="0.25">
      <c r="A105" s="71"/>
      <c r="B105" s="71"/>
      <c r="C105" s="71"/>
      <c r="D105" s="71"/>
      <c r="E105" s="71"/>
      <c r="F105" s="71"/>
      <c r="G105" s="71"/>
      <c r="H105" s="112"/>
      <c r="I105" s="71"/>
      <c r="J105" s="71"/>
      <c r="K105" s="71"/>
      <c r="L105" s="71"/>
      <c r="M105" s="71"/>
      <c r="N105" s="71"/>
      <c r="O105" s="71"/>
      <c r="P105" s="71"/>
      <c r="Q105" s="71"/>
      <c r="R105" s="71"/>
    </row>
  </sheetData>
  <mergeCells count="3">
    <mergeCell ref="H1:K1"/>
    <mergeCell ref="N1:O1"/>
    <mergeCell ref="P1:R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B7A16-DCB9-4E69-94A3-F612C9A9B7BB}">
  <sheetPr codeName="Ark9"/>
  <dimension ref="A1:AI110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RowHeight="15" x14ac:dyDescent="0.25"/>
  <cols>
    <col min="1" max="1" width="29" customWidth="1"/>
    <col min="2" max="2" width="11.28515625" customWidth="1"/>
    <col min="3" max="3" width="14.42578125" customWidth="1"/>
    <col min="4" max="4" width="14" customWidth="1"/>
    <col min="5" max="8" width="22.140625" customWidth="1"/>
    <col min="9" max="9" width="21" customWidth="1"/>
    <col min="10" max="10" width="14.28515625" customWidth="1"/>
    <col min="11" max="11" width="16.85546875" customWidth="1"/>
    <col min="12" max="12" width="16.7109375" customWidth="1"/>
    <col min="13" max="13" width="19.7109375" customWidth="1"/>
    <col min="14" max="14" width="27" customWidth="1"/>
    <col min="15" max="15" width="15.7109375" customWidth="1"/>
    <col min="16" max="16" width="19.7109375" customWidth="1"/>
    <col min="17" max="20" width="22.28515625" customWidth="1"/>
    <col min="21" max="21" width="22.28515625" style="48" customWidth="1"/>
    <col min="22" max="22" width="23.42578125" bestFit="1" customWidth="1"/>
    <col min="23" max="23" width="19.28515625" customWidth="1"/>
    <col min="24" max="24" width="12.28515625" bestFit="1" customWidth="1"/>
    <col min="25" max="25" width="15.28515625" bestFit="1" customWidth="1"/>
    <col min="26" max="26" width="17.5703125" bestFit="1" customWidth="1"/>
    <col min="27" max="27" width="15.28515625" bestFit="1" customWidth="1"/>
    <col min="28" max="28" width="17.5703125" bestFit="1" customWidth="1"/>
    <col min="29" max="29" width="15.85546875" bestFit="1" customWidth="1"/>
    <col min="30" max="30" width="20" bestFit="1" customWidth="1"/>
    <col min="31" max="31" width="16" customWidth="1"/>
    <col min="32" max="32" width="19.28515625" bestFit="1" customWidth="1"/>
    <col min="34" max="34" width="18" bestFit="1" customWidth="1"/>
  </cols>
  <sheetData>
    <row r="1" spans="1:35" ht="41.25" customHeight="1" thickBot="1" x14ac:dyDescent="0.3">
      <c r="A1" s="27"/>
      <c r="B1" s="28"/>
      <c r="C1" s="32" t="s">
        <v>251</v>
      </c>
      <c r="D1" s="35"/>
      <c r="E1" s="32" t="s">
        <v>235</v>
      </c>
      <c r="F1" s="33"/>
      <c r="G1" s="33"/>
      <c r="H1" s="35"/>
      <c r="I1" s="30" t="s">
        <v>252</v>
      </c>
      <c r="J1" s="32" t="s">
        <v>253</v>
      </c>
      <c r="K1" s="33"/>
      <c r="L1" s="33"/>
      <c r="M1" s="33"/>
      <c r="N1" s="221" t="s">
        <v>230</v>
      </c>
      <c r="O1" s="221" t="s">
        <v>231</v>
      </c>
      <c r="P1" s="217" t="s">
        <v>232</v>
      </c>
      <c r="Q1" s="218"/>
      <c r="R1" s="222" t="s">
        <v>233</v>
      </c>
      <c r="S1" s="223"/>
      <c r="T1" s="220"/>
      <c r="U1" s="78"/>
      <c r="V1" s="224" t="s">
        <v>254</v>
      </c>
      <c r="W1" s="32" t="s">
        <v>251</v>
      </c>
      <c r="X1" s="35"/>
      <c r="Y1" s="219" t="s">
        <v>235</v>
      </c>
      <c r="Z1" s="218"/>
      <c r="AA1" s="218"/>
      <c r="AB1" s="220"/>
      <c r="AC1" s="32" t="s">
        <v>255</v>
      </c>
      <c r="AD1" s="33"/>
      <c r="AE1" s="35"/>
      <c r="AF1" s="48"/>
      <c r="AG1" s="48"/>
      <c r="AH1" s="48"/>
      <c r="AI1" s="48"/>
    </row>
    <row r="2" spans="1:35" ht="80.25" customHeight="1" thickBot="1" x14ac:dyDescent="0.3">
      <c r="A2" s="37" t="s">
        <v>0</v>
      </c>
      <c r="B2" s="38" t="s">
        <v>1</v>
      </c>
      <c r="C2" s="46" t="s">
        <v>224</v>
      </c>
      <c r="D2" s="46" t="s">
        <v>256</v>
      </c>
      <c r="E2" s="45" t="s">
        <v>257</v>
      </c>
      <c r="F2" s="113" t="s">
        <v>258</v>
      </c>
      <c r="G2" s="45" t="s">
        <v>259</v>
      </c>
      <c r="H2" s="114" t="s">
        <v>260</v>
      </c>
      <c r="I2" s="43" t="s">
        <v>261</v>
      </c>
      <c r="J2" s="45" t="s">
        <v>262</v>
      </c>
      <c r="K2" s="115" t="s">
        <v>238</v>
      </c>
      <c r="L2" s="81" t="s">
        <v>239</v>
      </c>
      <c r="M2" s="81" t="s">
        <v>240</v>
      </c>
      <c r="N2" s="43" t="s">
        <v>241</v>
      </c>
      <c r="O2" s="43" t="s">
        <v>231</v>
      </c>
      <c r="P2" s="45" t="s">
        <v>242</v>
      </c>
      <c r="Q2" s="81" t="s">
        <v>243</v>
      </c>
      <c r="R2" s="45" t="s">
        <v>244</v>
      </c>
      <c r="S2" s="115" t="s">
        <v>245</v>
      </c>
      <c r="T2" s="44" t="s">
        <v>246</v>
      </c>
      <c r="U2" s="47"/>
      <c r="V2" s="47"/>
      <c r="W2" s="45" t="s">
        <v>224</v>
      </c>
      <c r="X2" s="45" t="s">
        <v>256</v>
      </c>
      <c r="Y2" s="45" t="s">
        <v>263</v>
      </c>
      <c r="Z2" s="45" t="s">
        <v>264</v>
      </c>
      <c r="AA2" s="45" t="s">
        <v>265</v>
      </c>
      <c r="AB2" s="45" t="s">
        <v>266</v>
      </c>
      <c r="AC2" s="45" t="s">
        <v>244</v>
      </c>
      <c r="AD2" s="46" t="s">
        <v>245</v>
      </c>
      <c r="AE2" s="43" t="s">
        <v>246</v>
      </c>
      <c r="AF2" s="48"/>
      <c r="AG2" s="48"/>
      <c r="AH2" s="48"/>
      <c r="AI2" s="48"/>
    </row>
    <row r="3" spans="1:35" x14ac:dyDescent="0.25">
      <c r="A3" s="49" t="s">
        <v>19</v>
      </c>
      <c r="B3" s="202" t="s">
        <v>20</v>
      </c>
      <c r="C3" s="116">
        <f>AVERAGE('Netvolumenmål 2021'!C3,'Netvolumenmål 2022'!C3)</f>
        <v>45.375049142485828</v>
      </c>
      <c r="D3" s="116">
        <f>AVERAGE('Netvolumenmål 2021'!D3,'Netvolumenmål 2022'!D3)</f>
        <v>0.1323142826923992</v>
      </c>
      <c r="E3" s="117">
        <f>AVERAGE('Netvolumenmål 2021'!E3,'Netvolumenmål 2022'!E3)</f>
        <v>9225491.7743198089</v>
      </c>
      <c r="F3" s="118">
        <f>($F$106+$F$107*C3+$F$108*D3)*E3</f>
        <v>11997091.598084839</v>
      </c>
      <c r="G3" s="117">
        <f>VLOOKUP(B3,'Costdrivere gns.'!B:AP,39,0)+VLOOKUP(B3,'Costdrivere gns.'!B:AP,40,0)+VLOOKUP(B3,'Costdrivere gns.'!B:AP,41,0)</f>
        <v>54426457.421278872</v>
      </c>
      <c r="H3" s="118">
        <f>($H$106+$H$107*C3+$H$108*D3)*G3</f>
        <v>36708101.380688503</v>
      </c>
      <c r="I3" s="88">
        <f>AVERAGE('Netvolumenmål 2021'!G3,'Netvolumenmål 2022'!G3)</f>
        <v>7812048.3326500002</v>
      </c>
      <c r="J3" s="5">
        <f>AVERAGE('Netvolumenmål 2021'!H3,'Netvolumenmål 2022'!H3)</f>
        <v>26911624.74800317</v>
      </c>
      <c r="K3" s="119">
        <f>AVERAGE('Netvolumenmål 2021'!I3,'Netvolumenmål 2022'!I3)</f>
        <v>714793.65</v>
      </c>
      <c r="L3" s="119">
        <f>AVERAGE('Netvolumenmål 2021'!J3,'Netvolumenmål 2022'!J3)</f>
        <v>9259240.7197401226</v>
      </c>
      <c r="M3" s="58">
        <f>AVERAGE(VLOOKUP(B3,'Netvolumenmål 2021'!B:R,10,0),VLOOKUP(B3,'Netvolumenmål 2022'!B:R,10,0))</f>
        <v>36885659.117743291</v>
      </c>
      <c r="N3" s="88">
        <f>AVERAGE(VLOOKUP(B3,'Netvolumenmål 2021'!B:R,11,0),VLOOKUP(B3,'Netvolumenmål 2022'!B:R,11,0))</f>
        <v>44697707.450393289</v>
      </c>
      <c r="O3" s="88">
        <f>AVERAGE(VLOOKUP(B3,'Netvolumenmål 2021'!B:R,12,0),VLOOKUP(B3,'Netvolumenmål 2022'!B:R,12,0))</f>
        <v>0</v>
      </c>
      <c r="P3" s="98">
        <f>AVERAGE(VLOOKUP(B3,'Netvolumenmål 2021'!B:R,13,0),VLOOKUP(B3,'Netvolumenmål 2022'!B:R,13,0))</f>
        <v>0</v>
      </c>
      <c r="Q3" s="98">
        <f>AVERAGE(VLOOKUP(B3,'Netvolumenmål 2021'!B:R,14,0),VLOOKUP(B3,'Netvolumenmål 2022'!B:R,14,0))</f>
        <v>0</v>
      </c>
      <c r="R3" s="121">
        <f>AVERAGE(VLOOKUP(B3,'Netvolumenmål 2021'!B:R,15,0),VLOOKUP(B3,'Netvolumenmål 2022'!B:R,15,0))</f>
        <v>7812048.3326500002</v>
      </c>
      <c r="S3" s="225">
        <f>AVERAGE(VLOOKUP(B3,'Netvolumenmål 2021'!B:R,16,0),VLOOKUP(B3,'Netvolumenmål 2022'!B:R,16,0))</f>
        <v>36885659.117743291</v>
      </c>
      <c r="T3" s="18">
        <f>AVERAGE(VLOOKUP(B3,'Netvolumenmål 2021'!B:R,17,0),VLOOKUP(B3,'Netvolumenmål 2022'!B:R,17,0))</f>
        <v>44697707.450393289</v>
      </c>
      <c r="U3" s="58"/>
      <c r="V3" s="98"/>
      <c r="W3" s="120">
        <v>45.375049142485828</v>
      </c>
      <c r="X3" s="120">
        <v>0.1323142826923992</v>
      </c>
      <c r="Y3" s="121">
        <v>9225491.7743198089</v>
      </c>
      <c r="Z3" s="121">
        <v>11997091.598084839</v>
      </c>
      <c r="AA3" s="121">
        <v>53059939.279875107</v>
      </c>
      <c r="AB3" s="121">
        <v>35786448.771830887</v>
      </c>
      <c r="AC3" s="121">
        <v>7812048.3326500002</v>
      </c>
      <c r="AD3" s="122">
        <v>36885659.117743291</v>
      </c>
      <c r="AE3" s="122">
        <v>44697707.450393289</v>
      </c>
      <c r="AF3" s="226"/>
      <c r="AG3" s="226"/>
      <c r="AH3" s="226"/>
      <c r="AI3" s="203"/>
    </row>
    <row r="4" spans="1:35" x14ac:dyDescent="0.25">
      <c r="A4" s="49" t="s">
        <v>21</v>
      </c>
      <c r="B4" s="202" t="s">
        <v>22</v>
      </c>
      <c r="C4" s="116">
        <f>AVERAGE('Netvolumenmål 2021'!C4,'Netvolumenmål 2022'!C4)</f>
        <v>34.043264217351037</v>
      </c>
      <c r="D4" s="116">
        <f>AVERAGE('Netvolumenmål 2021'!D4,'Netvolumenmål 2022'!D4)</f>
        <v>4.7483255917314796E-2</v>
      </c>
      <c r="E4" s="117">
        <f>AVERAGE('Netvolumenmål 2021'!E4,'Netvolumenmål 2022'!E4)</f>
        <v>14212716.660506215</v>
      </c>
      <c r="F4" s="118">
        <f>($F$106+$F$107*C4+$F$108*D4)*E4</f>
        <v>14992238.813222934</v>
      </c>
      <c r="G4" s="117">
        <f>VLOOKUP(B4,'Costdrivere gns.'!B:AP,39,0)+VLOOKUP(B4,'Costdrivere gns.'!B:AP,40,0)+VLOOKUP(B4,'Costdrivere gns.'!B:AP,41,0)</f>
        <v>42611663.406301834</v>
      </c>
      <c r="H4" s="118">
        <f>($H$106+$H$107*C4+$H$108*D4)*G4</f>
        <v>30324297.233545188</v>
      </c>
      <c r="I4" s="88">
        <f>AVERAGE('Netvolumenmål 2021'!G4,'Netvolumenmål 2022'!G4)</f>
        <v>15324495.648250001</v>
      </c>
      <c r="J4" s="5">
        <f>AVERAGE('Netvolumenmål 2021'!H4,'Netvolumenmål 2022'!H4)</f>
        <v>22609788.286936887</v>
      </c>
      <c r="K4" s="119">
        <f>AVERAGE('Netvolumenmål 2021'!I4,'Netvolumenmål 2022'!I4)</f>
        <v>2007194.4</v>
      </c>
      <c r="L4" s="119">
        <f>AVERAGE('Netvolumenmål 2021'!J4,'Netvolumenmål 2022'!J4)</f>
        <v>10185630.107365744</v>
      </c>
      <c r="M4" s="58">
        <f>AVERAGE(VLOOKUP(B4,'Netvolumenmål 2021'!B:R,10,0),VLOOKUP(B4,'Netvolumenmål 2022'!B:R,10,0))</f>
        <v>34802612.794302627</v>
      </c>
      <c r="N4" s="88">
        <f>AVERAGE(VLOOKUP(B4,'Netvolumenmål 2021'!B:R,11,0),VLOOKUP(B4,'Netvolumenmål 2022'!B:R,11,0))</f>
        <v>50127108.442552626</v>
      </c>
      <c r="O4" s="88">
        <f>AVERAGE(VLOOKUP(B4,'Netvolumenmål 2021'!B:R,12,0),VLOOKUP(B4,'Netvolumenmål 2022'!B:R,12,0))</f>
        <v>0</v>
      </c>
      <c r="P4" s="98">
        <f>AVERAGE(VLOOKUP(B4,'Netvolumenmål 2021'!B:R,13,0),VLOOKUP(B4,'Netvolumenmål 2022'!B:R,13,0))</f>
        <v>0</v>
      </c>
      <c r="Q4" s="98">
        <f>AVERAGE(VLOOKUP(B4,'Netvolumenmål 2021'!B:R,14,0),VLOOKUP(B4,'Netvolumenmål 2022'!B:R,14,0))</f>
        <v>0</v>
      </c>
      <c r="R4" s="121">
        <f>AVERAGE(VLOOKUP(B4,'Netvolumenmål 2021'!B:R,15,0),VLOOKUP(B4,'Netvolumenmål 2022'!B:R,15,0))</f>
        <v>15324495.648250001</v>
      </c>
      <c r="S4" s="225">
        <f>AVERAGE(VLOOKUP(B4,'Netvolumenmål 2021'!B:R,16,0),VLOOKUP(B4,'Netvolumenmål 2022'!B:R,16,0))</f>
        <v>34802612.794302627</v>
      </c>
      <c r="T4" s="18">
        <f>AVERAGE(VLOOKUP(B4,'Netvolumenmål 2021'!B:R,17,0),VLOOKUP(B4,'Netvolumenmål 2022'!B:R,17,0))</f>
        <v>50127108.442552626</v>
      </c>
      <c r="U4" s="98"/>
      <c r="V4" s="98"/>
      <c r="W4" s="120">
        <v>34.043264217351037</v>
      </c>
      <c r="X4" s="120">
        <v>4.7483255917314796E-2</v>
      </c>
      <c r="Y4" s="121">
        <v>14212716.660506215</v>
      </c>
      <c r="Z4" s="121">
        <v>14992238.813222934</v>
      </c>
      <c r="AA4" s="121">
        <v>41442514.870620817</v>
      </c>
      <c r="AB4" s="121">
        <v>29492280.718064312</v>
      </c>
      <c r="AC4" s="121">
        <v>15324495.648250001</v>
      </c>
      <c r="AD4" s="122">
        <v>34802612.794302627</v>
      </c>
      <c r="AE4" s="122">
        <v>50127108.442552626</v>
      </c>
      <c r="AF4" s="226"/>
      <c r="AG4" s="226"/>
      <c r="AH4" s="226"/>
      <c r="AI4" s="203"/>
    </row>
    <row r="5" spans="1:35" x14ac:dyDescent="0.25">
      <c r="A5" s="49" t="s">
        <v>23</v>
      </c>
      <c r="B5" s="202" t="s">
        <v>24</v>
      </c>
      <c r="C5" s="116">
        <f>AVERAGE('Netvolumenmål 2021'!C5,'Netvolumenmål 2022'!C5)</f>
        <v>31.484796081547572</v>
      </c>
      <c r="D5" s="116">
        <f>AVERAGE('Netvolumenmål 2021'!D5,'Netvolumenmål 2022'!D5)</f>
        <v>2.5480493019527227E-2</v>
      </c>
      <c r="E5" s="117">
        <f>AVERAGE('Netvolumenmål 2021'!E5,'Netvolumenmål 2022'!E5)</f>
        <v>26129706.710427988</v>
      </c>
      <c r="F5" s="118">
        <f t="shared" ref="F5:F68" si="0">($F$106+$F$107*C5+$F$108*D5)*E5</f>
        <v>25954099.511640251</v>
      </c>
      <c r="G5" s="117">
        <f>VLOOKUP(B5,'Costdrivere gns.'!B:AP,39,0)+VLOOKUP(B5,'Costdrivere gns.'!B:AP,40,0)+VLOOKUP(B5,'Costdrivere gns.'!B:AP,41,0)</f>
        <v>94428884.573311746</v>
      </c>
      <c r="H5" s="118">
        <f t="shared" ref="H5:H68" si="1">($H$106+$H$107*C5+$H$108*D5)*G5</f>
        <v>67917852.424748212</v>
      </c>
      <c r="I5" s="88">
        <f>AVERAGE('Netvolumenmål 2021'!G5,'Netvolumenmål 2022'!G5)</f>
        <v>26896787.331550501</v>
      </c>
      <c r="J5" s="5">
        <f>AVERAGE('Netvolumenmål 2021'!H5,'Netvolumenmål 2022'!H5)</f>
        <v>45866131.315459356</v>
      </c>
      <c r="K5" s="119">
        <f>AVERAGE('Netvolumenmål 2021'!I5,'Netvolumenmål 2022'!I5)</f>
        <v>1693689.1818500001</v>
      </c>
      <c r="L5" s="119">
        <f>AVERAGE('Netvolumenmål 2021'!J5,'Netvolumenmål 2022'!J5)</f>
        <v>11116857.639917139</v>
      </c>
      <c r="M5" s="58">
        <f>AVERAGE(VLOOKUP(B5,'Netvolumenmål 2021'!B:R,10,0),VLOOKUP(B5,'Netvolumenmål 2022'!B:R,10,0))</f>
        <v>58676678.137226492</v>
      </c>
      <c r="N5" s="88">
        <f>AVERAGE(VLOOKUP(B5,'Netvolumenmål 2021'!B:R,11,0),VLOOKUP(B5,'Netvolumenmål 2022'!B:R,11,0))</f>
        <v>85573465.468777001</v>
      </c>
      <c r="O5" s="88">
        <f>AVERAGE(VLOOKUP(B5,'Netvolumenmål 2021'!B:R,12,0),VLOOKUP(B5,'Netvolumenmål 2022'!B:R,12,0))</f>
        <v>0</v>
      </c>
      <c r="P5" s="98">
        <f>AVERAGE(VLOOKUP(B5,'Netvolumenmål 2021'!B:R,13,0),VLOOKUP(B5,'Netvolumenmål 2022'!B:R,13,0))</f>
        <v>0</v>
      </c>
      <c r="Q5" s="98">
        <f>AVERAGE(VLOOKUP(B5,'Netvolumenmål 2021'!B:R,14,0),VLOOKUP(B5,'Netvolumenmål 2022'!B:R,14,0))</f>
        <v>0</v>
      </c>
      <c r="R5" s="121">
        <f>AVERAGE(VLOOKUP(B5,'Netvolumenmål 2021'!B:R,15,0),VLOOKUP(B5,'Netvolumenmål 2022'!B:R,15,0))</f>
        <v>26896787.331550501</v>
      </c>
      <c r="S5" s="225">
        <f>AVERAGE(VLOOKUP(B5,'Netvolumenmål 2021'!B:R,16,0),VLOOKUP(B5,'Netvolumenmål 2022'!B:R,16,0))</f>
        <v>58676678.137226492</v>
      </c>
      <c r="T5" s="18">
        <f>AVERAGE(VLOOKUP(B5,'Netvolumenmål 2021'!B:R,17,0),VLOOKUP(B5,'Netvolumenmål 2022'!B:R,17,0))</f>
        <v>85573465.468777001</v>
      </c>
      <c r="U5" s="98"/>
      <c r="V5" s="98"/>
      <c r="W5" s="120">
        <v>31.484796081547572</v>
      </c>
      <c r="X5" s="120">
        <v>2.5480493019527227E-2</v>
      </c>
      <c r="Y5" s="121">
        <v>26129706.710427988</v>
      </c>
      <c r="Z5" s="121">
        <v>25954099.511640251</v>
      </c>
      <c r="AA5" s="121">
        <v>94428884.573311746</v>
      </c>
      <c r="AB5" s="121">
        <v>67917852.424748212</v>
      </c>
      <c r="AC5" s="121">
        <v>26896787.331550501</v>
      </c>
      <c r="AD5" s="122">
        <v>58676678.137226492</v>
      </c>
      <c r="AE5" s="122">
        <v>85573465.468777001</v>
      </c>
      <c r="AF5" s="226"/>
      <c r="AG5" s="226"/>
      <c r="AH5" s="226"/>
      <c r="AI5" s="203"/>
    </row>
    <row r="6" spans="1:35" x14ac:dyDescent="0.25">
      <c r="A6" s="49" t="s">
        <v>25</v>
      </c>
      <c r="B6" s="202" t="s">
        <v>26</v>
      </c>
      <c r="C6" s="116">
        <f>AVERAGE('Netvolumenmål 2021'!C6,'Netvolumenmål 2022'!C6)</f>
        <v>36.82584102048294</v>
      </c>
      <c r="D6" s="116">
        <f>AVERAGE('Netvolumenmål 2021'!D6,'Netvolumenmål 2022'!D6)</f>
        <v>2.1692153420108953E-2</v>
      </c>
      <c r="E6" s="117">
        <f>AVERAGE('Netvolumenmål 2021'!E6,'Netvolumenmål 2022'!E6)</f>
        <v>39227356.546498507</v>
      </c>
      <c r="F6" s="118">
        <f t="shared" si="0"/>
        <v>39816590.377682991</v>
      </c>
      <c r="G6" s="117">
        <f>VLOOKUP(B6,'Costdrivere gns.'!B:AP,39,0)+VLOOKUP(B6,'Costdrivere gns.'!B:AP,40,0)+VLOOKUP(B6,'Costdrivere gns.'!B:AP,41,0)</f>
        <v>141677147.64114577</v>
      </c>
      <c r="H6" s="118">
        <f t="shared" si="1"/>
        <v>97696180.649846762</v>
      </c>
      <c r="I6" s="88">
        <f>AVERAGE('Netvolumenmål 2021'!G6,'Netvolumenmål 2022'!G6)</f>
        <v>27734425.973027997</v>
      </c>
      <c r="J6" s="5">
        <f>AVERAGE('Netvolumenmål 2021'!H6,'Netvolumenmål 2022'!H6)</f>
        <v>81308936.267153397</v>
      </c>
      <c r="K6" s="119">
        <f>AVERAGE('Netvolumenmål 2021'!I6,'Netvolumenmål 2022'!I6)</f>
        <v>2540674.2999999998</v>
      </c>
      <c r="L6" s="119">
        <f>AVERAGE('Netvolumenmål 2021'!J6,'Netvolumenmål 2022'!J6)</f>
        <v>18231118.470896348</v>
      </c>
      <c r="M6" s="58">
        <f>AVERAGE(VLOOKUP(B6,'Netvolumenmål 2021'!B:R,10,0),VLOOKUP(B6,'Netvolumenmål 2022'!B:R,10,0))</f>
        <v>102080729.03804974</v>
      </c>
      <c r="N6" s="88">
        <f>AVERAGE(VLOOKUP(B6,'Netvolumenmål 2021'!B:R,11,0),VLOOKUP(B6,'Netvolumenmål 2022'!B:R,11,0))</f>
        <v>129815155.01107773</v>
      </c>
      <c r="O6" s="88">
        <f>AVERAGE(VLOOKUP(B6,'Netvolumenmål 2021'!B:R,12,0),VLOOKUP(B6,'Netvolumenmål 2022'!B:R,12,0))</f>
        <v>0</v>
      </c>
      <c r="P6" s="98">
        <f>AVERAGE(VLOOKUP(B6,'Netvolumenmål 2021'!B:R,13,0),VLOOKUP(B6,'Netvolumenmål 2022'!B:R,13,0))</f>
        <v>0</v>
      </c>
      <c r="Q6" s="98">
        <f>AVERAGE(VLOOKUP(B6,'Netvolumenmål 2021'!B:R,14,0),VLOOKUP(B6,'Netvolumenmål 2022'!B:R,14,0))</f>
        <v>0</v>
      </c>
      <c r="R6" s="121">
        <f>AVERAGE(VLOOKUP(B6,'Netvolumenmål 2021'!B:R,15,0),VLOOKUP(B6,'Netvolumenmål 2022'!B:R,15,0))</f>
        <v>27734425.973027997</v>
      </c>
      <c r="S6" s="225">
        <f>AVERAGE(VLOOKUP(B6,'Netvolumenmål 2021'!B:R,16,0),VLOOKUP(B6,'Netvolumenmål 2022'!B:R,16,0))</f>
        <v>102080729.03804974</v>
      </c>
      <c r="T6" s="18">
        <f>AVERAGE(VLOOKUP(B6,'Netvolumenmål 2021'!B:R,17,0),VLOOKUP(B6,'Netvolumenmål 2022'!B:R,17,0))</f>
        <v>129815155.01107773</v>
      </c>
      <c r="U6" s="98"/>
      <c r="V6" s="98"/>
      <c r="W6" s="120">
        <v>36.82584102048294</v>
      </c>
      <c r="X6" s="120">
        <v>2.1692153420108953E-2</v>
      </c>
      <c r="Y6" s="121">
        <v>39227356.546498507</v>
      </c>
      <c r="Z6" s="121">
        <v>39816590.377682991</v>
      </c>
      <c r="AA6" s="121">
        <v>141677147.64114577</v>
      </c>
      <c r="AB6" s="121">
        <v>97696180.649846762</v>
      </c>
      <c r="AC6" s="121">
        <v>27736175.973027997</v>
      </c>
      <c r="AD6" s="122">
        <v>102080729.03804974</v>
      </c>
      <c r="AE6" s="122">
        <v>129816905.01107773</v>
      </c>
      <c r="AF6" s="226"/>
      <c r="AG6" s="226"/>
      <c r="AH6" s="226"/>
      <c r="AI6" s="203"/>
    </row>
    <row r="7" spans="1:35" x14ac:dyDescent="0.25">
      <c r="A7" s="49" t="s">
        <v>27</v>
      </c>
      <c r="B7" s="202" t="s">
        <v>28</v>
      </c>
      <c r="C7" s="116">
        <f>AVERAGE('Netvolumenmål 2021'!C7,'Netvolumenmål 2022'!C7)</f>
        <v>17.431090156607226</v>
      </c>
      <c r="D7" s="116">
        <f>AVERAGE('Netvolumenmål 2021'!D7,'Netvolumenmål 2022'!D7)</f>
        <v>0</v>
      </c>
      <c r="E7" s="117">
        <f>AVERAGE('Netvolumenmål 2021'!E7,'Netvolumenmål 2022'!E7)</f>
        <v>15458753.55076907</v>
      </c>
      <c r="F7" s="118">
        <f t="shared" si="0"/>
        <v>13293577.623770673</v>
      </c>
      <c r="G7" s="117">
        <f>VLOOKUP(B7,'Costdrivere gns.'!B:AP,39,0)+VLOOKUP(B7,'Costdrivere gns.'!B:AP,40,0)+VLOOKUP(B7,'Costdrivere gns.'!B:AP,41,0)</f>
        <v>16124032.592907462</v>
      </c>
      <c r="H7" s="118">
        <f t="shared" si="1"/>
        <v>12697729.79143171</v>
      </c>
      <c r="I7" s="88">
        <f>AVERAGE('Netvolumenmål 2021'!G7,'Netvolumenmål 2022'!G7)</f>
        <v>13827582.218900001</v>
      </c>
      <c r="J7" s="5">
        <f>AVERAGE('Netvolumenmål 2021'!H7,'Netvolumenmål 2022'!H7)</f>
        <v>4580225.4025586694</v>
      </c>
      <c r="K7" s="119">
        <f>AVERAGE('Netvolumenmål 2021'!I7,'Netvolumenmål 2022'!I7)</f>
        <v>1160922.2388500001</v>
      </c>
      <c r="L7" s="119">
        <f>AVERAGE('Netvolumenmål 2021'!J7,'Netvolumenmål 2022'!J7)</f>
        <v>8814978.0819651652</v>
      </c>
      <c r="M7" s="58">
        <f>AVERAGE(VLOOKUP(B7,'Netvolumenmål 2021'!B:R,10,0),VLOOKUP(B7,'Netvolumenmål 2022'!B:R,10,0))</f>
        <v>14556125.723373832</v>
      </c>
      <c r="N7" s="88">
        <f>AVERAGE(VLOOKUP(B7,'Netvolumenmål 2021'!B:R,11,0),VLOOKUP(B7,'Netvolumenmål 2022'!B:R,11,0))</f>
        <v>28383707.942273833</v>
      </c>
      <c r="O7" s="88">
        <f>AVERAGE(VLOOKUP(B7,'Netvolumenmål 2021'!B:R,12,0),VLOOKUP(B7,'Netvolumenmål 2022'!B:R,12,0))</f>
        <v>1284621.5986666668</v>
      </c>
      <c r="P7" s="98">
        <f>AVERAGE(VLOOKUP(B7,'Netvolumenmål 2021'!B:R,13,0),VLOOKUP(B7,'Netvolumenmål 2022'!B:R,13,0))</f>
        <v>0</v>
      </c>
      <c r="Q7" s="98">
        <f>AVERAGE(VLOOKUP(B7,'Netvolumenmål 2021'!B:R,14,0),VLOOKUP(B7,'Netvolumenmål 2022'!B:R,14,0))</f>
        <v>1926479.786594416</v>
      </c>
      <c r="R7" s="121">
        <f>AVERAGE(VLOOKUP(B7,'Netvolumenmål 2021'!B:R,15,0),VLOOKUP(B7,'Netvolumenmål 2022'!B:R,15,0))</f>
        <v>13827582.218900001</v>
      </c>
      <c r="S7" s="225">
        <f>AVERAGE(VLOOKUP(B7,'Netvolumenmål 2021'!B:R,16,0),VLOOKUP(B7,'Netvolumenmål 2022'!B:R,16,0))</f>
        <v>11345024.338112749</v>
      </c>
      <c r="T7" s="18">
        <f>AVERAGE(VLOOKUP(B7,'Netvolumenmål 2021'!B:R,17,0),VLOOKUP(B7,'Netvolumenmål 2022'!B:R,17,0))</f>
        <v>25172606.557012752</v>
      </c>
      <c r="U7" s="98"/>
      <c r="V7" s="98"/>
      <c r="W7" s="120">
        <v>17.431090156607226</v>
      </c>
      <c r="X7" s="120">
        <v>0</v>
      </c>
      <c r="Y7" s="121">
        <v>15458753.55076907</v>
      </c>
      <c r="Z7" s="121">
        <v>13293577.623770673</v>
      </c>
      <c r="AA7" s="121">
        <v>16124032.592907462</v>
      </c>
      <c r="AB7" s="121">
        <v>12697729.79143171</v>
      </c>
      <c r="AC7" s="121">
        <v>13827582.218900001</v>
      </c>
      <c r="AD7" s="122">
        <v>11345024.338112749</v>
      </c>
      <c r="AE7" s="122">
        <v>25172606.557012752</v>
      </c>
      <c r="AF7" s="226"/>
      <c r="AG7" s="226"/>
      <c r="AH7" s="226"/>
      <c r="AI7" s="203"/>
    </row>
    <row r="8" spans="1:35" x14ac:dyDescent="0.25">
      <c r="A8" s="49" t="s">
        <v>29</v>
      </c>
      <c r="B8" s="202" t="s">
        <v>30</v>
      </c>
      <c r="C8" s="116">
        <f>AVERAGE('Netvolumenmål 2021'!C8,'Netvolumenmål 2022'!C8)</f>
        <v>30.910367303667446</v>
      </c>
      <c r="D8" s="116">
        <f>AVERAGE('Netvolumenmål 2021'!D8,'Netvolumenmål 2022'!D8)</f>
        <v>1.8235380372448588E-2</v>
      </c>
      <c r="E8" s="117">
        <f>AVERAGE('Netvolumenmål 2021'!E8,'Netvolumenmål 2022'!E8)</f>
        <v>17761385.724193424</v>
      </c>
      <c r="F8" s="118">
        <f t="shared" si="0"/>
        <v>17308572.003292184</v>
      </c>
      <c r="G8" s="117">
        <f>VLOOKUP(B8,'Costdrivere gns.'!B:AP,39,0)+VLOOKUP(B8,'Costdrivere gns.'!B:AP,40,0)+VLOOKUP(B8,'Costdrivere gns.'!B:AP,41,0)</f>
        <v>86302419.949967042</v>
      </c>
      <c r="H8" s="118">
        <f t="shared" si="1"/>
        <v>62165052.350178786</v>
      </c>
      <c r="I8" s="88">
        <f>AVERAGE('Netvolumenmål 2021'!G8,'Netvolumenmål 2022'!G8)</f>
        <v>16179426.403050002</v>
      </c>
      <c r="J8" s="5">
        <f>AVERAGE('Netvolumenmål 2021'!H8,'Netvolumenmål 2022'!H8)</f>
        <v>51410396.689013451</v>
      </c>
      <c r="K8" s="119">
        <f>AVERAGE('Netvolumenmål 2021'!I8,'Netvolumenmål 2022'!I8)</f>
        <v>3217122.45725</v>
      </c>
      <c r="L8" s="119">
        <f>AVERAGE('Netvolumenmål 2021'!J8,'Netvolumenmål 2022'!J8)</f>
        <v>16503025.592315007</v>
      </c>
      <c r="M8" s="58">
        <f>AVERAGE(VLOOKUP(B8,'Netvolumenmål 2021'!B:R,10,0),VLOOKUP(B8,'Netvolumenmål 2022'!B:R,10,0))</f>
        <v>71130544.738578469</v>
      </c>
      <c r="N8" s="88">
        <f>AVERAGE(VLOOKUP(B8,'Netvolumenmål 2021'!B:R,11,0),VLOOKUP(B8,'Netvolumenmål 2022'!B:R,11,0))</f>
        <v>87309971.141628474</v>
      </c>
      <c r="O8" s="88">
        <f>AVERAGE(VLOOKUP(B8,'Netvolumenmål 2021'!B:R,12,0),VLOOKUP(B8,'Netvolumenmål 2022'!B:R,12,0))</f>
        <v>66370.68162580028</v>
      </c>
      <c r="P8" s="98">
        <f>AVERAGE(VLOOKUP(B8,'Netvolumenmål 2021'!B:R,13,0),VLOOKUP(B8,'Netvolumenmål 2022'!B:R,13,0))</f>
        <v>0</v>
      </c>
      <c r="Q8" s="98">
        <f>AVERAGE(VLOOKUP(B8,'Netvolumenmål 2021'!B:R,14,0),VLOOKUP(B8,'Netvolumenmål 2022'!B:R,14,0))</f>
        <v>1769638.8825159748</v>
      </c>
      <c r="R8" s="121">
        <f>AVERAGE(VLOOKUP(B8,'Netvolumenmål 2021'!B:R,15,0),VLOOKUP(B8,'Netvolumenmål 2022'!B:R,15,0))</f>
        <v>16179426.403050002</v>
      </c>
      <c r="S8" s="225">
        <f>AVERAGE(VLOOKUP(B8,'Netvolumenmål 2021'!B:R,16,0),VLOOKUP(B8,'Netvolumenmål 2022'!B:R,16,0))</f>
        <v>69294535.174436688</v>
      </c>
      <c r="T8" s="18">
        <f>AVERAGE(VLOOKUP(B8,'Netvolumenmål 2021'!B:R,17,0),VLOOKUP(B8,'Netvolumenmål 2022'!B:R,17,0))</f>
        <v>85473961.577486694</v>
      </c>
      <c r="U8" s="98"/>
      <c r="V8" s="98"/>
      <c r="W8" s="120">
        <v>30.910367303667446</v>
      </c>
      <c r="X8" s="120">
        <v>1.8235380372448588E-2</v>
      </c>
      <c r="Y8" s="121">
        <v>17761385.724193424</v>
      </c>
      <c r="Z8" s="121">
        <v>17308572.003292184</v>
      </c>
      <c r="AA8" s="121">
        <v>86302419.949967042</v>
      </c>
      <c r="AB8" s="121">
        <v>62165052.350178786</v>
      </c>
      <c r="AC8" s="121">
        <v>16179426.403050002</v>
      </c>
      <c r="AD8" s="122">
        <v>71064174.05695267</v>
      </c>
      <c r="AE8" s="122">
        <v>87243600.460002676</v>
      </c>
      <c r="AF8" s="226"/>
      <c r="AG8" s="226"/>
      <c r="AH8" s="226"/>
      <c r="AI8" s="203"/>
    </row>
    <row r="9" spans="1:35" x14ac:dyDescent="0.25">
      <c r="A9" s="49" t="s">
        <v>31</v>
      </c>
      <c r="B9" s="202" t="s">
        <v>32</v>
      </c>
      <c r="C9" s="116">
        <f>AVERAGE('Netvolumenmål 2021'!C9,'Netvolumenmål 2022'!C9)</f>
        <v>36.845398242205725</v>
      </c>
      <c r="D9" s="116">
        <f>AVERAGE('Netvolumenmål 2021'!D9,'Netvolumenmål 2022'!D9)</f>
        <v>3.5402055648977727E-2</v>
      </c>
      <c r="E9" s="117">
        <f>AVERAGE('Netvolumenmål 2021'!E9,'Netvolumenmål 2022'!E9)</f>
        <v>11081483.737670245</v>
      </c>
      <c r="F9" s="118">
        <f t="shared" si="0"/>
        <v>11575442.567244468</v>
      </c>
      <c r="G9" s="117">
        <f>VLOOKUP(B9,'Costdrivere gns.'!B:AP,39,0)+VLOOKUP(B9,'Costdrivere gns.'!B:AP,40,0)+VLOOKUP(B9,'Costdrivere gns.'!B:AP,41,0)</f>
        <v>48849660.017166086</v>
      </c>
      <c r="H9" s="118">
        <f t="shared" si="1"/>
        <v>33866005.180374451</v>
      </c>
      <c r="I9" s="88">
        <f>AVERAGE('Netvolumenmål 2021'!G9,'Netvolumenmål 2022'!G9)</f>
        <v>9034635.8502000012</v>
      </c>
      <c r="J9" s="5">
        <f>AVERAGE('Netvolumenmål 2021'!H9,'Netvolumenmål 2022'!H9)</f>
        <v>22543006.889328327</v>
      </c>
      <c r="K9" s="119">
        <f>AVERAGE('Netvolumenmål 2021'!I9,'Netvolumenmål 2022'!I9)</f>
        <v>561524.21085000003</v>
      </c>
      <c r="L9" s="119">
        <f>AVERAGE('Netvolumenmål 2021'!J9,'Netvolumenmål 2022'!J9)</f>
        <v>7665977.5338810394</v>
      </c>
      <c r="M9" s="58">
        <f>AVERAGE(VLOOKUP(B9,'Netvolumenmål 2021'!B:R,10,0),VLOOKUP(B9,'Netvolumenmål 2022'!B:R,10,0))</f>
        <v>30770508.63405937</v>
      </c>
      <c r="N9" s="88">
        <f>AVERAGE(VLOOKUP(B9,'Netvolumenmål 2021'!B:R,11,0),VLOOKUP(B9,'Netvolumenmål 2022'!B:R,11,0))</f>
        <v>39805144.484259367</v>
      </c>
      <c r="O9" s="88">
        <f>AVERAGE(VLOOKUP(B9,'Netvolumenmål 2021'!B:R,12,0),VLOOKUP(B9,'Netvolumenmål 2022'!B:R,12,0))</f>
        <v>140177.58066312605</v>
      </c>
      <c r="P9" s="98">
        <f>AVERAGE(VLOOKUP(B9,'Netvolumenmål 2021'!B:R,13,0),VLOOKUP(B9,'Netvolumenmål 2022'!B:R,13,0))</f>
        <v>0</v>
      </c>
      <c r="Q9" s="98">
        <f>AVERAGE(VLOOKUP(B9,'Netvolumenmål 2021'!B:R,14,0),VLOOKUP(B9,'Netvolumenmål 2022'!B:R,14,0))</f>
        <v>0</v>
      </c>
      <c r="R9" s="121">
        <f>AVERAGE(VLOOKUP(B9,'Netvolumenmål 2021'!B:R,15,0),VLOOKUP(B9,'Netvolumenmål 2022'!B:R,15,0))</f>
        <v>9034635.8502000012</v>
      </c>
      <c r="S9" s="225">
        <f>AVERAGE(VLOOKUP(B9,'Netvolumenmål 2021'!B:R,16,0),VLOOKUP(B9,'Netvolumenmål 2022'!B:R,16,0))</f>
        <v>30630331.05339624</v>
      </c>
      <c r="T9" s="18">
        <f>AVERAGE(VLOOKUP(B9,'Netvolumenmål 2021'!B:R,17,0),VLOOKUP(B9,'Netvolumenmål 2022'!B:R,17,0))</f>
        <v>39664966.903596237</v>
      </c>
      <c r="U9" s="98"/>
      <c r="V9" s="98"/>
      <c r="W9" s="120">
        <v>36.845398242205725</v>
      </c>
      <c r="X9" s="120">
        <v>3.5402055648977727E-2</v>
      </c>
      <c r="Y9" s="121">
        <v>11081483.737670245</v>
      </c>
      <c r="Z9" s="121">
        <v>11575442.567244468</v>
      </c>
      <c r="AA9" s="121">
        <v>48849660.017166086</v>
      </c>
      <c r="AB9" s="121">
        <v>33866005.180374451</v>
      </c>
      <c r="AC9" s="121">
        <v>8974169.6715000011</v>
      </c>
      <c r="AD9" s="122">
        <v>30630331.05339624</v>
      </c>
      <c r="AE9" s="122">
        <v>39604500.724896237</v>
      </c>
      <c r="AF9" s="226"/>
      <c r="AG9" s="226"/>
      <c r="AH9" s="226"/>
      <c r="AI9" s="203"/>
    </row>
    <row r="10" spans="1:35" x14ac:dyDescent="0.25">
      <c r="A10" s="49" t="s">
        <v>33</v>
      </c>
      <c r="B10" s="202" t="s">
        <v>34</v>
      </c>
      <c r="C10" s="116">
        <f>AVERAGE('Netvolumenmål 2021'!C10,'Netvolumenmål 2022'!C10)</f>
        <v>23.184596959317162</v>
      </c>
      <c r="D10" s="116">
        <f>AVERAGE('Netvolumenmål 2021'!D10,'Netvolumenmål 2022'!D10)</f>
        <v>2.6666666666666666E-3</v>
      </c>
      <c r="E10" s="117">
        <f>AVERAGE('Netvolumenmål 2021'!E10,'Netvolumenmål 2022'!E10)</f>
        <v>127300658.42742704</v>
      </c>
      <c r="F10" s="118">
        <f t="shared" si="0"/>
        <v>114297002.51481591</v>
      </c>
      <c r="G10" s="117">
        <f>VLOOKUP(B10,'Costdrivere gns.'!B:AP,39,0)+VLOOKUP(B10,'Costdrivere gns.'!B:AP,40,0)+VLOOKUP(B10,'Costdrivere gns.'!B:AP,41,0)</f>
        <v>233751530.78202063</v>
      </c>
      <c r="H10" s="118">
        <f t="shared" si="1"/>
        <v>177044533.36133441</v>
      </c>
      <c r="I10" s="88">
        <f>AVERAGE('Netvolumenmål 2021'!G10,'Netvolumenmål 2022'!G10)</f>
        <v>182110710.752693</v>
      </c>
      <c r="J10" s="5">
        <f>AVERAGE('Netvolumenmål 2021'!H10,'Netvolumenmål 2022'!H10)</f>
        <v>38827549.510928378</v>
      </c>
      <c r="K10" s="119">
        <f>AVERAGE('Netvolumenmål 2021'!I10,'Netvolumenmål 2022'!I10)</f>
        <v>11750135.239707999</v>
      </c>
      <c r="L10" s="119">
        <f>AVERAGE('Netvolumenmål 2021'!J10,'Netvolumenmål 2022'!J10)</f>
        <v>82056231.842986524</v>
      </c>
      <c r="M10" s="58">
        <f>AVERAGE(VLOOKUP(B10,'Netvolumenmål 2021'!B:R,10,0),VLOOKUP(B10,'Netvolumenmål 2022'!B:R,10,0))</f>
        <v>132633916.59362291</v>
      </c>
      <c r="N10" s="88">
        <f>AVERAGE(VLOOKUP(B10,'Netvolumenmål 2021'!B:R,11,0),VLOOKUP(B10,'Netvolumenmål 2022'!B:R,11,0))</f>
        <v>314744627.34631592</v>
      </c>
      <c r="O10" s="88">
        <f>AVERAGE(VLOOKUP(B10,'Netvolumenmål 2021'!B:R,12,0),VLOOKUP(B10,'Netvolumenmål 2022'!B:R,12,0))</f>
        <v>212784.429015</v>
      </c>
      <c r="P10" s="98">
        <f>AVERAGE(VLOOKUP(B10,'Netvolumenmål 2021'!B:R,13,0),VLOOKUP(B10,'Netvolumenmål 2022'!B:R,13,0))</f>
        <v>0</v>
      </c>
      <c r="Q10" s="98">
        <f>AVERAGE(VLOOKUP(B10,'Netvolumenmål 2021'!B:R,14,0),VLOOKUP(B10,'Netvolumenmål 2022'!B:R,14,0))</f>
        <v>0</v>
      </c>
      <c r="R10" s="121">
        <f>AVERAGE(VLOOKUP(B10,'Netvolumenmål 2021'!B:R,15,0),VLOOKUP(B10,'Netvolumenmål 2022'!B:R,15,0))</f>
        <v>182110710.752693</v>
      </c>
      <c r="S10" s="225">
        <f>AVERAGE(VLOOKUP(B10,'Netvolumenmål 2021'!B:R,16,0),VLOOKUP(B10,'Netvolumenmål 2022'!B:R,16,0))</f>
        <v>132421132.16460791</v>
      </c>
      <c r="T10" s="18">
        <f>AVERAGE(VLOOKUP(B10,'Netvolumenmål 2021'!B:R,17,0),VLOOKUP(B10,'Netvolumenmål 2022'!B:R,17,0))</f>
        <v>314531842.91730094</v>
      </c>
      <c r="U10" s="98"/>
      <c r="V10" s="98"/>
      <c r="W10" s="120">
        <v>23.184596959317162</v>
      </c>
      <c r="X10" s="120">
        <v>2.6666666666666666E-3</v>
      </c>
      <c r="Y10" s="121">
        <v>127300658.42742704</v>
      </c>
      <c r="Z10" s="121">
        <v>114297002.51481591</v>
      </c>
      <c r="AA10" s="121">
        <v>231725274.97720951</v>
      </c>
      <c r="AB10" s="121">
        <v>175509837.4719286</v>
      </c>
      <c r="AC10" s="121">
        <v>182110710.752693</v>
      </c>
      <c r="AD10" s="122">
        <v>132421132.16460791</v>
      </c>
      <c r="AE10" s="122">
        <v>314531842.91730094</v>
      </c>
      <c r="AF10" s="226"/>
      <c r="AG10" s="226"/>
      <c r="AH10" s="226"/>
      <c r="AI10" s="203"/>
    </row>
    <row r="11" spans="1:35" x14ac:dyDescent="0.25">
      <c r="A11" s="49" t="s">
        <v>35</v>
      </c>
      <c r="B11" s="202" t="s">
        <v>36</v>
      </c>
      <c r="C11" s="116">
        <f>AVERAGE('Netvolumenmål 2021'!C11,'Netvolumenmål 2022'!C11)</f>
        <v>35.920448884170099</v>
      </c>
      <c r="D11" s="116">
        <f>AVERAGE('Netvolumenmål 2021'!D11,'Netvolumenmål 2022'!D11)</f>
        <v>1.7403411068569441E-4</v>
      </c>
      <c r="E11" s="117">
        <f>AVERAGE('Netvolumenmål 2021'!E11,'Netvolumenmål 2022'!E11)</f>
        <v>60315240.467536293</v>
      </c>
      <c r="F11" s="118">
        <f t="shared" si="0"/>
        <v>58128316.251358703</v>
      </c>
      <c r="G11" s="117">
        <f>VLOOKUP(B11,'Costdrivere gns.'!B:AP,39,0)+VLOOKUP(B11,'Costdrivere gns.'!B:AP,40,0)+VLOOKUP(B11,'Costdrivere gns.'!B:AP,41,0)</f>
        <v>78892810.952692017</v>
      </c>
      <c r="H11" s="118">
        <f t="shared" si="1"/>
        <v>54313653.505137242</v>
      </c>
      <c r="I11" s="88">
        <f>AVERAGE('Netvolumenmål 2021'!G11,'Netvolumenmål 2022'!G11)</f>
        <v>68931931.115894988</v>
      </c>
      <c r="J11" s="5">
        <f>AVERAGE('Netvolumenmål 2021'!H11,'Netvolumenmål 2022'!H11)</f>
        <v>24982065.756539296</v>
      </c>
      <c r="K11" s="119">
        <f>AVERAGE('Netvolumenmål 2021'!I11,'Netvolumenmål 2022'!I11)</f>
        <v>875986.5861215</v>
      </c>
      <c r="L11" s="119">
        <f>AVERAGE('Netvolumenmål 2021'!J11,'Netvolumenmål 2022'!J11)</f>
        <v>21334491.952243865</v>
      </c>
      <c r="M11" s="58">
        <f>AVERAGE(VLOOKUP(B11,'Netvolumenmål 2021'!B:R,10,0),VLOOKUP(B11,'Netvolumenmål 2022'!B:R,10,0))</f>
        <v>47192544.294904664</v>
      </c>
      <c r="N11" s="88">
        <f>AVERAGE(VLOOKUP(B11,'Netvolumenmål 2021'!B:R,11,0),VLOOKUP(B11,'Netvolumenmål 2022'!B:R,11,0))</f>
        <v>116124475.41079965</v>
      </c>
      <c r="O11" s="88">
        <f>AVERAGE(VLOOKUP(B11,'Netvolumenmål 2021'!B:R,12,0),VLOOKUP(B11,'Netvolumenmål 2022'!B:R,12,0))</f>
        <v>52834.781300000002</v>
      </c>
      <c r="P11" s="98">
        <f>AVERAGE(VLOOKUP(B11,'Netvolumenmål 2021'!B:R,13,0),VLOOKUP(B11,'Netvolumenmål 2022'!B:R,13,0))</f>
        <v>0</v>
      </c>
      <c r="Q11" s="98">
        <f>AVERAGE(VLOOKUP(B11,'Netvolumenmål 2021'!B:R,14,0),VLOOKUP(B11,'Netvolumenmål 2022'!B:R,14,0))</f>
        <v>0</v>
      </c>
      <c r="R11" s="121">
        <f>AVERAGE(VLOOKUP(B11,'Netvolumenmål 2021'!B:R,15,0),VLOOKUP(B11,'Netvolumenmål 2022'!B:R,15,0))</f>
        <v>68931931.115894988</v>
      </c>
      <c r="S11" s="225">
        <f>AVERAGE(VLOOKUP(B11,'Netvolumenmål 2021'!B:R,16,0),VLOOKUP(B11,'Netvolumenmål 2022'!B:R,16,0))</f>
        <v>47139709.513604656</v>
      </c>
      <c r="T11" s="18">
        <f>AVERAGE(VLOOKUP(B11,'Netvolumenmål 2021'!B:R,17,0),VLOOKUP(B11,'Netvolumenmål 2022'!B:R,17,0))</f>
        <v>116071640.62949966</v>
      </c>
      <c r="U11" s="98"/>
      <c r="V11" s="98"/>
      <c r="W11" s="120">
        <v>35.920448884170099</v>
      </c>
      <c r="X11" s="120">
        <v>1.7403411068569441E-4</v>
      </c>
      <c r="Y11" s="121">
        <v>60315240.467536293</v>
      </c>
      <c r="Z11" s="121">
        <v>58128316.251358703</v>
      </c>
      <c r="AA11" s="121">
        <v>77754181.766241744</v>
      </c>
      <c r="AB11" s="121">
        <v>53529765.716669671</v>
      </c>
      <c r="AC11" s="121">
        <v>68931931.115894988</v>
      </c>
      <c r="AD11" s="122">
        <v>47139709.513604656</v>
      </c>
      <c r="AE11" s="122">
        <v>116071640.62949966</v>
      </c>
      <c r="AF11" s="226"/>
      <c r="AG11" s="226"/>
      <c r="AH11" s="226"/>
      <c r="AI11" s="203"/>
    </row>
    <row r="12" spans="1:35" x14ac:dyDescent="0.25">
      <c r="A12" s="49" t="s">
        <v>37</v>
      </c>
      <c r="B12" s="202" t="s">
        <v>38</v>
      </c>
      <c r="C12" s="116">
        <f>AVERAGE('Netvolumenmål 2021'!C12,'Netvolumenmål 2022'!C12)</f>
        <v>37.165769653854923</v>
      </c>
      <c r="D12" s="116">
        <f>AVERAGE('Netvolumenmål 2021'!D12,'Netvolumenmål 2022'!D12)</f>
        <v>3.1647187381311996E-2</v>
      </c>
      <c r="E12" s="117">
        <f>AVERAGE('Netvolumenmål 2021'!E12,'Netvolumenmål 2022'!E12)</f>
        <v>24810169.757879466</v>
      </c>
      <c r="F12" s="118">
        <f t="shared" si="0"/>
        <v>25760473.188516121</v>
      </c>
      <c r="G12" s="117">
        <f>VLOOKUP(B12,'Costdrivere gns.'!B:AP,39,0)+VLOOKUP(B12,'Costdrivere gns.'!B:AP,40,0)+VLOOKUP(B12,'Costdrivere gns.'!B:AP,41,0)</f>
        <v>72359680.00727427</v>
      </c>
      <c r="H12" s="118">
        <f t="shared" si="1"/>
        <v>49965119.71473179</v>
      </c>
      <c r="I12" s="88">
        <f>AVERAGE('Netvolumenmål 2021'!G12,'Netvolumenmål 2022'!G12)</f>
        <v>29725869.649946</v>
      </c>
      <c r="J12" s="5">
        <f>AVERAGE('Netvolumenmål 2021'!H12,'Netvolumenmål 2022'!H12)</f>
        <v>35531804.127082825</v>
      </c>
      <c r="K12" s="119">
        <f>AVERAGE('Netvolumenmål 2021'!I12,'Netvolumenmål 2022'!I12)</f>
        <v>449911.06518600002</v>
      </c>
      <c r="L12" s="119">
        <f>AVERAGE('Netvolumenmål 2021'!J12,'Netvolumenmål 2022'!J12)</f>
        <v>7174075.7372778151</v>
      </c>
      <c r="M12" s="58">
        <f>AVERAGE(VLOOKUP(B12,'Netvolumenmål 2021'!B:R,10,0),VLOOKUP(B12,'Netvolumenmål 2022'!B:R,10,0))</f>
        <v>43155790.929546639</v>
      </c>
      <c r="N12" s="88">
        <f>AVERAGE(VLOOKUP(B12,'Netvolumenmål 2021'!B:R,11,0),VLOOKUP(B12,'Netvolumenmål 2022'!B:R,11,0))</f>
        <v>72881660.579492629</v>
      </c>
      <c r="O12" s="88">
        <f>AVERAGE(VLOOKUP(B12,'Netvolumenmål 2021'!B:R,12,0),VLOOKUP(B12,'Netvolumenmål 2022'!B:R,12,0))</f>
        <v>0</v>
      </c>
      <c r="P12" s="98">
        <f>AVERAGE(VLOOKUP(B12,'Netvolumenmål 2021'!B:R,13,0),VLOOKUP(B12,'Netvolumenmål 2022'!B:R,13,0))</f>
        <v>0</v>
      </c>
      <c r="Q12" s="98">
        <f>AVERAGE(VLOOKUP(B12,'Netvolumenmål 2021'!B:R,14,0),VLOOKUP(B12,'Netvolumenmål 2022'!B:R,14,0))</f>
        <v>0</v>
      </c>
      <c r="R12" s="121">
        <f>AVERAGE(VLOOKUP(B12,'Netvolumenmål 2021'!B:R,15,0),VLOOKUP(B12,'Netvolumenmål 2022'!B:R,15,0))</f>
        <v>29725869.649946</v>
      </c>
      <c r="S12" s="225">
        <f>AVERAGE(VLOOKUP(B12,'Netvolumenmål 2021'!B:R,16,0),VLOOKUP(B12,'Netvolumenmål 2022'!B:R,16,0))</f>
        <v>43155790.929546639</v>
      </c>
      <c r="T12" s="18">
        <f>AVERAGE(VLOOKUP(B12,'Netvolumenmål 2021'!B:R,17,0),VLOOKUP(B12,'Netvolumenmål 2022'!B:R,17,0))</f>
        <v>72881660.579492629</v>
      </c>
      <c r="U12" s="98"/>
      <c r="V12" s="98"/>
      <c r="W12" s="120">
        <v>37.165769653854923</v>
      </c>
      <c r="X12" s="120">
        <v>3.1647187381311996E-2</v>
      </c>
      <c r="Y12" s="121">
        <v>24810169.757879466</v>
      </c>
      <c r="Z12" s="121">
        <v>25760473.188516121</v>
      </c>
      <c r="AA12" s="121">
        <v>72359680.00727427</v>
      </c>
      <c r="AB12" s="121">
        <v>49965119.71473179</v>
      </c>
      <c r="AC12" s="121">
        <v>29725869.649946</v>
      </c>
      <c r="AD12" s="122">
        <v>43155790.929546639</v>
      </c>
      <c r="AE12" s="122">
        <v>72881660.579492629</v>
      </c>
      <c r="AF12" s="226"/>
      <c r="AG12" s="226"/>
      <c r="AH12" s="226"/>
      <c r="AI12" s="203"/>
    </row>
    <row r="13" spans="1:35" x14ac:dyDescent="0.25">
      <c r="A13" s="49" t="s">
        <v>39</v>
      </c>
      <c r="B13" s="202" t="s">
        <v>40</v>
      </c>
      <c r="C13" s="116">
        <f>AVERAGE('Netvolumenmål 2021'!C13,'Netvolumenmål 2022'!C13)</f>
        <v>46.958082394737133</v>
      </c>
      <c r="D13" s="116">
        <f>AVERAGE('Netvolumenmål 2021'!D13,'Netvolumenmål 2022'!D13)</f>
        <v>0.13819871794871796</v>
      </c>
      <c r="E13" s="117">
        <f>AVERAGE('Netvolumenmål 2021'!E13,'Netvolumenmål 2022'!E13)</f>
        <v>6848637.851662511</v>
      </c>
      <c r="F13" s="118">
        <f t="shared" si="0"/>
        <v>9053364.3575465232</v>
      </c>
      <c r="G13" s="117">
        <f>VLOOKUP(B13,'Costdrivere gns.'!B:AP,39,0)+VLOOKUP(B13,'Costdrivere gns.'!B:AP,40,0)+VLOOKUP(B13,'Costdrivere gns.'!B:AP,41,0)</f>
        <v>31693275.958666667</v>
      </c>
      <c r="H13" s="118">
        <f t="shared" si="1"/>
        <v>21158484.118643783</v>
      </c>
      <c r="I13" s="88">
        <f>AVERAGE('Netvolumenmål 2021'!G13,'Netvolumenmål 2022'!G13)</f>
        <v>8651144.5527000017</v>
      </c>
      <c r="J13" s="5">
        <f>AVERAGE('Netvolumenmål 2021'!H13,'Netvolumenmål 2022'!H13)</f>
        <v>23793625.392172866</v>
      </c>
      <c r="K13" s="119">
        <f>AVERAGE('Netvolumenmål 2021'!I13,'Netvolumenmål 2022'!I13)</f>
        <v>1161070.8</v>
      </c>
      <c r="L13" s="119">
        <f>AVERAGE('Netvolumenmål 2021'!J13,'Netvolumenmål 2022'!J13)</f>
        <v>7223111.2745835427</v>
      </c>
      <c r="M13" s="58">
        <f>AVERAGE(VLOOKUP(B13,'Netvolumenmål 2021'!B:R,10,0),VLOOKUP(B13,'Netvolumenmål 2022'!B:R,10,0))</f>
        <v>32177807.466756411</v>
      </c>
      <c r="N13" s="88">
        <f>AVERAGE(VLOOKUP(B13,'Netvolumenmål 2021'!B:R,11,0),VLOOKUP(B13,'Netvolumenmål 2022'!B:R,11,0))</f>
        <v>40828952.019456409</v>
      </c>
      <c r="O13" s="88">
        <f>AVERAGE(VLOOKUP(B13,'Netvolumenmål 2021'!B:R,12,0),VLOOKUP(B13,'Netvolumenmål 2022'!B:R,12,0))</f>
        <v>0</v>
      </c>
      <c r="P13" s="98">
        <f>AVERAGE(VLOOKUP(B13,'Netvolumenmål 2021'!B:R,13,0),VLOOKUP(B13,'Netvolumenmål 2022'!B:R,13,0))</f>
        <v>0</v>
      </c>
      <c r="Q13" s="98">
        <f>AVERAGE(VLOOKUP(B13,'Netvolumenmål 2021'!B:R,14,0),VLOOKUP(B13,'Netvolumenmål 2022'!B:R,14,0))</f>
        <v>0</v>
      </c>
      <c r="R13" s="121">
        <f>AVERAGE(VLOOKUP(B13,'Netvolumenmål 2021'!B:R,15,0),VLOOKUP(B13,'Netvolumenmål 2022'!B:R,15,0))</f>
        <v>8651144.5527000017</v>
      </c>
      <c r="S13" s="225">
        <f>AVERAGE(VLOOKUP(B13,'Netvolumenmål 2021'!B:R,16,0),VLOOKUP(B13,'Netvolumenmål 2022'!B:R,16,0))</f>
        <v>32177807.466756411</v>
      </c>
      <c r="T13" s="18">
        <f>AVERAGE(VLOOKUP(B13,'Netvolumenmål 2021'!B:R,17,0),VLOOKUP(B13,'Netvolumenmål 2022'!B:R,17,0))</f>
        <v>40828952.019456409</v>
      </c>
      <c r="U13" s="98"/>
      <c r="V13" s="98"/>
      <c r="W13" s="120">
        <v>46.958082394737133</v>
      </c>
      <c r="X13" s="120">
        <v>0.13819871794871796</v>
      </c>
      <c r="Y13" s="121">
        <v>6848637.851662511</v>
      </c>
      <c r="Z13" s="121">
        <v>9053364.3575465232</v>
      </c>
      <c r="AA13" s="121">
        <v>30881913.466666657</v>
      </c>
      <c r="AB13" s="121">
        <v>20616817.159890942</v>
      </c>
      <c r="AC13" s="121">
        <v>8651144.5527000017</v>
      </c>
      <c r="AD13" s="122">
        <v>32177807.466756411</v>
      </c>
      <c r="AE13" s="122">
        <v>40828952.019456409</v>
      </c>
      <c r="AF13" s="226"/>
      <c r="AG13" s="226"/>
      <c r="AH13" s="226"/>
      <c r="AI13" s="203"/>
    </row>
    <row r="14" spans="1:35" x14ac:dyDescent="0.25">
      <c r="A14" s="49" t="s">
        <v>41</v>
      </c>
      <c r="B14" s="202" t="s">
        <v>42</v>
      </c>
      <c r="C14" s="116">
        <f>AVERAGE('Netvolumenmål 2021'!C14,'Netvolumenmål 2022'!C14)</f>
        <v>35.505736098941775</v>
      </c>
      <c r="D14" s="116">
        <f>AVERAGE('Netvolumenmål 2021'!D14,'Netvolumenmål 2022'!D14)</f>
        <v>3.7016968236409611E-2</v>
      </c>
      <c r="E14" s="117">
        <f>AVERAGE('Netvolumenmål 2021'!E14,'Netvolumenmål 2022'!E14)</f>
        <v>17535332.709759451</v>
      </c>
      <c r="F14" s="118">
        <f t="shared" si="0"/>
        <v>18246380.463344652</v>
      </c>
      <c r="G14" s="117">
        <f>VLOOKUP(B14,'Costdrivere gns.'!B:AP,39,0)+VLOOKUP(B14,'Costdrivere gns.'!B:AP,40,0)+VLOOKUP(B14,'Costdrivere gns.'!B:AP,41,0)</f>
        <v>58912175.120661557</v>
      </c>
      <c r="H14" s="118">
        <f t="shared" si="1"/>
        <v>41291479.078797989</v>
      </c>
      <c r="I14" s="88">
        <f>AVERAGE('Netvolumenmål 2021'!G14,'Netvolumenmål 2022'!G14)</f>
        <v>18610332.39875</v>
      </c>
      <c r="J14" s="5">
        <f>AVERAGE('Netvolumenmål 2021'!H14,'Netvolumenmål 2022'!H14)</f>
        <v>30721237.11105866</v>
      </c>
      <c r="K14" s="119">
        <f>AVERAGE('Netvolumenmål 2021'!I14,'Netvolumenmål 2022'!I14)</f>
        <v>612676.62219999998</v>
      </c>
      <c r="L14" s="119">
        <f>AVERAGE('Netvolumenmål 2021'!J14,'Netvolumenmål 2022'!J14)</f>
        <v>7839783.4236438898</v>
      </c>
      <c r="M14" s="58">
        <f>AVERAGE(VLOOKUP(B14,'Netvolumenmål 2021'!B:R,10,0),VLOOKUP(B14,'Netvolumenmål 2022'!B:R,10,0))</f>
        <v>39173697.156902552</v>
      </c>
      <c r="N14" s="88">
        <f>AVERAGE(VLOOKUP(B14,'Netvolumenmål 2021'!B:R,11,0),VLOOKUP(B14,'Netvolumenmål 2022'!B:R,11,0))</f>
        <v>57784029.555652544</v>
      </c>
      <c r="O14" s="88">
        <f>AVERAGE(VLOOKUP(B14,'Netvolumenmål 2021'!B:R,12,0),VLOOKUP(B14,'Netvolumenmål 2022'!B:R,12,0))</f>
        <v>0</v>
      </c>
      <c r="P14" s="98">
        <f>AVERAGE(VLOOKUP(B14,'Netvolumenmål 2021'!B:R,13,0),VLOOKUP(B14,'Netvolumenmål 2022'!B:R,13,0))</f>
        <v>0</v>
      </c>
      <c r="Q14" s="98">
        <f>AVERAGE(VLOOKUP(B14,'Netvolumenmål 2021'!B:R,14,0),VLOOKUP(B14,'Netvolumenmål 2022'!B:R,14,0))</f>
        <v>0</v>
      </c>
      <c r="R14" s="121">
        <f>AVERAGE(VLOOKUP(B14,'Netvolumenmål 2021'!B:R,15,0),VLOOKUP(B14,'Netvolumenmål 2022'!B:R,15,0))</f>
        <v>18610332.39875</v>
      </c>
      <c r="S14" s="225">
        <f>AVERAGE(VLOOKUP(B14,'Netvolumenmål 2021'!B:R,16,0),VLOOKUP(B14,'Netvolumenmål 2022'!B:R,16,0))</f>
        <v>39173697.156902552</v>
      </c>
      <c r="T14" s="18">
        <f>AVERAGE(VLOOKUP(B14,'Netvolumenmål 2021'!B:R,17,0),VLOOKUP(B14,'Netvolumenmål 2022'!B:R,17,0))</f>
        <v>57784029.555652544</v>
      </c>
      <c r="U14" s="98"/>
      <c r="V14" s="98"/>
      <c r="W14" s="120">
        <v>35.505736098941775</v>
      </c>
      <c r="X14" s="120">
        <v>3.7016968236409611E-2</v>
      </c>
      <c r="Y14" s="121">
        <v>17535332.709759451</v>
      </c>
      <c r="Z14" s="121">
        <v>18246380.463344652</v>
      </c>
      <c r="AA14" s="121">
        <v>58912175.120661557</v>
      </c>
      <c r="AB14" s="121">
        <v>41291479.078797989</v>
      </c>
      <c r="AC14" s="121">
        <v>18611212.39875</v>
      </c>
      <c r="AD14" s="122">
        <v>39173697.156902552</v>
      </c>
      <c r="AE14" s="122">
        <v>57784909.555652544</v>
      </c>
      <c r="AF14" s="226"/>
      <c r="AG14" s="226"/>
      <c r="AH14" s="226"/>
      <c r="AI14" s="203"/>
    </row>
    <row r="15" spans="1:35" x14ac:dyDescent="0.25">
      <c r="A15" s="49" t="s">
        <v>43</v>
      </c>
      <c r="B15" s="202" t="s">
        <v>44</v>
      </c>
      <c r="C15" s="116">
        <f>AVERAGE('Netvolumenmål 2021'!C15,'Netvolumenmål 2022'!C15)</f>
        <v>35.446963040524835</v>
      </c>
      <c r="D15" s="116">
        <f>AVERAGE('Netvolumenmål 2021'!D15,'Netvolumenmål 2022'!D15)</f>
        <v>4.4028538614884635E-2</v>
      </c>
      <c r="E15" s="117">
        <f>AVERAGE('Netvolumenmål 2021'!E15,'Netvolumenmål 2022'!E15)</f>
        <v>19320692.584669057</v>
      </c>
      <c r="F15" s="118">
        <f t="shared" si="0"/>
        <v>20388728.948504519</v>
      </c>
      <c r="G15" s="117">
        <f>VLOOKUP(B15,'Costdrivere gns.'!B:AP,39,0)+VLOOKUP(B15,'Costdrivere gns.'!B:AP,40,0)+VLOOKUP(B15,'Costdrivere gns.'!B:AP,41,0)</f>
        <v>75092336.919979766</v>
      </c>
      <c r="H15" s="118">
        <f t="shared" si="1"/>
        <v>52801949.572324038</v>
      </c>
      <c r="I15" s="88">
        <f>AVERAGE('Netvolumenmål 2021'!G15,'Netvolumenmål 2022'!G15)</f>
        <v>17932968.448100001</v>
      </c>
      <c r="J15" s="5">
        <f>AVERAGE('Netvolumenmål 2021'!H15,'Netvolumenmål 2022'!H15)</f>
        <v>39711481.172684349</v>
      </c>
      <c r="K15" s="119">
        <f>AVERAGE('Netvolumenmål 2021'!I15,'Netvolumenmål 2022'!I15)</f>
        <v>14523.1</v>
      </c>
      <c r="L15" s="119">
        <f>AVERAGE('Netvolumenmål 2021'!J15,'Netvolumenmål 2022'!J15)</f>
        <v>9605674.8507665042</v>
      </c>
      <c r="M15" s="58">
        <f>AVERAGE(VLOOKUP(B15,'Netvolumenmål 2021'!B:R,10,0),VLOOKUP(B15,'Netvolumenmål 2022'!B:R,10,0))</f>
        <v>49331679.12345086</v>
      </c>
      <c r="N15" s="88">
        <f>AVERAGE(VLOOKUP(B15,'Netvolumenmål 2021'!B:R,11,0),VLOOKUP(B15,'Netvolumenmål 2022'!B:R,11,0))</f>
        <v>67264647.571550861</v>
      </c>
      <c r="O15" s="88">
        <f>AVERAGE(VLOOKUP(B15,'Netvolumenmål 2021'!B:R,12,0),VLOOKUP(B15,'Netvolumenmål 2022'!B:R,12,0))</f>
        <v>0</v>
      </c>
      <c r="P15" s="98">
        <f>AVERAGE(VLOOKUP(B15,'Netvolumenmål 2021'!B:R,13,0),VLOOKUP(B15,'Netvolumenmål 2022'!B:R,13,0))</f>
        <v>0</v>
      </c>
      <c r="Q15" s="98">
        <f>AVERAGE(VLOOKUP(B15,'Netvolumenmål 2021'!B:R,14,0),VLOOKUP(B15,'Netvolumenmål 2022'!B:R,14,0))</f>
        <v>0</v>
      </c>
      <c r="R15" s="121">
        <f>AVERAGE(VLOOKUP(B15,'Netvolumenmål 2021'!B:R,15,0),VLOOKUP(B15,'Netvolumenmål 2022'!B:R,15,0))</f>
        <v>17932968.448100001</v>
      </c>
      <c r="S15" s="225">
        <f>AVERAGE(VLOOKUP(B15,'Netvolumenmål 2021'!B:R,16,0),VLOOKUP(B15,'Netvolumenmål 2022'!B:R,16,0))</f>
        <v>49331679.12345086</v>
      </c>
      <c r="T15" s="18">
        <f>AVERAGE(VLOOKUP(B15,'Netvolumenmål 2021'!B:R,17,0),VLOOKUP(B15,'Netvolumenmål 2022'!B:R,17,0))</f>
        <v>67264647.571550861</v>
      </c>
      <c r="U15" s="98"/>
      <c r="V15" s="98"/>
      <c r="W15" s="120">
        <v>35.446963040524835</v>
      </c>
      <c r="X15" s="120">
        <v>4.4028538614884635E-2</v>
      </c>
      <c r="Y15" s="121">
        <v>19320692.584669057</v>
      </c>
      <c r="Z15" s="121">
        <v>20388728.948504519</v>
      </c>
      <c r="AA15" s="121">
        <v>73269482.011739284</v>
      </c>
      <c r="AB15" s="121">
        <v>51520190.382366426</v>
      </c>
      <c r="AC15" s="121">
        <v>17932968.448100001</v>
      </c>
      <c r="AD15" s="122">
        <v>49331679.12345086</v>
      </c>
      <c r="AE15" s="122">
        <v>67264647.571550861</v>
      </c>
      <c r="AF15" s="226"/>
      <c r="AG15" s="226"/>
      <c r="AH15" s="226"/>
      <c r="AI15" s="203"/>
    </row>
    <row r="16" spans="1:35" x14ac:dyDescent="0.25">
      <c r="A16" s="49" t="s">
        <v>45</v>
      </c>
      <c r="B16" s="202" t="s">
        <v>46</v>
      </c>
      <c r="C16" s="116">
        <f>AVERAGE('Netvolumenmål 2021'!C16,'Netvolumenmål 2022'!C16)</f>
        <v>35.478288760214333</v>
      </c>
      <c r="D16" s="116">
        <f>AVERAGE('Netvolumenmål 2021'!D16,'Netvolumenmål 2022'!D16)</f>
        <v>2.4239316515041825E-2</v>
      </c>
      <c r="E16" s="117">
        <f>AVERAGE('Netvolumenmål 2021'!E16,'Netvolumenmål 2022'!E16)</f>
        <v>51091274.374063224</v>
      </c>
      <c r="F16" s="118">
        <f t="shared" si="0"/>
        <v>51753076.378517769</v>
      </c>
      <c r="G16" s="117">
        <f>VLOOKUP(B16,'Costdrivere gns.'!B:AP,39,0)+VLOOKUP(B16,'Costdrivere gns.'!B:AP,40,0)+VLOOKUP(B16,'Costdrivere gns.'!B:AP,41,0)</f>
        <v>251085221.35523051</v>
      </c>
      <c r="H16" s="118">
        <f t="shared" si="1"/>
        <v>175131700.05867845</v>
      </c>
      <c r="I16" s="88">
        <f>AVERAGE('Netvolumenmål 2021'!G16,'Netvolumenmål 2022'!G16)</f>
        <v>55020762.711350001</v>
      </c>
      <c r="J16" s="5">
        <f>AVERAGE('Netvolumenmål 2021'!H16,'Netvolumenmål 2022'!H16)</f>
        <v>103406859.92415214</v>
      </c>
      <c r="K16" s="119">
        <f>AVERAGE('Netvolumenmål 2021'!I16,'Netvolumenmål 2022'!I16)</f>
        <v>392456.12809999997</v>
      </c>
      <c r="L16" s="119">
        <f>AVERAGE('Netvolumenmål 2021'!J16,'Netvolumenmål 2022'!J16)</f>
        <v>29353628.021351799</v>
      </c>
      <c r="M16" s="58">
        <f>AVERAGE(VLOOKUP(B16,'Netvolumenmål 2021'!B:R,10,0),VLOOKUP(B16,'Netvolumenmål 2022'!B:R,10,0))</f>
        <v>133152944.07360393</v>
      </c>
      <c r="N16" s="88">
        <f>AVERAGE(VLOOKUP(B16,'Netvolumenmål 2021'!B:R,11,0),VLOOKUP(B16,'Netvolumenmål 2022'!B:R,11,0))</f>
        <v>188173706.78495392</v>
      </c>
      <c r="O16" s="88">
        <f>AVERAGE(VLOOKUP(B16,'Netvolumenmål 2021'!B:R,12,0),VLOOKUP(B16,'Netvolumenmål 2022'!B:R,12,0))</f>
        <v>0</v>
      </c>
      <c r="P16" s="98">
        <f>AVERAGE(VLOOKUP(B16,'Netvolumenmål 2021'!B:R,13,0),VLOOKUP(B16,'Netvolumenmål 2022'!B:R,13,0))</f>
        <v>0</v>
      </c>
      <c r="Q16" s="98">
        <f>AVERAGE(VLOOKUP(B16,'Netvolumenmål 2021'!B:R,14,0),VLOOKUP(B16,'Netvolumenmål 2022'!B:R,14,0))</f>
        <v>0</v>
      </c>
      <c r="R16" s="121">
        <f>AVERAGE(VLOOKUP(B16,'Netvolumenmål 2021'!B:R,15,0),VLOOKUP(B16,'Netvolumenmål 2022'!B:R,15,0))</f>
        <v>55020762.711350001</v>
      </c>
      <c r="S16" s="225">
        <f>AVERAGE(VLOOKUP(B16,'Netvolumenmål 2021'!B:R,16,0),VLOOKUP(B16,'Netvolumenmål 2022'!B:R,16,0))</f>
        <v>133152944.07360393</v>
      </c>
      <c r="T16" s="18">
        <f>AVERAGE(VLOOKUP(B16,'Netvolumenmål 2021'!B:R,17,0),VLOOKUP(B16,'Netvolumenmål 2022'!B:R,17,0))</f>
        <v>188173706.78495392</v>
      </c>
      <c r="U16" s="98"/>
      <c r="V16" s="98"/>
      <c r="W16" s="120">
        <v>35.478288760214333</v>
      </c>
      <c r="X16" s="120">
        <v>2.4239316515041825E-2</v>
      </c>
      <c r="Y16" s="121">
        <v>51091274.374063224</v>
      </c>
      <c r="Z16" s="121">
        <v>51753076.378517769</v>
      </c>
      <c r="AA16" s="121">
        <v>251085221.35523051</v>
      </c>
      <c r="AB16" s="121">
        <v>175131700.05867845</v>
      </c>
      <c r="AC16" s="121">
        <v>55020762.711350001</v>
      </c>
      <c r="AD16" s="122">
        <v>133152944.07360393</v>
      </c>
      <c r="AE16" s="122">
        <v>188173706.78495392</v>
      </c>
      <c r="AF16" s="226"/>
      <c r="AG16" s="226"/>
      <c r="AH16" s="226"/>
      <c r="AI16" s="203"/>
    </row>
    <row r="17" spans="1:35" x14ac:dyDescent="0.25">
      <c r="A17" s="49" t="s">
        <v>47</v>
      </c>
      <c r="B17" s="202" t="s">
        <v>48</v>
      </c>
      <c r="C17" s="116">
        <f>AVERAGE('Netvolumenmål 2021'!C17,'Netvolumenmål 2022'!C17)</f>
        <v>36.743050723151754</v>
      </c>
      <c r="D17" s="116">
        <f>AVERAGE('Netvolumenmål 2021'!D17,'Netvolumenmål 2022'!D17)</f>
        <v>4.8091674554482003E-2</v>
      </c>
      <c r="E17" s="117">
        <f>AVERAGE('Netvolumenmål 2021'!E17,'Netvolumenmål 2022'!E17)</f>
        <v>86610192.912459105</v>
      </c>
      <c r="F17" s="118">
        <f t="shared" si="0"/>
        <v>92781698.794908538</v>
      </c>
      <c r="G17" s="117">
        <f>VLOOKUP(B17,'Costdrivere gns.'!B:AP,39,0)+VLOOKUP(B17,'Costdrivere gns.'!B:AP,40,0)+VLOOKUP(B17,'Costdrivere gns.'!B:AP,41,0)</f>
        <v>266231811.06212446</v>
      </c>
      <c r="H17" s="118">
        <f t="shared" si="1"/>
        <v>185654400.04508454</v>
      </c>
      <c r="I17" s="88">
        <f>AVERAGE('Netvolumenmål 2021'!G17,'Netvolumenmål 2022'!G17)</f>
        <v>87226460.535400003</v>
      </c>
      <c r="J17" s="5">
        <f>AVERAGE('Netvolumenmål 2021'!H17,'Netvolumenmål 2022'!H17)</f>
        <v>128237957.27631073</v>
      </c>
      <c r="K17" s="119">
        <f>AVERAGE('Netvolumenmål 2021'!I17,'Netvolumenmål 2022'!I17)</f>
        <v>8405958.8570000008</v>
      </c>
      <c r="L17" s="119">
        <f>AVERAGE('Netvolumenmål 2021'!J17,'Netvolumenmål 2022'!J17)</f>
        <v>31927183.225271657</v>
      </c>
      <c r="M17" s="58">
        <f>AVERAGE(VLOOKUP(B17,'Netvolumenmål 2021'!B:R,10,0),VLOOKUP(B17,'Netvolumenmål 2022'!B:R,10,0))</f>
        <v>168571099.35858238</v>
      </c>
      <c r="N17" s="88">
        <f>AVERAGE(VLOOKUP(B17,'Netvolumenmål 2021'!B:R,11,0),VLOOKUP(B17,'Netvolumenmål 2022'!B:R,11,0))</f>
        <v>255797559.89398238</v>
      </c>
      <c r="O17" s="88">
        <f>AVERAGE(VLOOKUP(B17,'Netvolumenmål 2021'!B:R,12,0),VLOOKUP(B17,'Netvolumenmål 2022'!B:R,12,0))</f>
        <v>0</v>
      </c>
      <c r="P17" s="98">
        <f>AVERAGE(VLOOKUP(B17,'Netvolumenmål 2021'!B:R,13,0),VLOOKUP(B17,'Netvolumenmål 2022'!B:R,13,0))</f>
        <v>0</v>
      </c>
      <c r="Q17" s="98">
        <f>AVERAGE(VLOOKUP(B17,'Netvolumenmål 2021'!B:R,14,0),VLOOKUP(B17,'Netvolumenmål 2022'!B:R,14,0))</f>
        <v>0</v>
      </c>
      <c r="R17" s="121">
        <f>AVERAGE(VLOOKUP(B17,'Netvolumenmål 2021'!B:R,15,0),VLOOKUP(B17,'Netvolumenmål 2022'!B:R,15,0))</f>
        <v>87226460.535400003</v>
      </c>
      <c r="S17" s="225">
        <f>AVERAGE(VLOOKUP(B17,'Netvolumenmål 2021'!B:R,16,0),VLOOKUP(B17,'Netvolumenmål 2022'!B:R,16,0))</f>
        <v>168571099.35858238</v>
      </c>
      <c r="T17" s="18">
        <f>AVERAGE(VLOOKUP(B17,'Netvolumenmål 2021'!B:R,17,0),VLOOKUP(B17,'Netvolumenmål 2022'!B:R,17,0))</f>
        <v>255797559.89398238</v>
      </c>
      <c r="U17" s="98"/>
      <c r="V17" s="98"/>
      <c r="W17" s="120">
        <v>36.743050723151754</v>
      </c>
      <c r="X17" s="120">
        <v>4.8091674554482003E-2</v>
      </c>
      <c r="Y17" s="121">
        <v>86610192.912459105</v>
      </c>
      <c r="Z17" s="121">
        <v>92781698.794908538</v>
      </c>
      <c r="AA17" s="121">
        <v>266231811.06212446</v>
      </c>
      <c r="AB17" s="121">
        <v>185654400.04508454</v>
      </c>
      <c r="AC17" s="121">
        <v>87226460.535400003</v>
      </c>
      <c r="AD17" s="122">
        <v>168571099.35858238</v>
      </c>
      <c r="AE17" s="122">
        <v>255797559.89398238</v>
      </c>
      <c r="AF17" s="226"/>
      <c r="AG17" s="226"/>
      <c r="AH17" s="226"/>
      <c r="AI17" s="203"/>
    </row>
    <row r="18" spans="1:35" x14ac:dyDescent="0.25">
      <c r="A18" s="49" t="s">
        <v>49</v>
      </c>
      <c r="B18" s="202" t="s">
        <v>50</v>
      </c>
      <c r="C18" s="116">
        <f>AVERAGE('Netvolumenmål 2021'!C18,'Netvolumenmål 2022'!C18)</f>
        <v>33.47727749660416</v>
      </c>
      <c r="D18" s="116">
        <f>AVERAGE('Netvolumenmål 2021'!D18,'Netvolumenmål 2022'!D18)</f>
        <v>2.6535851580489791E-2</v>
      </c>
      <c r="E18" s="117">
        <f>AVERAGE('Netvolumenmål 2021'!E18,'Netvolumenmål 2022'!E18)</f>
        <v>26363228.845243543</v>
      </c>
      <c r="F18" s="118">
        <f t="shared" si="0"/>
        <v>26539649.958071079</v>
      </c>
      <c r="G18" s="117">
        <f>VLOOKUP(B18,'Costdrivere gns.'!B:AP,39,0)+VLOOKUP(B18,'Costdrivere gns.'!B:AP,40,0)+VLOOKUP(B18,'Costdrivere gns.'!B:AP,41,0)</f>
        <v>110091849.23653254</v>
      </c>
      <c r="H18" s="118">
        <f t="shared" si="1"/>
        <v>78039923.949023843</v>
      </c>
      <c r="I18" s="88">
        <f>AVERAGE('Netvolumenmål 2021'!G18,'Netvolumenmål 2022'!G18)</f>
        <v>24461748.966200002</v>
      </c>
      <c r="J18" s="5">
        <f>AVERAGE('Netvolumenmål 2021'!H18,'Netvolumenmål 2022'!H18)</f>
        <v>53501990.966916606</v>
      </c>
      <c r="K18" s="119">
        <f>AVERAGE('Netvolumenmål 2021'!I18,'Netvolumenmål 2022'!I18)</f>
        <v>1870122.8383500001</v>
      </c>
      <c r="L18" s="119">
        <f>AVERAGE('Netvolumenmål 2021'!J18,'Netvolumenmål 2022'!J18)</f>
        <v>12144809.089721709</v>
      </c>
      <c r="M18" s="58">
        <f>AVERAGE(VLOOKUP(B18,'Netvolumenmål 2021'!B:R,10,0),VLOOKUP(B18,'Netvolumenmål 2022'!B:R,10,0))</f>
        <v>67516922.894988313</v>
      </c>
      <c r="N18" s="88">
        <f>AVERAGE(VLOOKUP(B18,'Netvolumenmål 2021'!B:R,11,0),VLOOKUP(B18,'Netvolumenmål 2022'!B:R,11,0))</f>
        <v>91978671.861188307</v>
      </c>
      <c r="O18" s="88">
        <f>AVERAGE(VLOOKUP(B18,'Netvolumenmål 2021'!B:R,12,0),VLOOKUP(B18,'Netvolumenmål 2022'!B:R,12,0))</f>
        <v>0</v>
      </c>
      <c r="P18" s="98">
        <f>AVERAGE(VLOOKUP(B18,'Netvolumenmål 2021'!B:R,13,0),VLOOKUP(B18,'Netvolumenmål 2022'!B:R,13,0))</f>
        <v>0</v>
      </c>
      <c r="Q18" s="98">
        <f>AVERAGE(VLOOKUP(B18,'Netvolumenmål 2021'!B:R,14,0),VLOOKUP(B18,'Netvolumenmål 2022'!B:R,14,0))</f>
        <v>0</v>
      </c>
      <c r="R18" s="121">
        <f>AVERAGE(VLOOKUP(B18,'Netvolumenmål 2021'!B:R,15,0),VLOOKUP(B18,'Netvolumenmål 2022'!B:R,15,0))</f>
        <v>24461748.966200002</v>
      </c>
      <c r="S18" s="225">
        <f>AVERAGE(VLOOKUP(B18,'Netvolumenmål 2021'!B:R,16,0),VLOOKUP(B18,'Netvolumenmål 2022'!B:R,16,0))</f>
        <v>67516922.894988313</v>
      </c>
      <c r="T18" s="18">
        <f>AVERAGE(VLOOKUP(B18,'Netvolumenmål 2021'!B:R,17,0),VLOOKUP(B18,'Netvolumenmål 2022'!B:R,17,0))</f>
        <v>91978671.861188307</v>
      </c>
      <c r="U18" s="98"/>
      <c r="V18" s="98"/>
      <c r="W18" s="120">
        <v>33.47727749660416</v>
      </c>
      <c r="X18" s="120">
        <v>2.6535851580489791E-2</v>
      </c>
      <c r="Y18" s="121">
        <v>26363228.845243543</v>
      </c>
      <c r="Z18" s="121">
        <v>26539649.958071079</v>
      </c>
      <c r="AA18" s="121">
        <v>110091849.23653254</v>
      </c>
      <c r="AB18" s="121">
        <v>78039923.949023843</v>
      </c>
      <c r="AC18" s="121">
        <v>24461748.966200002</v>
      </c>
      <c r="AD18" s="122">
        <v>67516922.894988313</v>
      </c>
      <c r="AE18" s="122">
        <v>91978671.861188307</v>
      </c>
      <c r="AF18" s="226"/>
      <c r="AG18" s="226"/>
      <c r="AH18" s="226"/>
      <c r="AI18" s="203"/>
    </row>
    <row r="19" spans="1:35" x14ac:dyDescent="0.25">
      <c r="A19" s="49" t="s">
        <v>51</v>
      </c>
      <c r="B19" s="202" t="s">
        <v>52</v>
      </c>
      <c r="C19" s="116">
        <f>AVERAGE('Netvolumenmål 2021'!C19,'Netvolumenmål 2022'!C19)</f>
        <v>35.247441791912095</v>
      </c>
      <c r="D19" s="116">
        <f>AVERAGE('Netvolumenmål 2021'!D19,'Netvolumenmål 2022'!D19)</f>
        <v>2.6621045297850546E-2</v>
      </c>
      <c r="E19" s="117">
        <f>AVERAGE('Netvolumenmål 2021'!E19,'Netvolumenmål 2022'!E19)</f>
        <v>10284500.050084729</v>
      </c>
      <c r="F19" s="118">
        <f t="shared" si="0"/>
        <v>10457045.250407817</v>
      </c>
      <c r="G19" s="117">
        <f>VLOOKUP(B19,'Costdrivere gns.'!B:AP,39,0)+VLOOKUP(B19,'Costdrivere gns.'!B:AP,40,0)+VLOOKUP(B19,'Costdrivere gns.'!B:AP,41,0)</f>
        <v>61614894.429563269</v>
      </c>
      <c r="H19" s="118">
        <f t="shared" si="1"/>
        <v>43093304.84109427</v>
      </c>
      <c r="I19" s="88">
        <f>AVERAGE('Netvolumenmål 2021'!G19,'Netvolumenmål 2022'!G19)</f>
        <v>7956586.5697874986</v>
      </c>
      <c r="J19" s="5">
        <f>AVERAGE('Netvolumenmål 2021'!H19,'Netvolumenmål 2022'!H19)</f>
        <v>40232755.25118947</v>
      </c>
      <c r="K19" s="119">
        <f>AVERAGE('Netvolumenmål 2021'!I19,'Netvolumenmål 2022'!I19)</f>
        <v>2028991.1207500002</v>
      </c>
      <c r="L19" s="119">
        <f>AVERAGE('Netvolumenmål 2021'!J19,'Netvolumenmål 2022'!J19)</f>
        <v>7806513.7486641053</v>
      </c>
      <c r="M19" s="58">
        <f>AVERAGE(VLOOKUP(B19,'Netvolumenmål 2021'!B:R,10,0),VLOOKUP(B19,'Netvolumenmål 2022'!B:R,10,0))</f>
        <v>50068260.120603576</v>
      </c>
      <c r="N19" s="88">
        <f>AVERAGE(VLOOKUP(B19,'Netvolumenmål 2021'!B:R,11,0),VLOOKUP(B19,'Netvolumenmål 2022'!B:R,11,0))</f>
        <v>58024846.690391071</v>
      </c>
      <c r="O19" s="88">
        <f>AVERAGE(VLOOKUP(B19,'Netvolumenmål 2021'!B:R,12,0),VLOOKUP(B19,'Netvolumenmål 2022'!B:R,12,0))</f>
        <v>0</v>
      </c>
      <c r="P19" s="98">
        <f>AVERAGE(VLOOKUP(B19,'Netvolumenmål 2021'!B:R,13,0),VLOOKUP(B19,'Netvolumenmål 2022'!B:R,13,0))</f>
        <v>0</v>
      </c>
      <c r="Q19" s="98">
        <f>AVERAGE(VLOOKUP(B19,'Netvolumenmål 2021'!B:R,14,0),VLOOKUP(B19,'Netvolumenmål 2022'!B:R,14,0))</f>
        <v>0</v>
      </c>
      <c r="R19" s="121">
        <f>AVERAGE(VLOOKUP(B19,'Netvolumenmål 2021'!B:R,15,0),VLOOKUP(B19,'Netvolumenmål 2022'!B:R,15,0))</f>
        <v>7956586.5697874986</v>
      </c>
      <c r="S19" s="225">
        <f>AVERAGE(VLOOKUP(B19,'Netvolumenmål 2021'!B:R,16,0),VLOOKUP(B19,'Netvolumenmål 2022'!B:R,16,0))</f>
        <v>50068260.120603576</v>
      </c>
      <c r="T19" s="18">
        <f>AVERAGE(VLOOKUP(B19,'Netvolumenmål 2021'!B:R,17,0),VLOOKUP(B19,'Netvolumenmål 2022'!B:R,17,0))</f>
        <v>58024846.690391071</v>
      </c>
      <c r="U19" s="98"/>
      <c r="V19" s="98"/>
      <c r="W19" s="120">
        <v>35.247441791912095</v>
      </c>
      <c r="X19" s="120">
        <v>2.6621045297850546E-2</v>
      </c>
      <c r="Y19" s="121">
        <v>10284500.050084729</v>
      </c>
      <c r="Z19" s="121">
        <v>10457045.250407817</v>
      </c>
      <c r="AA19" s="121">
        <v>59911112.801148072</v>
      </c>
      <c r="AB19" s="121">
        <v>41901684.18223092</v>
      </c>
      <c r="AC19" s="121">
        <v>7956586.5697874986</v>
      </c>
      <c r="AD19" s="122">
        <v>50068260.120603576</v>
      </c>
      <c r="AE19" s="122">
        <v>58024846.690391071</v>
      </c>
      <c r="AF19" s="226"/>
      <c r="AG19" s="226"/>
      <c r="AH19" s="226"/>
      <c r="AI19" s="203"/>
    </row>
    <row r="20" spans="1:35" x14ac:dyDescent="0.25">
      <c r="A20" s="49" t="s">
        <v>53</v>
      </c>
      <c r="B20" s="202" t="s">
        <v>54</v>
      </c>
      <c r="C20" s="116">
        <f>AVERAGE('Netvolumenmål 2021'!C20,'Netvolumenmål 2022'!C20)</f>
        <v>23.268456266203398</v>
      </c>
      <c r="D20" s="116">
        <f>AVERAGE('Netvolumenmål 2021'!D20,'Netvolumenmål 2022'!D20)</f>
        <v>0</v>
      </c>
      <c r="E20" s="117">
        <f>AVERAGE('Netvolumenmål 2021'!E20,'Netvolumenmål 2022'!E20)</f>
        <v>27912044.538708985</v>
      </c>
      <c r="F20" s="118">
        <f t="shared" si="0"/>
        <v>24914088.435313378</v>
      </c>
      <c r="G20" s="117">
        <f>VLOOKUP(B20,'Costdrivere gns.'!B:AP,39,0)+VLOOKUP(B20,'Costdrivere gns.'!B:AP,40,0)+VLOOKUP(B20,'Costdrivere gns.'!B:AP,41,0)</f>
        <v>21243255.076574337</v>
      </c>
      <c r="H20" s="118">
        <f t="shared" si="1"/>
        <v>16064469.718509182</v>
      </c>
      <c r="I20" s="88">
        <f>AVERAGE('Netvolumenmål 2021'!G20,'Netvolumenmål 2022'!G20)</f>
        <v>27275680.128300004</v>
      </c>
      <c r="J20" s="5">
        <f>AVERAGE('Netvolumenmål 2021'!H20,'Netvolumenmål 2022'!H20)</f>
        <v>4751969.2269970067</v>
      </c>
      <c r="K20" s="119">
        <f>AVERAGE('Netvolumenmål 2021'!I20,'Netvolumenmål 2022'!I20)</f>
        <v>1268357.2283000001</v>
      </c>
      <c r="L20" s="119">
        <f>AVERAGE('Netvolumenmål 2021'!J20,'Netvolumenmål 2022'!J20)</f>
        <v>6296827.7501938846</v>
      </c>
      <c r="M20" s="58">
        <f>AVERAGE(VLOOKUP(B20,'Netvolumenmål 2021'!B:R,10,0),VLOOKUP(B20,'Netvolumenmål 2022'!B:R,10,0))</f>
        <v>12317154.205490891</v>
      </c>
      <c r="N20" s="88">
        <f>AVERAGE(VLOOKUP(B20,'Netvolumenmål 2021'!B:R,11,0),VLOOKUP(B20,'Netvolumenmål 2022'!B:R,11,0))</f>
        <v>39592834.333790898</v>
      </c>
      <c r="O20" s="88">
        <f>AVERAGE(VLOOKUP(B20,'Netvolumenmål 2021'!B:R,12,0),VLOOKUP(B20,'Netvolumenmål 2022'!B:R,12,0))</f>
        <v>0</v>
      </c>
      <c r="P20" s="98">
        <f>AVERAGE(VLOOKUP(B20,'Netvolumenmål 2021'!B:R,13,0),VLOOKUP(B20,'Netvolumenmål 2022'!B:R,13,0))</f>
        <v>0</v>
      </c>
      <c r="Q20" s="98">
        <f>AVERAGE(VLOOKUP(B20,'Netvolumenmål 2021'!B:R,14,0),VLOOKUP(B20,'Netvolumenmål 2022'!B:R,14,0))</f>
        <v>0</v>
      </c>
      <c r="R20" s="121">
        <f>AVERAGE(VLOOKUP(B20,'Netvolumenmål 2021'!B:R,15,0),VLOOKUP(B20,'Netvolumenmål 2022'!B:R,15,0))</f>
        <v>27275680.128300004</v>
      </c>
      <c r="S20" s="225">
        <f>AVERAGE(VLOOKUP(B20,'Netvolumenmål 2021'!B:R,16,0),VLOOKUP(B20,'Netvolumenmål 2022'!B:R,16,0))</f>
        <v>12317154.205490891</v>
      </c>
      <c r="T20" s="18">
        <f>AVERAGE(VLOOKUP(B20,'Netvolumenmål 2021'!B:R,17,0),VLOOKUP(B20,'Netvolumenmål 2022'!B:R,17,0))</f>
        <v>39592834.333790898</v>
      </c>
      <c r="U20" s="98"/>
      <c r="V20" s="98"/>
      <c r="W20" s="120">
        <v>23.268456266203398</v>
      </c>
      <c r="X20" s="120">
        <v>0</v>
      </c>
      <c r="Y20" s="121">
        <v>27912044.538708985</v>
      </c>
      <c r="Z20" s="121">
        <v>24914088.435313378</v>
      </c>
      <c r="AA20" s="121">
        <v>20963409.711042002</v>
      </c>
      <c r="AB20" s="121">
        <v>15852846.434588972</v>
      </c>
      <c r="AC20" s="121">
        <v>27275680.128300004</v>
      </c>
      <c r="AD20" s="122">
        <v>12317154.205490891</v>
      </c>
      <c r="AE20" s="122">
        <v>39592834.333790898</v>
      </c>
      <c r="AF20" s="226"/>
      <c r="AG20" s="226"/>
      <c r="AH20" s="226"/>
      <c r="AI20" s="203"/>
    </row>
    <row r="21" spans="1:35" x14ac:dyDescent="0.25">
      <c r="A21" s="49" t="s">
        <v>55</v>
      </c>
      <c r="B21" s="202" t="s">
        <v>56</v>
      </c>
      <c r="C21" s="116">
        <f>AVERAGE('Netvolumenmål 2021'!C21,'Netvolumenmål 2022'!C21)</f>
        <v>37.055235687012093</v>
      </c>
      <c r="D21" s="116">
        <f>AVERAGE('Netvolumenmål 2021'!D21,'Netvolumenmål 2022'!D21)</f>
        <v>2.2866855803737658E-2</v>
      </c>
      <c r="E21" s="117">
        <f>AVERAGE('Netvolumenmål 2021'!E21,'Netvolumenmål 2022'!E21)</f>
        <v>39598253.317145899</v>
      </c>
      <c r="F21" s="118">
        <f t="shared" si="0"/>
        <v>40343774.963968813</v>
      </c>
      <c r="G21" s="117">
        <f>VLOOKUP(B21,'Costdrivere gns.'!B:AP,39,0)+VLOOKUP(B21,'Costdrivere gns.'!B:AP,40,0)+VLOOKUP(B21,'Costdrivere gns.'!B:AP,41,0)</f>
        <v>122442260.42089881</v>
      </c>
      <c r="H21" s="118">
        <f t="shared" si="1"/>
        <v>84321774.675241962</v>
      </c>
      <c r="I21" s="88">
        <f>AVERAGE('Netvolumenmål 2021'!G21,'Netvolumenmål 2022'!G21)</f>
        <v>36865289.118206002</v>
      </c>
      <c r="J21" s="5">
        <f>AVERAGE('Netvolumenmål 2021'!H21,'Netvolumenmål 2022'!H21)</f>
        <v>59467578.024519444</v>
      </c>
      <c r="K21" s="119">
        <f>AVERAGE('Netvolumenmål 2021'!I21,'Netvolumenmål 2022'!I21)</f>
        <v>545616.71197100007</v>
      </c>
      <c r="L21" s="119">
        <f>AVERAGE('Netvolumenmål 2021'!J21,'Netvolumenmål 2022'!J21)</f>
        <v>16191373.544897858</v>
      </c>
      <c r="M21" s="58">
        <f>AVERAGE(VLOOKUP(B21,'Netvolumenmål 2021'!B:R,10,0),VLOOKUP(B21,'Netvolumenmål 2022'!B:R,10,0))</f>
        <v>76204568.281388313</v>
      </c>
      <c r="N21" s="88">
        <f>AVERAGE(VLOOKUP(B21,'Netvolumenmål 2021'!B:R,11,0),VLOOKUP(B21,'Netvolumenmål 2022'!B:R,11,0))</f>
        <v>113069857.39959431</v>
      </c>
      <c r="O21" s="88">
        <f>AVERAGE(VLOOKUP(B21,'Netvolumenmål 2021'!B:R,12,0),VLOOKUP(B21,'Netvolumenmål 2022'!B:R,12,0))</f>
        <v>0</v>
      </c>
      <c r="P21" s="98">
        <f>AVERAGE(VLOOKUP(B21,'Netvolumenmål 2021'!B:R,13,0),VLOOKUP(B21,'Netvolumenmål 2022'!B:R,13,0))</f>
        <v>0</v>
      </c>
      <c r="Q21" s="98">
        <f>AVERAGE(VLOOKUP(B21,'Netvolumenmål 2021'!B:R,14,0),VLOOKUP(B21,'Netvolumenmål 2022'!B:R,14,0))</f>
        <v>0</v>
      </c>
      <c r="R21" s="121">
        <f>AVERAGE(VLOOKUP(B21,'Netvolumenmål 2021'!B:R,15,0),VLOOKUP(B21,'Netvolumenmål 2022'!B:R,15,0))</f>
        <v>36865289.118206002</v>
      </c>
      <c r="S21" s="225">
        <f>AVERAGE(VLOOKUP(B21,'Netvolumenmål 2021'!B:R,16,0),VLOOKUP(B21,'Netvolumenmål 2022'!B:R,16,0))</f>
        <v>76204568.281388313</v>
      </c>
      <c r="T21" s="18">
        <f>AVERAGE(VLOOKUP(B21,'Netvolumenmål 2021'!B:R,17,0),VLOOKUP(B21,'Netvolumenmål 2022'!B:R,17,0))</f>
        <v>113069857.39959431</v>
      </c>
      <c r="U21" s="98"/>
      <c r="V21" s="98"/>
      <c r="W21" s="120">
        <v>37.055235687012093</v>
      </c>
      <c r="X21" s="120">
        <v>2.2866855803737658E-2</v>
      </c>
      <c r="Y21" s="121">
        <v>39598253.317145899</v>
      </c>
      <c r="Z21" s="121">
        <v>40343774.963968813</v>
      </c>
      <c r="AA21" s="121">
        <v>122442260.42089881</v>
      </c>
      <c r="AB21" s="121">
        <v>84321774.675241962</v>
      </c>
      <c r="AC21" s="121">
        <v>36865289.118206002</v>
      </c>
      <c r="AD21" s="122">
        <v>76204568.281388313</v>
      </c>
      <c r="AE21" s="122">
        <v>113069857.39959431</v>
      </c>
      <c r="AF21" s="226"/>
      <c r="AG21" s="226"/>
      <c r="AH21" s="226"/>
      <c r="AI21" s="203"/>
    </row>
    <row r="22" spans="1:35" x14ac:dyDescent="0.25">
      <c r="A22" s="49" t="s">
        <v>57</v>
      </c>
      <c r="B22" s="202" t="s">
        <v>58</v>
      </c>
      <c r="C22" s="116">
        <f>AVERAGE('Netvolumenmål 2021'!C22,'Netvolumenmål 2022'!C22)</f>
        <v>29.322432778851834</v>
      </c>
      <c r="D22" s="116">
        <f>AVERAGE('Netvolumenmål 2021'!D22,'Netvolumenmål 2022'!D22)</f>
        <v>7.4400223066833637E-2</v>
      </c>
      <c r="E22" s="117">
        <f>AVERAGE('Netvolumenmål 2021'!E22,'Netvolumenmål 2022'!E22)</f>
        <v>33902008.836883068</v>
      </c>
      <c r="F22" s="118">
        <f t="shared" si="0"/>
        <v>36825990.923886731</v>
      </c>
      <c r="G22" s="117">
        <f>VLOOKUP(B22,'Costdrivere gns.'!B:AP,39,0)+VLOOKUP(B22,'Costdrivere gns.'!B:AP,40,0)+VLOOKUP(B22,'Costdrivere gns.'!B:AP,41,0)</f>
        <v>88950381.130663723</v>
      </c>
      <c r="H22" s="118">
        <f t="shared" si="1"/>
        <v>66216330.77075363</v>
      </c>
      <c r="I22" s="88">
        <f>AVERAGE('Netvolumenmål 2021'!G22,'Netvolumenmål 2022'!G22)</f>
        <v>43634554.777450003</v>
      </c>
      <c r="J22" s="5">
        <f>AVERAGE('Netvolumenmål 2021'!H22,'Netvolumenmål 2022'!H22)</f>
        <v>45160272.58159592</v>
      </c>
      <c r="K22" s="119">
        <f>AVERAGE('Netvolumenmål 2021'!I22,'Netvolumenmål 2022'!I22)</f>
        <v>1099734.5952000001</v>
      </c>
      <c r="L22" s="119">
        <f>AVERAGE('Netvolumenmål 2021'!J22,'Netvolumenmål 2022'!J22)</f>
        <v>18380179.261040524</v>
      </c>
      <c r="M22" s="58">
        <f>AVERAGE(VLOOKUP(B22,'Netvolumenmål 2021'!B:R,10,0),VLOOKUP(B22,'Netvolumenmål 2022'!B:R,10,0))</f>
        <v>64640186.437836438</v>
      </c>
      <c r="N22" s="88">
        <f>AVERAGE(VLOOKUP(B22,'Netvolumenmål 2021'!B:R,11,0),VLOOKUP(B22,'Netvolumenmål 2022'!B:R,11,0))</f>
        <v>108274741.21528643</v>
      </c>
      <c r="O22" s="88">
        <f>AVERAGE(VLOOKUP(B22,'Netvolumenmål 2021'!B:R,12,0),VLOOKUP(B22,'Netvolumenmål 2022'!B:R,12,0))</f>
        <v>0</v>
      </c>
      <c r="P22" s="98">
        <f>AVERAGE(VLOOKUP(B22,'Netvolumenmål 2021'!B:R,13,0),VLOOKUP(B22,'Netvolumenmål 2022'!B:R,13,0))</f>
        <v>0</v>
      </c>
      <c r="Q22" s="98">
        <f>AVERAGE(VLOOKUP(B22,'Netvolumenmål 2021'!B:R,14,0),VLOOKUP(B22,'Netvolumenmål 2022'!B:R,14,0))</f>
        <v>0</v>
      </c>
      <c r="R22" s="121">
        <f>AVERAGE(VLOOKUP(B22,'Netvolumenmål 2021'!B:R,15,0),VLOOKUP(B22,'Netvolumenmål 2022'!B:R,15,0))</f>
        <v>43634554.777450003</v>
      </c>
      <c r="S22" s="225">
        <f>AVERAGE(VLOOKUP(B22,'Netvolumenmål 2021'!B:R,16,0),VLOOKUP(B22,'Netvolumenmål 2022'!B:R,16,0))</f>
        <v>64640186.437836438</v>
      </c>
      <c r="T22" s="18">
        <f>AVERAGE(VLOOKUP(B22,'Netvolumenmål 2021'!B:R,17,0),VLOOKUP(B22,'Netvolumenmål 2022'!B:R,17,0))</f>
        <v>108274741.21528643</v>
      </c>
      <c r="U22" s="98"/>
      <c r="V22" s="98"/>
      <c r="W22" s="120">
        <v>29.322432778851834</v>
      </c>
      <c r="X22" s="120">
        <v>7.4400223066833637E-2</v>
      </c>
      <c r="Y22" s="121">
        <v>33902008.836883068</v>
      </c>
      <c r="Z22" s="121">
        <v>36825990.923886731</v>
      </c>
      <c r="AA22" s="121">
        <v>87018947.33776924</v>
      </c>
      <c r="AB22" s="121">
        <v>64778535.257497258</v>
      </c>
      <c r="AC22" s="121">
        <v>43634554.777450003</v>
      </c>
      <c r="AD22" s="122">
        <v>64640186.437836438</v>
      </c>
      <c r="AE22" s="122">
        <v>108274741.21528643</v>
      </c>
      <c r="AF22" s="226"/>
      <c r="AG22" s="226"/>
      <c r="AH22" s="226"/>
      <c r="AI22" s="203"/>
    </row>
    <row r="23" spans="1:35" x14ac:dyDescent="0.25">
      <c r="A23" s="49" t="s">
        <v>59</v>
      </c>
      <c r="B23" s="202" t="s">
        <v>60</v>
      </c>
      <c r="C23" s="116">
        <f>AVERAGE('Netvolumenmål 2021'!C23,'Netvolumenmål 2022'!C23)</f>
        <v>36.072593836111203</v>
      </c>
      <c r="D23" s="116">
        <f>AVERAGE('Netvolumenmål 2021'!D23,'Netvolumenmål 2022'!D23)</f>
        <v>5.3229786300268062E-2</v>
      </c>
      <c r="E23" s="117">
        <f>AVERAGE('Netvolumenmål 2021'!E23,'Netvolumenmål 2022'!E23)</f>
        <v>17526278.508019917</v>
      </c>
      <c r="F23" s="118">
        <f t="shared" si="0"/>
        <v>18902804.724721272</v>
      </c>
      <c r="G23" s="117">
        <f>VLOOKUP(B23,'Costdrivere gns.'!B:AP,39,0)+VLOOKUP(B23,'Costdrivere gns.'!B:AP,40,0)+VLOOKUP(B23,'Costdrivere gns.'!B:AP,41,0)</f>
        <v>58277288.203521937</v>
      </c>
      <c r="H23" s="118">
        <f t="shared" si="1"/>
        <v>40931701.011476949</v>
      </c>
      <c r="I23" s="88">
        <f>AVERAGE('Netvolumenmål 2021'!G23,'Netvolumenmål 2022'!G23)</f>
        <v>15137676.386296999</v>
      </c>
      <c r="J23" s="5">
        <f>AVERAGE('Netvolumenmål 2021'!H23,'Netvolumenmål 2022'!H23)</f>
        <v>31751446.102940407</v>
      </c>
      <c r="K23" s="119">
        <f>AVERAGE('Netvolumenmål 2021'!I23,'Netvolumenmål 2022'!I23)</f>
        <v>2183519.2809815002</v>
      </c>
      <c r="L23" s="119">
        <f>AVERAGE('Netvolumenmål 2021'!J23,'Netvolumenmål 2022'!J23)</f>
        <v>8877758.8054791801</v>
      </c>
      <c r="M23" s="58">
        <f>AVERAGE(VLOOKUP(B23,'Netvolumenmål 2021'!B:R,10,0),VLOOKUP(B23,'Netvolumenmål 2022'!B:R,10,0))</f>
        <v>42812724.18940109</v>
      </c>
      <c r="N23" s="88">
        <f>AVERAGE(VLOOKUP(B23,'Netvolumenmål 2021'!B:R,11,0),VLOOKUP(B23,'Netvolumenmål 2022'!B:R,11,0))</f>
        <v>57950400.575698085</v>
      </c>
      <c r="O23" s="88">
        <f>AVERAGE(VLOOKUP(B23,'Netvolumenmål 2021'!B:R,12,0),VLOOKUP(B23,'Netvolumenmål 2022'!B:R,12,0))</f>
        <v>0</v>
      </c>
      <c r="P23" s="98">
        <f>AVERAGE(VLOOKUP(B23,'Netvolumenmål 2021'!B:R,13,0),VLOOKUP(B23,'Netvolumenmål 2022'!B:R,13,0))</f>
        <v>0</v>
      </c>
      <c r="Q23" s="98">
        <f>AVERAGE(VLOOKUP(B23,'Netvolumenmål 2021'!B:R,14,0),VLOOKUP(B23,'Netvolumenmål 2022'!B:R,14,0))</f>
        <v>0</v>
      </c>
      <c r="R23" s="121">
        <f>AVERAGE(VLOOKUP(B23,'Netvolumenmål 2021'!B:R,15,0),VLOOKUP(B23,'Netvolumenmål 2022'!B:R,15,0))</f>
        <v>15137676.386296999</v>
      </c>
      <c r="S23" s="225">
        <f>AVERAGE(VLOOKUP(B23,'Netvolumenmål 2021'!B:R,16,0),VLOOKUP(B23,'Netvolumenmål 2022'!B:R,16,0))</f>
        <v>42812724.18940109</v>
      </c>
      <c r="T23" s="18">
        <f>AVERAGE(VLOOKUP(B23,'Netvolumenmål 2021'!B:R,17,0),VLOOKUP(B23,'Netvolumenmål 2022'!B:R,17,0))</f>
        <v>57950400.575698085</v>
      </c>
      <c r="U23" s="98"/>
      <c r="V23" s="98"/>
      <c r="W23" s="120">
        <v>36.072593836111203</v>
      </c>
      <c r="X23" s="120">
        <v>5.3229786300268062E-2</v>
      </c>
      <c r="Y23" s="121">
        <v>17526278.508019917</v>
      </c>
      <c r="Z23" s="121">
        <v>18902804.724721272</v>
      </c>
      <c r="AA23" s="121">
        <v>56671697.509063959</v>
      </c>
      <c r="AB23" s="121">
        <v>39803996.544123374</v>
      </c>
      <c r="AC23" s="121">
        <v>15137676.386296999</v>
      </c>
      <c r="AD23" s="122">
        <v>42812724.18940109</v>
      </c>
      <c r="AE23" s="122">
        <v>57950400.575698085</v>
      </c>
      <c r="AF23" s="226"/>
      <c r="AG23" s="226"/>
      <c r="AH23" s="226"/>
      <c r="AI23" s="203"/>
    </row>
    <row r="24" spans="1:35" x14ac:dyDescent="0.25">
      <c r="A24" s="49" t="s">
        <v>61</v>
      </c>
      <c r="B24" s="202" t="s">
        <v>62</v>
      </c>
      <c r="C24" s="116">
        <f>AVERAGE('Netvolumenmål 2021'!C24,'Netvolumenmål 2022'!C24)</f>
        <v>32.372663345234088</v>
      </c>
      <c r="D24" s="116">
        <f>AVERAGE('Netvolumenmål 2021'!D24,'Netvolumenmål 2022'!D24)</f>
        <v>4.0825464146867524E-2</v>
      </c>
      <c r="E24" s="117">
        <f>AVERAGE('Netvolumenmål 2021'!E24,'Netvolumenmål 2022'!E24)</f>
        <v>43762554.776704893</v>
      </c>
      <c r="F24" s="118">
        <f t="shared" si="0"/>
        <v>45128057.121917002</v>
      </c>
      <c r="G24" s="117">
        <f>VLOOKUP(B24,'Costdrivere gns.'!B:AP,39,0)+VLOOKUP(B24,'Costdrivere gns.'!B:AP,40,0)+VLOOKUP(B24,'Costdrivere gns.'!B:AP,41,0)</f>
        <v>129656791.1836967</v>
      </c>
      <c r="H24" s="118">
        <f t="shared" si="1"/>
        <v>93190739.253484875</v>
      </c>
      <c r="I24" s="88">
        <f>AVERAGE('Netvolumenmål 2021'!G24,'Netvolumenmål 2022'!G24)</f>
        <v>46049181.970850006</v>
      </c>
      <c r="J24" s="5">
        <f>AVERAGE('Netvolumenmål 2021'!H24,'Netvolumenmål 2022'!H24)</f>
        <v>64662123.325989574</v>
      </c>
      <c r="K24" s="119">
        <f>AVERAGE('Netvolumenmål 2021'!I24,'Netvolumenmål 2022'!I24)</f>
        <v>2183716.0499999998</v>
      </c>
      <c r="L24" s="119">
        <f>AVERAGE('Netvolumenmål 2021'!J24,'Netvolumenmål 2022'!J24)</f>
        <v>19864804.127607703</v>
      </c>
      <c r="M24" s="58">
        <f>AVERAGE(VLOOKUP(B24,'Netvolumenmål 2021'!B:R,10,0),VLOOKUP(B24,'Netvolumenmål 2022'!B:R,10,0))</f>
        <v>86710643.50359726</v>
      </c>
      <c r="N24" s="88">
        <f>AVERAGE(VLOOKUP(B24,'Netvolumenmål 2021'!B:R,11,0),VLOOKUP(B24,'Netvolumenmål 2022'!B:R,11,0))</f>
        <v>132759825.47444727</v>
      </c>
      <c r="O24" s="88">
        <f>AVERAGE(VLOOKUP(B24,'Netvolumenmål 2021'!B:R,12,0),VLOOKUP(B24,'Netvolumenmål 2022'!B:R,12,0))</f>
        <v>0</v>
      </c>
      <c r="P24" s="98">
        <f>AVERAGE(VLOOKUP(B24,'Netvolumenmål 2021'!B:R,13,0),VLOOKUP(B24,'Netvolumenmål 2022'!B:R,13,0))</f>
        <v>0</v>
      </c>
      <c r="Q24" s="98">
        <f>AVERAGE(VLOOKUP(B24,'Netvolumenmål 2021'!B:R,14,0),VLOOKUP(B24,'Netvolumenmål 2022'!B:R,14,0))</f>
        <v>0</v>
      </c>
      <c r="R24" s="121">
        <f>AVERAGE(VLOOKUP(B24,'Netvolumenmål 2021'!B:R,15,0),VLOOKUP(B24,'Netvolumenmål 2022'!B:R,15,0))</f>
        <v>46049181.970850006</v>
      </c>
      <c r="S24" s="225">
        <f>AVERAGE(VLOOKUP(B24,'Netvolumenmål 2021'!B:R,16,0),VLOOKUP(B24,'Netvolumenmål 2022'!B:R,16,0))</f>
        <v>86710643.50359726</v>
      </c>
      <c r="T24" s="18">
        <f>AVERAGE(VLOOKUP(B24,'Netvolumenmål 2021'!B:R,17,0),VLOOKUP(B24,'Netvolumenmål 2022'!B:R,17,0))</f>
        <v>132759825.47444727</v>
      </c>
      <c r="U24" s="98"/>
      <c r="V24" s="98"/>
      <c r="W24" s="120">
        <v>32.372663345234088</v>
      </c>
      <c r="X24" s="120">
        <v>4.0825464146867524E-2</v>
      </c>
      <c r="Y24" s="121">
        <v>43762554.776704893</v>
      </c>
      <c r="Z24" s="121">
        <v>45128057.121917002</v>
      </c>
      <c r="AA24" s="121">
        <v>129656791.1836967</v>
      </c>
      <c r="AB24" s="121">
        <v>93190739.253484875</v>
      </c>
      <c r="AC24" s="121">
        <v>46049181.970850006</v>
      </c>
      <c r="AD24" s="122">
        <v>86710643.50359726</v>
      </c>
      <c r="AE24" s="122">
        <v>132759825.47444727</v>
      </c>
      <c r="AF24" s="226"/>
      <c r="AG24" s="226"/>
      <c r="AH24" s="226"/>
      <c r="AI24" s="203"/>
    </row>
    <row r="25" spans="1:35" x14ac:dyDescent="0.25">
      <c r="A25" s="49" t="s">
        <v>63</v>
      </c>
      <c r="B25" s="202" t="s">
        <v>64</v>
      </c>
      <c r="C25" s="116">
        <f>AVERAGE('Netvolumenmål 2021'!C25,'Netvolumenmål 2022'!C25)</f>
        <v>26.699622546775135</v>
      </c>
      <c r="D25" s="116">
        <f>AVERAGE('Netvolumenmål 2021'!D25,'Netvolumenmål 2022'!D25)</f>
        <v>0.32147051130062293</v>
      </c>
      <c r="E25" s="117">
        <f>AVERAGE('Netvolumenmål 2021'!E25,'Netvolumenmål 2022'!E25)</f>
        <v>14279347.307743311</v>
      </c>
      <c r="F25" s="118">
        <f t="shared" si="0"/>
        <v>22878497.423292961</v>
      </c>
      <c r="G25" s="117">
        <f>VLOOKUP(B25,'Costdrivere gns.'!B:AP,39,0)+VLOOKUP(B25,'Costdrivere gns.'!B:AP,40,0)+VLOOKUP(B25,'Costdrivere gns.'!B:AP,41,0)</f>
        <v>48114547.267114051</v>
      </c>
      <c r="H25" s="118">
        <f t="shared" si="1"/>
        <v>39793713.056373462</v>
      </c>
      <c r="I25" s="88">
        <f>AVERAGE('Netvolumenmål 2021'!G25,'Netvolumenmål 2022'!G25)</f>
        <v>23400036.258790504</v>
      </c>
      <c r="J25" s="5">
        <f>AVERAGE('Netvolumenmål 2021'!H25,'Netvolumenmål 2022'!H25)</f>
        <v>18290344.981068507</v>
      </c>
      <c r="K25" s="119">
        <f>AVERAGE('Netvolumenmål 2021'!I25,'Netvolumenmål 2022'!I25)</f>
        <v>5165634.8298714999</v>
      </c>
      <c r="L25" s="119">
        <f>AVERAGE('Netvolumenmål 2021'!J25,'Netvolumenmål 2022'!J25)</f>
        <v>10223952.812305897</v>
      </c>
      <c r="M25" s="58">
        <f>AVERAGE(VLOOKUP(B25,'Netvolumenmål 2021'!B:R,10,0),VLOOKUP(B25,'Netvolumenmål 2022'!B:R,10,0))</f>
        <v>33679932.62324591</v>
      </c>
      <c r="N25" s="88">
        <f>AVERAGE(VLOOKUP(B25,'Netvolumenmål 2021'!B:R,11,0),VLOOKUP(B25,'Netvolumenmål 2022'!B:R,11,0))</f>
        <v>57079968.88203641</v>
      </c>
      <c r="O25" s="88">
        <f>AVERAGE(VLOOKUP(B25,'Netvolumenmål 2021'!B:R,12,0),VLOOKUP(B25,'Netvolumenmål 2022'!B:R,12,0))</f>
        <v>234952.66666666666</v>
      </c>
      <c r="P25" s="98">
        <f>AVERAGE(VLOOKUP(B25,'Netvolumenmål 2021'!B:R,13,0),VLOOKUP(B25,'Netvolumenmål 2022'!B:R,13,0))</f>
        <v>0</v>
      </c>
      <c r="Q25" s="98">
        <f>AVERAGE(VLOOKUP(B25,'Netvolumenmål 2021'!B:R,14,0),VLOOKUP(B25,'Netvolumenmål 2022'!B:R,14,0))</f>
        <v>0</v>
      </c>
      <c r="R25" s="121">
        <f>AVERAGE(VLOOKUP(B25,'Netvolumenmål 2021'!B:R,15,0),VLOOKUP(B25,'Netvolumenmål 2022'!B:R,15,0))</f>
        <v>23400036.258790504</v>
      </c>
      <c r="S25" s="225">
        <f>AVERAGE(VLOOKUP(B25,'Netvolumenmål 2021'!B:R,16,0),VLOOKUP(B25,'Netvolumenmål 2022'!B:R,16,0))</f>
        <v>33444979.956579238</v>
      </c>
      <c r="T25" s="18">
        <f>AVERAGE(VLOOKUP(B25,'Netvolumenmål 2021'!B:R,17,0),VLOOKUP(B25,'Netvolumenmål 2022'!B:R,17,0))</f>
        <v>56845016.215369746</v>
      </c>
      <c r="U25" s="98"/>
      <c r="V25" s="98"/>
      <c r="W25" s="120">
        <v>26.699622546775135</v>
      </c>
      <c r="X25" s="120">
        <v>0.32147051130062293</v>
      </c>
      <c r="Y25" s="121">
        <v>14279347.307743311</v>
      </c>
      <c r="Z25" s="121">
        <v>22878497.423292961</v>
      </c>
      <c r="AA25" s="121">
        <v>46842215.665619001</v>
      </c>
      <c r="AB25" s="121">
        <v>38741415.954181753</v>
      </c>
      <c r="AC25" s="121">
        <v>26711223.073790506</v>
      </c>
      <c r="AD25" s="122">
        <v>33444979.956579238</v>
      </c>
      <c r="AE25" s="122">
        <v>60156203.030369744</v>
      </c>
      <c r="AF25" s="226"/>
      <c r="AG25" s="226"/>
      <c r="AH25" s="226"/>
      <c r="AI25" s="203"/>
    </row>
    <row r="26" spans="1:35" x14ac:dyDescent="0.25">
      <c r="A26" s="49" t="s">
        <v>65</v>
      </c>
      <c r="B26" s="202" t="s">
        <v>66</v>
      </c>
      <c r="C26" s="116">
        <f>AVERAGE('Netvolumenmål 2021'!C26,'Netvolumenmål 2022'!C26)</f>
        <v>34.228523802626782</v>
      </c>
      <c r="D26" s="116">
        <f>AVERAGE('Netvolumenmål 2021'!D26,'Netvolumenmål 2022'!D26)</f>
        <v>4.746601659790349E-2</v>
      </c>
      <c r="E26" s="117">
        <f>AVERAGE('Netvolumenmål 2021'!E26,'Netvolumenmål 2022'!E26)</f>
        <v>62948859.113450415</v>
      </c>
      <c r="F26" s="118">
        <f t="shared" si="0"/>
        <v>66464309.031006783</v>
      </c>
      <c r="G26" s="117">
        <f>VLOOKUP(B26,'Costdrivere gns.'!B:AP,39,0)+VLOOKUP(B26,'Costdrivere gns.'!B:AP,40,0)+VLOOKUP(B26,'Costdrivere gns.'!B:AP,41,0)</f>
        <v>146227501.82225022</v>
      </c>
      <c r="H26" s="118">
        <f t="shared" si="1"/>
        <v>103915893.68032512</v>
      </c>
      <c r="I26" s="88">
        <f>AVERAGE('Netvolumenmål 2021'!G26,'Netvolumenmål 2022'!G26)</f>
        <v>69650828.943650007</v>
      </c>
      <c r="J26" s="5">
        <f>AVERAGE('Netvolumenmål 2021'!H26,'Netvolumenmål 2022'!H26)</f>
        <v>77789696.039507717</v>
      </c>
      <c r="K26" s="119">
        <f>AVERAGE('Netvolumenmål 2021'!I26,'Netvolumenmål 2022'!I26)</f>
        <v>5225845.7</v>
      </c>
      <c r="L26" s="119">
        <f>AVERAGE('Netvolumenmål 2021'!J26,'Netvolumenmål 2022'!J26)</f>
        <v>18536944.848071843</v>
      </c>
      <c r="M26" s="58">
        <f>AVERAGE(VLOOKUP(B26,'Netvolumenmål 2021'!B:R,10,0),VLOOKUP(B26,'Netvolumenmål 2022'!B:R,10,0))</f>
        <v>101552486.58757955</v>
      </c>
      <c r="N26" s="88">
        <f>AVERAGE(VLOOKUP(B26,'Netvolumenmål 2021'!B:R,11,0),VLOOKUP(B26,'Netvolumenmål 2022'!B:R,11,0))</f>
        <v>171203315.53122956</v>
      </c>
      <c r="O26" s="88">
        <f>AVERAGE(VLOOKUP(B26,'Netvolumenmål 2021'!B:R,12,0),VLOOKUP(B26,'Netvolumenmål 2022'!B:R,12,0))</f>
        <v>0</v>
      </c>
      <c r="P26" s="98">
        <f>AVERAGE(VLOOKUP(B26,'Netvolumenmål 2021'!B:R,13,0),VLOOKUP(B26,'Netvolumenmål 2022'!B:R,13,0))</f>
        <v>0</v>
      </c>
      <c r="Q26" s="98">
        <f>AVERAGE(VLOOKUP(B26,'Netvolumenmål 2021'!B:R,14,0),VLOOKUP(B26,'Netvolumenmål 2022'!B:R,14,0))</f>
        <v>0</v>
      </c>
      <c r="R26" s="121">
        <f>AVERAGE(VLOOKUP(B26,'Netvolumenmål 2021'!B:R,15,0),VLOOKUP(B26,'Netvolumenmål 2022'!B:R,15,0))</f>
        <v>69650828.943650007</v>
      </c>
      <c r="S26" s="225">
        <f>AVERAGE(VLOOKUP(B26,'Netvolumenmål 2021'!B:R,16,0),VLOOKUP(B26,'Netvolumenmål 2022'!B:R,16,0))</f>
        <v>101552486.58757955</v>
      </c>
      <c r="T26" s="18">
        <f>AVERAGE(VLOOKUP(B26,'Netvolumenmål 2021'!B:R,17,0),VLOOKUP(B26,'Netvolumenmål 2022'!B:R,17,0))</f>
        <v>171203315.53122956</v>
      </c>
      <c r="U26" s="98"/>
      <c r="V26" s="98"/>
      <c r="W26" s="120">
        <v>34.228523802626782</v>
      </c>
      <c r="X26" s="120">
        <v>4.746601659790349E-2</v>
      </c>
      <c r="Y26" s="121">
        <v>62948859.113450415</v>
      </c>
      <c r="Z26" s="121">
        <v>66464309.031006783</v>
      </c>
      <c r="AA26" s="121">
        <v>146227501.82225022</v>
      </c>
      <c r="AB26" s="121">
        <v>103915893.68032512</v>
      </c>
      <c r="AC26" s="121">
        <v>69650828.943650007</v>
      </c>
      <c r="AD26" s="122">
        <v>101552486.58757955</v>
      </c>
      <c r="AE26" s="122">
        <v>171203315.53122956</v>
      </c>
      <c r="AF26" s="226"/>
      <c r="AG26" s="226"/>
      <c r="AH26" s="226"/>
      <c r="AI26" s="203"/>
    </row>
    <row r="27" spans="1:35" x14ac:dyDescent="0.25">
      <c r="A27" s="49" t="s">
        <v>67</v>
      </c>
      <c r="B27" s="202" t="s">
        <v>68</v>
      </c>
      <c r="C27" s="116">
        <f>AVERAGE('Netvolumenmål 2021'!C27,'Netvolumenmål 2022'!C27)</f>
        <v>35.725268762529197</v>
      </c>
      <c r="D27" s="116">
        <f>AVERAGE('Netvolumenmål 2021'!D27,'Netvolumenmål 2022'!D27)</f>
        <v>4.2359402600504824E-2</v>
      </c>
      <c r="E27" s="117">
        <f>AVERAGE('Netvolumenmål 2021'!E27,'Netvolumenmål 2022'!E27)</f>
        <v>31644142.904401712</v>
      </c>
      <c r="F27" s="118">
        <f t="shared" si="0"/>
        <v>33329239.158290919</v>
      </c>
      <c r="G27" s="117">
        <f>VLOOKUP(B27,'Costdrivere gns.'!B:AP,39,0)+VLOOKUP(B27,'Costdrivere gns.'!B:AP,40,0)+VLOOKUP(B27,'Costdrivere gns.'!B:AP,41,0)</f>
        <v>83329094.020706654</v>
      </c>
      <c r="H27" s="118">
        <f t="shared" si="1"/>
        <v>58430796.795045301</v>
      </c>
      <c r="I27" s="88">
        <f>AVERAGE('Netvolumenmål 2021'!G27,'Netvolumenmål 2022'!G27)</f>
        <v>26260611.562600002</v>
      </c>
      <c r="J27" s="5">
        <f>AVERAGE('Netvolumenmål 2021'!H27,'Netvolumenmål 2022'!H27)</f>
        <v>39925796.567173883</v>
      </c>
      <c r="K27" s="119">
        <f>AVERAGE('Netvolumenmål 2021'!I27,'Netvolumenmål 2022'!I27)</f>
        <v>1778281.9</v>
      </c>
      <c r="L27" s="119">
        <f>AVERAGE('Netvolumenmål 2021'!J27,'Netvolumenmål 2022'!J27)</f>
        <v>17141868.125528976</v>
      </c>
      <c r="M27" s="58">
        <f>AVERAGE(VLOOKUP(B27,'Netvolumenmål 2021'!B:R,10,0),VLOOKUP(B27,'Netvolumenmål 2022'!B:R,10,0))</f>
        <v>58845946.592702851</v>
      </c>
      <c r="N27" s="88">
        <f>AVERAGE(VLOOKUP(B27,'Netvolumenmål 2021'!B:R,11,0),VLOOKUP(B27,'Netvolumenmål 2022'!B:R,11,0))</f>
        <v>85106558.155302852</v>
      </c>
      <c r="O27" s="88">
        <f>AVERAGE(VLOOKUP(B27,'Netvolumenmål 2021'!B:R,12,0),VLOOKUP(B27,'Netvolumenmål 2022'!B:R,12,0))</f>
        <v>0</v>
      </c>
      <c r="P27" s="98">
        <f>AVERAGE(VLOOKUP(B27,'Netvolumenmål 2021'!B:R,13,0),VLOOKUP(B27,'Netvolumenmål 2022'!B:R,13,0))</f>
        <v>0</v>
      </c>
      <c r="Q27" s="98">
        <f>AVERAGE(VLOOKUP(B27,'Netvolumenmål 2021'!B:R,14,0),VLOOKUP(B27,'Netvolumenmål 2022'!B:R,14,0))</f>
        <v>0</v>
      </c>
      <c r="R27" s="121">
        <f>AVERAGE(VLOOKUP(B27,'Netvolumenmål 2021'!B:R,15,0),VLOOKUP(B27,'Netvolumenmål 2022'!B:R,15,0))</f>
        <v>26260611.562600002</v>
      </c>
      <c r="S27" s="225">
        <f>AVERAGE(VLOOKUP(B27,'Netvolumenmål 2021'!B:R,16,0),VLOOKUP(B27,'Netvolumenmål 2022'!B:R,16,0))</f>
        <v>58845946.592702851</v>
      </c>
      <c r="T27" s="18">
        <f>AVERAGE(VLOOKUP(B27,'Netvolumenmål 2021'!B:R,17,0),VLOOKUP(B27,'Netvolumenmål 2022'!B:R,17,0))</f>
        <v>85106558.155302852</v>
      </c>
      <c r="U27" s="98"/>
      <c r="V27" s="98"/>
      <c r="W27" s="120">
        <v>35.725268762529197</v>
      </c>
      <c r="X27" s="120">
        <v>4.2359402600504824E-2</v>
      </c>
      <c r="Y27" s="121">
        <v>31644142.904401712</v>
      </c>
      <c r="Z27" s="121">
        <v>33329239.158290919</v>
      </c>
      <c r="AA27" s="121">
        <v>81357196.556453779</v>
      </c>
      <c r="AB27" s="121">
        <v>57048091.974016123</v>
      </c>
      <c r="AC27" s="121">
        <v>26260611.562600002</v>
      </c>
      <c r="AD27" s="122">
        <v>58845946.592702851</v>
      </c>
      <c r="AE27" s="122">
        <v>85106558.155302852</v>
      </c>
      <c r="AF27" s="226"/>
      <c r="AG27" s="226"/>
      <c r="AH27" s="226"/>
      <c r="AI27" s="203"/>
    </row>
    <row r="28" spans="1:35" x14ac:dyDescent="0.25">
      <c r="A28" s="49" t="s">
        <v>69</v>
      </c>
      <c r="B28" s="202" t="s">
        <v>70</v>
      </c>
      <c r="C28" s="116">
        <f>AVERAGE('Netvolumenmål 2021'!C28,'Netvolumenmål 2022'!C28)</f>
        <v>39.794364006445122</v>
      </c>
      <c r="D28" s="116">
        <f>AVERAGE('Netvolumenmål 2021'!D28,'Netvolumenmål 2022'!D28)</f>
        <v>7.1316760548071165E-2</v>
      </c>
      <c r="E28" s="117">
        <f>AVERAGE('Netvolumenmål 2021'!E28,'Netvolumenmål 2022'!E28)</f>
        <v>16463538.069495991</v>
      </c>
      <c r="F28" s="118">
        <f t="shared" si="0"/>
        <v>18738892.525176287</v>
      </c>
      <c r="G28" s="117">
        <f>VLOOKUP(B28,'Costdrivere gns.'!B:AP,39,0)+VLOOKUP(B28,'Costdrivere gns.'!B:AP,40,0)+VLOOKUP(B28,'Costdrivere gns.'!B:AP,41,0)</f>
        <v>64275231.742445588</v>
      </c>
      <c r="H28" s="118">
        <f t="shared" si="1"/>
        <v>44184930.965052351</v>
      </c>
      <c r="I28" s="88">
        <f>AVERAGE('Netvolumenmål 2021'!G28,'Netvolumenmål 2022'!G28)</f>
        <v>18110178.112850003</v>
      </c>
      <c r="J28" s="5">
        <f>AVERAGE('Netvolumenmål 2021'!H28,'Netvolumenmål 2022'!H28)</f>
        <v>23391771.182338051</v>
      </c>
      <c r="K28" s="119">
        <f>AVERAGE('Netvolumenmål 2021'!I28,'Netvolumenmål 2022'!I28)</f>
        <v>1496719.2000000002</v>
      </c>
      <c r="L28" s="119">
        <f>AVERAGE('Netvolumenmål 2021'!J28,'Netvolumenmål 2022'!J28)</f>
        <v>9416012.9390927628</v>
      </c>
      <c r="M28" s="58">
        <f>AVERAGE(VLOOKUP(B28,'Netvolumenmål 2021'!B:R,10,0),VLOOKUP(B28,'Netvolumenmål 2022'!B:R,10,0))</f>
        <v>34304503.321430817</v>
      </c>
      <c r="N28" s="88">
        <f>AVERAGE(VLOOKUP(B28,'Netvolumenmål 2021'!B:R,11,0),VLOOKUP(B28,'Netvolumenmål 2022'!B:R,11,0))</f>
        <v>52414681.434280813</v>
      </c>
      <c r="O28" s="88">
        <f>AVERAGE(VLOOKUP(B28,'Netvolumenmål 2021'!B:R,12,0),VLOOKUP(B28,'Netvolumenmål 2022'!B:R,12,0))</f>
        <v>0</v>
      </c>
      <c r="P28" s="98">
        <f>AVERAGE(VLOOKUP(B28,'Netvolumenmål 2021'!B:R,13,0),VLOOKUP(B28,'Netvolumenmål 2022'!B:R,13,0))</f>
        <v>0</v>
      </c>
      <c r="Q28" s="98">
        <f>AVERAGE(VLOOKUP(B28,'Netvolumenmål 2021'!B:R,14,0),VLOOKUP(B28,'Netvolumenmål 2022'!B:R,14,0))</f>
        <v>0</v>
      </c>
      <c r="R28" s="121">
        <f>AVERAGE(VLOOKUP(B28,'Netvolumenmål 2021'!B:R,15,0),VLOOKUP(B28,'Netvolumenmål 2022'!B:R,15,0))</f>
        <v>18110178.112850003</v>
      </c>
      <c r="S28" s="225">
        <f>AVERAGE(VLOOKUP(B28,'Netvolumenmål 2021'!B:R,16,0),VLOOKUP(B28,'Netvolumenmål 2022'!B:R,16,0))</f>
        <v>34304503.321430817</v>
      </c>
      <c r="T28" s="18">
        <f>AVERAGE(VLOOKUP(B28,'Netvolumenmål 2021'!B:R,17,0),VLOOKUP(B28,'Netvolumenmål 2022'!B:R,17,0))</f>
        <v>52414681.434280813</v>
      </c>
      <c r="U28" s="98"/>
      <c r="V28" s="98"/>
      <c r="W28" s="120">
        <v>39.794364006445122</v>
      </c>
      <c r="X28" s="120">
        <v>7.1316760548071165E-2</v>
      </c>
      <c r="Y28" s="121">
        <v>16463538.069495991</v>
      </c>
      <c r="Z28" s="121">
        <v>18738892.525176287</v>
      </c>
      <c r="AA28" s="121">
        <v>62660036.179855406</v>
      </c>
      <c r="AB28" s="121">
        <v>43074591.842292301</v>
      </c>
      <c r="AC28" s="121">
        <v>18110178.112850003</v>
      </c>
      <c r="AD28" s="122">
        <v>34304503.321430817</v>
      </c>
      <c r="AE28" s="122">
        <v>52414681.434280813</v>
      </c>
      <c r="AF28" s="226"/>
      <c r="AG28" s="226"/>
      <c r="AH28" s="226"/>
      <c r="AI28" s="203"/>
    </row>
    <row r="29" spans="1:35" x14ac:dyDescent="0.25">
      <c r="A29" s="49" t="s">
        <v>71</v>
      </c>
      <c r="B29" s="202" t="s">
        <v>72</v>
      </c>
      <c r="C29" s="116">
        <f>AVERAGE('Netvolumenmål 2021'!C29,'Netvolumenmål 2022'!C29)</f>
        <v>13.847905497944343</v>
      </c>
      <c r="D29" s="116">
        <f>AVERAGE('Netvolumenmål 2021'!D29,'Netvolumenmål 2022'!D29)</f>
        <v>9.955437844332686E-2</v>
      </c>
      <c r="E29" s="117">
        <f>AVERAGE('Netvolumenmål 2021'!E29,'Netvolumenmål 2022'!E29)</f>
        <v>15708425.312217582</v>
      </c>
      <c r="F29" s="118">
        <f t="shared" si="0"/>
        <v>16552079.625918491</v>
      </c>
      <c r="G29" s="117">
        <f>VLOOKUP(B29,'Costdrivere gns.'!B:AP,39,0)+VLOOKUP(B29,'Costdrivere gns.'!B:AP,40,0)+VLOOKUP(B29,'Costdrivere gns.'!B:AP,41,0)</f>
        <v>75479944.426335305</v>
      </c>
      <c r="H29" s="118">
        <f t="shared" si="1"/>
        <v>62976301.031419203</v>
      </c>
      <c r="I29" s="88">
        <f>AVERAGE('Netvolumenmål 2021'!G29,'Netvolumenmål 2022'!G29)</f>
        <v>11284317.6985</v>
      </c>
      <c r="J29" s="5">
        <f>AVERAGE('Netvolumenmål 2021'!H29,'Netvolumenmål 2022'!H29)</f>
        <v>14847680.762274923</v>
      </c>
      <c r="K29" s="119">
        <f>AVERAGE('Netvolumenmål 2021'!I29,'Netvolumenmål 2022'!I29)</f>
        <v>29227348.649999999</v>
      </c>
      <c r="L29" s="119">
        <f>AVERAGE('Netvolumenmål 2021'!J29,'Netvolumenmål 2022'!J29)</f>
        <v>31174722.314068116</v>
      </c>
      <c r="M29" s="58">
        <f>AVERAGE(VLOOKUP(B29,'Netvolumenmål 2021'!B:R,10,0),VLOOKUP(B29,'Netvolumenmål 2022'!B:R,10,0))</f>
        <v>75249751.726343036</v>
      </c>
      <c r="N29" s="88">
        <f>AVERAGE(VLOOKUP(B29,'Netvolumenmål 2021'!B:R,11,0),VLOOKUP(B29,'Netvolumenmål 2022'!B:R,11,0))</f>
        <v>86534069.424843043</v>
      </c>
      <c r="O29" s="88">
        <f>AVERAGE(VLOOKUP(B29,'Netvolumenmål 2021'!B:R,12,0),VLOOKUP(B29,'Netvolumenmål 2022'!B:R,12,0))</f>
        <v>0</v>
      </c>
      <c r="P29" s="98">
        <f>AVERAGE(VLOOKUP(B29,'Netvolumenmål 2021'!B:R,13,0),VLOOKUP(B29,'Netvolumenmål 2022'!B:R,13,0))</f>
        <v>0</v>
      </c>
      <c r="Q29" s="98">
        <f>AVERAGE(VLOOKUP(B29,'Netvolumenmål 2021'!B:R,14,0),VLOOKUP(B29,'Netvolumenmål 2022'!B:R,14,0))</f>
        <v>0</v>
      </c>
      <c r="R29" s="121">
        <f>AVERAGE(VLOOKUP(B29,'Netvolumenmål 2021'!B:R,15,0),VLOOKUP(B29,'Netvolumenmål 2022'!B:R,15,0))</f>
        <v>11284317.6985</v>
      </c>
      <c r="S29" s="225">
        <f>AVERAGE(VLOOKUP(B29,'Netvolumenmål 2021'!B:R,16,0),VLOOKUP(B29,'Netvolumenmål 2022'!B:R,16,0))</f>
        <v>75249751.726343036</v>
      </c>
      <c r="T29" s="18">
        <f>AVERAGE(VLOOKUP(B29,'Netvolumenmål 2021'!B:R,17,0),VLOOKUP(B29,'Netvolumenmål 2022'!B:R,17,0))</f>
        <v>86534069.424843043</v>
      </c>
      <c r="U29" s="98"/>
      <c r="V29" s="98"/>
      <c r="W29" s="120">
        <v>13.847905497944343</v>
      </c>
      <c r="X29" s="120">
        <v>9.955437844332686E-2</v>
      </c>
      <c r="Y29" s="121">
        <v>15708425.312217582</v>
      </c>
      <c r="Z29" s="121">
        <v>16552079.625918491</v>
      </c>
      <c r="AA29" s="121">
        <v>73236038.23820214</v>
      </c>
      <c r="AB29" s="121">
        <v>61104109.515326433</v>
      </c>
      <c r="AC29" s="121">
        <v>11284317.6985</v>
      </c>
      <c r="AD29" s="122">
        <v>75249751.726343036</v>
      </c>
      <c r="AE29" s="122">
        <v>86534069.424843043</v>
      </c>
      <c r="AF29" s="226"/>
      <c r="AG29" s="226"/>
      <c r="AH29" s="226"/>
      <c r="AI29" s="203"/>
    </row>
    <row r="30" spans="1:35" x14ac:dyDescent="0.25">
      <c r="A30" s="49" t="s">
        <v>73</v>
      </c>
      <c r="B30" s="202" t="s">
        <v>74</v>
      </c>
      <c r="C30" s="116">
        <f>AVERAGE('Netvolumenmål 2021'!C30,'Netvolumenmål 2022'!C30)</f>
        <v>27.173392511068691</v>
      </c>
      <c r="D30" s="116">
        <f>AVERAGE('Netvolumenmål 2021'!D30,'Netvolumenmål 2022'!D30)</f>
        <v>0.12875160896678986</v>
      </c>
      <c r="E30" s="117">
        <f>AVERAGE('Netvolumenmål 2021'!E30,'Netvolumenmål 2022'!E30)</f>
        <v>12646935.909491025</v>
      </c>
      <c r="F30" s="118">
        <f t="shared" si="0"/>
        <v>15061954.172412312</v>
      </c>
      <c r="G30" s="117">
        <f>VLOOKUP(B30,'Costdrivere gns.'!B:AP,39,0)+VLOOKUP(B30,'Costdrivere gns.'!B:AP,40,0)+VLOOKUP(B30,'Costdrivere gns.'!B:AP,41,0)</f>
        <v>66719754.251468435</v>
      </c>
      <c r="H30" s="118">
        <f t="shared" si="1"/>
        <v>51442609.298886277</v>
      </c>
      <c r="I30" s="88">
        <f>AVERAGE('Netvolumenmål 2021'!G30,'Netvolumenmål 2022'!G30)</f>
        <v>13520003.780400001</v>
      </c>
      <c r="J30" s="5">
        <f>AVERAGE('Netvolumenmål 2021'!H30,'Netvolumenmål 2022'!H30)</f>
        <v>13408829.409079863</v>
      </c>
      <c r="K30" s="119">
        <f>AVERAGE('Netvolumenmål 2021'!I30,'Netvolumenmål 2022'!I30)</f>
        <v>17653873.550000001</v>
      </c>
      <c r="L30" s="119">
        <f>AVERAGE('Netvolumenmål 2021'!J30,'Netvolumenmål 2022'!J30)</f>
        <v>21457456.94982411</v>
      </c>
      <c r="M30" s="58">
        <f>AVERAGE(VLOOKUP(B30,'Netvolumenmål 2021'!B:R,10,0),VLOOKUP(B30,'Netvolumenmål 2022'!B:R,10,0))</f>
        <v>52520159.908903979</v>
      </c>
      <c r="N30" s="88">
        <f>AVERAGE(VLOOKUP(B30,'Netvolumenmål 2021'!B:R,11,0),VLOOKUP(B30,'Netvolumenmål 2022'!B:R,11,0))</f>
        <v>66040163.689303979</v>
      </c>
      <c r="O30" s="88">
        <f>AVERAGE(VLOOKUP(B30,'Netvolumenmål 2021'!B:R,12,0),VLOOKUP(B30,'Netvolumenmål 2022'!B:R,12,0))</f>
        <v>0</v>
      </c>
      <c r="P30" s="98">
        <f>AVERAGE(VLOOKUP(B30,'Netvolumenmål 2021'!B:R,13,0),VLOOKUP(B30,'Netvolumenmål 2022'!B:R,13,0))</f>
        <v>0</v>
      </c>
      <c r="Q30" s="98">
        <f>AVERAGE(VLOOKUP(B30,'Netvolumenmål 2021'!B:R,14,0),VLOOKUP(B30,'Netvolumenmål 2022'!B:R,14,0))</f>
        <v>0</v>
      </c>
      <c r="R30" s="121">
        <f>AVERAGE(VLOOKUP(B30,'Netvolumenmål 2021'!B:R,15,0),VLOOKUP(B30,'Netvolumenmål 2022'!B:R,15,0))</f>
        <v>13520003.780400001</v>
      </c>
      <c r="S30" s="225">
        <f>AVERAGE(VLOOKUP(B30,'Netvolumenmål 2021'!B:R,16,0),VLOOKUP(B30,'Netvolumenmål 2022'!B:R,16,0))</f>
        <v>52520159.908903979</v>
      </c>
      <c r="T30" s="18">
        <f>AVERAGE(VLOOKUP(B30,'Netvolumenmål 2021'!B:R,17,0),VLOOKUP(B30,'Netvolumenmål 2022'!B:R,17,0))</f>
        <v>66040163.689303979</v>
      </c>
      <c r="U30" s="98"/>
      <c r="V30" s="98"/>
      <c r="W30" s="120">
        <v>27.173392511068691</v>
      </c>
      <c r="X30" s="120">
        <v>0.12875160896678986</v>
      </c>
      <c r="Y30" s="121">
        <v>12646935.909491025</v>
      </c>
      <c r="Z30" s="121">
        <v>15061954.172412312</v>
      </c>
      <c r="AA30" s="121">
        <v>64760381.827008262</v>
      </c>
      <c r="AB30" s="121">
        <v>49931883.858822204</v>
      </c>
      <c r="AC30" s="121">
        <v>13520003.780400001</v>
      </c>
      <c r="AD30" s="122">
        <v>52520159.908903979</v>
      </c>
      <c r="AE30" s="122">
        <v>66040163.689303979</v>
      </c>
      <c r="AF30" s="226"/>
      <c r="AG30" s="226"/>
      <c r="AH30" s="226"/>
      <c r="AI30" s="203"/>
    </row>
    <row r="31" spans="1:35" x14ac:dyDescent="0.25">
      <c r="A31" s="49" t="s">
        <v>75</v>
      </c>
      <c r="B31" s="202" t="s">
        <v>76</v>
      </c>
      <c r="C31" s="116">
        <f>AVERAGE('Netvolumenmål 2021'!C31,'Netvolumenmål 2022'!C31)</f>
        <v>37.392854689250726</v>
      </c>
      <c r="D31" s="116">
        <f>AVERAGE('Netvolumenmål 2021'!D31,'Netvolumenmål 2022'!D31)</f>
        <v>9.5289726423748555E-2</v>
      </c>
      <c r="E31" s="117">
        <f>AVERAGE('Netvolumenmål 2021'!E31,'Netvolumenmål 2022'!E31)</f>
        <v>4506795.249855265</v>
      </c>
      <c r="F31" s="118">
        <f t="shared" si="0"/>
        <v>5301155.6551233539</v>
      </c>
      <c r="G31" s="117">
        <f>VLOOKUP(B31,'Costdrivere gns.'!B:AP,39,0)+VLOOKUP(B31,'Costdrivere gns.'!B:AP,40,0)+VLOOKUP(B31,'Costdrivere gns.'!B:AP,41,0)</f>
        <v>25975961.246066663</v>
      </c>
      <c r="H31" s="118">
        <f t="shared" si="1"/>
        <v>18363967.1182914</v>
      </c>
      <c r="I31" s="88">
        <f>AVERAGE('Netvolumenmål 2021'!G31,'Netvolumenmål 2022'!G31)</f>
        <v>7395174.5216500005</v>
      </c>
      <c r="J31" s="5">
        <f>AVERAGE('Netvolumenmål 2021'!H31,'Netvolumenmål 2022'!H31)</f>
        <v>10854780.612729859</v>
      </c>
      <c r="K31" s="119">
        <f>AVERAGE('Netvolumenmål 2021'!I31,'Netvolumenmål 2022'!I31)</f>
        <v>2322664.8949500001</v>
      </c>
      <c r="L31" s="119">
        <f>AVERAGE('Netvolumenmål 2021'!J31,'Netvolumenmål 2022'!J31)</f>
        <v>4346284.2913948307</v>
      </c>
      <c r="M31" s="58">
        <f>AVERAGE(VLOOKUP(B31,'Netvolumenmål 2021'!B:R,10,0),VLOOKUP(B31,'Netvolumenmål 2022'!B:R,10,0))</f>
        <v>17523729.799074687</v>
      </c>
      <c r="N31" s="88">
        <f>AVERAGE(VLOOKUP(B31,'Netvolumenmål 2021'!B:R,11,0),VLOOKUP(B31,'Netvolumenmål 2022'!B:R,11,0))</f>
        <v>24918904.320724688</v>
      </c>
      <c r="O31" s="88">
        <f>AVERAGE(VLOOKUP(B31,'Netvolumenmål 2021'!B:R,12,0),VLOOKUP(B31,'Netvolumenmål 2022'!B:R,12,0))</f>
        <v>0</v>
      </c>
      <c r="P31" s="98">
        <f>AVERAGE(VLOOKUP(B31,'Netvolumenmål 2021'!B:R,13,0),VLOOKUP(B31,'Netvolumenmål 2022'!B:R,13,0))</f>
        <v>1343653.7652500002</v>
      </c>
      <c r="Q31" s="98">
        <f>AVERAGE(VLOOKUP(B31,'Netvolumenmål 2021'!B:R,14,0),VLOOKUP(B31,'Netvolumenmål 2022'!B:R,14,0))</f>
        <v>1445050.8199</v>
      </c>
      <c r="R31" s="121">
        <f>AVERAGE(VLOOKUP(B31,'Netvolumenmål 2021'!B:R,15,0),VLOOKUP(B31,'Netvolumenmål 2022'!B:R,15,0))</f>
        <v>6051520.7564000003</v>
      </c>
      <c r="S31" s="225">
        <f>AVERAGE(VLOOKUP(B31,'Netvolumenmål 2021'!B:R,16,0),VLOOKUP(B31,'Netvolumenmål 2022'!B:R,16,0))</f>
        <v>16078678.979174688</v>
      </c>
      <c r="T31" s="18">
        <f>AVERAGE(VLOOKUP(B31,'Netvolumenmål 2021'!B:R,17,0),VLOOKUP(B31,'Netvolumenmål 2022'!B:R,17,0))</f>
        <v>22130199.735574689</v>
      </c>
      <c r="U31" s="98"/>
      <c r="V31" s="98"/>
      <c r="W31" s="120">
        <v>37.392854689250726</v>
      </c>
      <c r="X31" s="120">
        <v>9.5289726423748555E-2</v>
      </c>
      <c r="Y31" s="121">
        <v>4506795.249855265</v>
      </c>
      <c r="Z31" s="121">
        <v>5301155.6551233539</v>
      </c>
      <c r="AA31" s="121">
        <v>25273772.377333332</v>
      </c>
      <c r="AB31" s="121">
        <v>17867547.633595653</v>
      </c>
      <c r="AC31" s="121">
        <v>6051520.7564000003</v>
      </c>
      <c r="AD31" s="122">
        <v>17523729.799074687</v>
      </c>
      <c r="AE31" s="122">
        <v>23575250.555474691</v>
      </c>
      <c r="AF31" s="226"/>
      <c r="AG31" s="226"/>
      <c r="AH31" s="226"/>
      <c r="AI31" s="203"/>
    </row>
    <row r="32" spans="1:35" x14ac:dyDescent="0.25">
      <c r="A32" s="49" t="s">
        <v>77</v>
      </c>
      <c r="B32" s="202" t="s">
        <v>78</v>
      </c>
      <c r="C32" s="116">
        <f>AVERAGE('Netvolumenmål 2021'!C32,'Netvolumenmål 2022'!C32)</f>
        <v>42.222437272699452</v>
      </c>
      <c r="D32" s="116">
        <f>AVERAGE('Netvolumenmål 2021'!D32,'Netvolumenmål 2022'!D32)</f>
        <v>4.1888511239020945E-2</v>
      </c>
      <c r="E32" s="117">
        <f>AVERAGE('Netvolumenmål 2021'!E32,'Netvolumenmål 2022'!E32)</f>
        <v>23214413.33657188</v>
      </c>
      <c r="F32" s="118">
        <f t="shared" si="0"/>
        <v>25270868.40272266</v>
      </c>
      <c r="G32" s="117">
        <f>VLOOKUP(B32,'Costdrivere gns.'!B:AP,39,0)+VLOOKUP(B32,'Costdrivere gns.'!B:AP,40,0)+VLOOKUP(B32,'Costdrivere gns.'!B:AP,41,0)</f>
        <v>82896557.206933096</v>
      </c>
      <c r="H32" s="118">
        <f t="shared" si="1"/>
        <v>55229805.849454232</v>
      </c>
      <c r="I32" s="88">
        <f>AVERAGE('Netvolumenmål 2021'!G32,'Netvolumenmål 2022'!G32)</f>
        <v>23786724.285300002</v>
      </c>
      <c r="J32" s="5">
        <f>AVERAGE('Netvolumenmål 2021'!H32,'Netvolumenmål 2022'!H32)</f>
        <v>38989051.028232731</v>
      </c>
      <c r="K32" s="119">
        <f>AVERAGE('Netvolumenmål 2021'!I32,'Netvolumenmål 2022'!I32)</f>
        <v>104069.26145000001</v>
      </c>
      <c r="L32" s="119">
        <f>AVERAGE('Netvolumenmål 2021'!J32,'Netvolumenmål 2022'!J32)</f>
        <v>10323195.414693844</v>
      </c>
      <c r="M32" s="58">
        <f>AVERAGE(VLOOKUP(B32,'Netvolumenmål 2021'!B:R,10,0),VLOOKUP(B32,'Netvolumenmål 2022'!B:R,10,0))</f>
        <v>49416315.704376578</v>
      </c>
      <c r="N32" s="88">
        <f>AVERAGE(VLOOKUP(B32,'Netvolumenmål 2021'!B:R,11,0),VLOOKUP(B32,'Netvolumenmål 2022'!B:R,11,0))</f>
        <v>73203039.98967658</v>
      </c>
      <c r="O32" s="88">
        <f>AVERAGE(VLOOKUP(B32,'Netvolumenmål 2021'!B:R,12,0),VLOOKUP(B32,'Netvolumenmål 2022'!B:R,12,0))</f>
        <v>0</v>
      </c>
      <c r="P32" s="98">
        <f>AVERAGE(VLOOKUP(B32,'Netvolumenmål 2021'!B:R,13,0),VLOOKUP(B32,'Netvolumenmål 2022'!B:R,13,0))</f>
        <v>0</v>
      </c>
      <c r="Q32" s="98">
        <f>AVERAGE(VLOOKUP(B32,'Netvolumenmål 2021'!B:R,14,0),VLOOKUP(B32,'Netvolumenmål 2022'!B:R,14,0))</f>
        <v>0</v>
      </c>
      <c r="R32" s="121">
        <f>AVERAGE(VLOOKUP(B32,'Netvolumenmål 2021'!B:R,15,0),VLOOKUP(B32,'Netvolumenmål 2022'!B:R,15,0))</f>
        <v>23786724.285300002</v>
      </c>
      <c r="S32" s="225">
        <f>AVERAGE(VLOOKUP(B32,'Netvolumenmål 2021'!B:R,16,0),VLOOKUP(B32,'Netvolumenmål 2022'!B:R,16,0))</f>
        <v>49416315.704376578</v>
      </c>
      <c r="T32" s="18">
        <f>AVERAGE(VLOOKUP(B32,'Netvolumenmål 2021'!B:R,17,0),VLOOKUP(B32,'Netvolumenmål 2022'!B:R,17,0))</f>
        <v>73203039.98967658</v>
      </c>
      <c r="U32" s="98"/>
      <c r="V32" s="98"/>
      <c r="W32" s="120">
        <v>42.222437272699452</v>
      </c>
      <c r="X32" s="120">
        <v>4.1888511239020945E-2</v>
      </c>
      <c r="Y32" s="121">
        <v>23214413.33657188</v>
      </c>
      <c r="Z32" s="121">
        <v>25270868.40272266</v>
      </c>
      <c r="AA32" s="121">
        <v>80549607.467796817</v>
      </c>
      <c r="AB32" s="121">
        <v>53666151.304581493</v>
      </c>
      <c r="AC32" s="121">
        <v>23786724.285300002</v>
      </c>
      <c r="AD32" s="122">
        <v>49416315.704376578</v>
      </c>
      <c r="AE32" s="122">
        <v>73203039.98967658</v>
      </c>
      <c r="AF32" s="226"/>
      <c r="AG32" s="226"/>
      <c r="AH32" s="226"/>
      <c r="AI32" s="203"/>
    </row>
    <row r="33" spans="1:35" x14ac:dyDescent="0.25">
      <c r="A33" s="49" t="s">
        <v>79</v>
      </c>
      <c r="B33" s="202" t="s">
        <v>80</v>
      </c>
      <c r="C33" s="116">
        <f>AVERAGE('Netvolumenmål 2021'!C33,'Netvolumenmål 2022'!C33)</f>
        <v>35.088821801740195</v>
      </c>
      <c r="D33" s="116">
        <f>AVERAGE('Netvolumenmål 2021'!D33,'Netvolumenmål 2022'!D33)</f>
        <v>3.4627177099617566E-2</v>
      </c>
      <c r="E33" s="117">
        <f>AVERAGE('Netvolumenmål 2021'!E33,'Netvolumenmål 2022'!E33)</f>
        <v>32617699.941519193</v>
      </c>
      <c r="F33" s="118">
        <f t="shared" si="0"/>
        <v>33696845.369775169</v>
      </c>
      <c r="G33" s="117">
        <f>VLOOKUP(B33,'Costdrivere gns.'!B:AP,39,0)+VLOOKUP(B33,'Costdrivere gns.'!B:AP,40,0)+VLOOKUP(B33,'Costdrivere gns.'!B:AP,41,0)</f>
        <v>88785351.433707163</v>
      </c>
      <c r="H33" s="118">
        <f t="shared" si="1"/>
        <v>62369061.546879247</v>
      </c>
      <c r="I33" s="88">
        <f>AVERAGE('Netvolumenmål 2021'!G33,'Netvolumenmål 2022'!G33)</f>
        <v>25854430.9527</v>
      </c>
      <c r="J33" s="5">
        <f>AVERAGE('Netvolumenmål 2021'!H33,'Netvolumenmål 2022'!H33)</f>
        <v>47069514.091867059</v>
      </c>
      <c r="K33" s="119">
        <f>AVERAGE('Netvolumenmål 2021'!I33,'Netvolumenmål 2022'!I33)</f>
        <v>6155253.5350000001</v>
      </c>
      <c r="L33" s="119">
        <f>AVERAGE('Netvolumenmål 2021'!J33,'Netvolumenmål 2022'!J33)</f>
        <v>23831649.356972311</v>
      </c>
      <c r="M33" s="58">
        <f>AVERAGE(VLOOKUP(B33,'Netvolumenmål 2021'!B:R,10,0),VLOOKUP(B33,'Netvolumenmål 2022'!B:R,10,0))</f>
        <v>77056416.983839363</v>
      </c>
      <c r="N33" s="88">
        <f>AVERAGE(VLOOKUP(B33,'Netvolumenmål 2021'!B:R,11,0),VLOOKUP(B33,'Netvolumenmål 2022'!B:R,11,0))</f>
        <v>102910847.93653937</v>
      </c>
      <c r="O33" s="88">
        <f>AVERAGE(VLOOKUP(B33,'Netvolumenmål 2021'!B:R,12,0),VLOOKUP(B33,'Netvolumenmål 2022'!B:R,12,0))</f>
        <v>0</v>
      </c>
      <c r="P33" s="98">
        <f>AVERAGE(VLOOKUP(B33,'Netvolumenmål 2021'!B:R,13,0),VLOOKUP(B33,'Netvolumenmål 2022'!B:R,13,0))</f>
        <v>0</v>
      </c>
      <c r="Q33" s="98">
        <f>AVERAGE(VLOOKUP(B33,'Netvolumenmål 2021'!B:R,14,0),VLOOKUP(B33,'Netvolumenmål 2022'!B:R,14,0))</f>
        <v>0</v>
      </c>
      <c r="R33" s="121">
        <f>AVERAGE(VLOOKUP(B33,'Netvolumenmål 2021'!B:R,15,0),VLOOKUP(B33,'Netvolumenmål 2022'!B:R,15,0))</f>
        <v>25854430.9527</v>
      </c>
      <c r="S33" s="225">
        <f>AVERAGE(VLOOKUP(B33,'Netvolumenmål 2021'!B:R,16,0),VLOOKUP(B33,'Netvolumenmål 2022'!B:R,16,0))</f>
        <v>77056416.983839363</v>
      </c>
      <c r="T33" s="18">
        <f>AVERAGE(VLOOKUP(B33,'Netvolumenmål 2021'!B:R,17,0),VLOOKUP(B33,'Netvolumenmål 2022'!B:R,17,0))</f>
        <v>102910847.93653937</v>
      </c>
      <c r="U33" s="98"/>
      <c r="V33" s="98"/>
      <c r="W33" s="120">
        <v>35.088821801740195</v>
      </c>
      <c r="X33" s="120">
        <v>3.4627177099617566E-2</v>
      </c>
      <c r="Y33" s="121">
        <v>32617699.941519193</v>
      </c>
      <c r="Z33" s="121">
        <v>33696845.369775169</v>
      </c>
      <c r="AA33" s="121">
        <v>86382617.46676968</v>
      </c>
      <c r="AB33" s="121">
        <v>60681212.591563754</v>
      </c>
      <c r="AC33" s="121">
        <v>25854430.9527</v>
      </c>
      <c r="AD33" s="122">
        <v>77056416.983839363</v>
      </c>
      <c r="AE33" s="122">
        <v>102910847.93653937</v>
      </c>
      <c r="AF33" s="226"/>
      <c r="AG33" s="226"/>
      <c r="AH33" s="226"/>
      <c r="AI33" s="203"/>
    </row>
    <row r="34" spans="1:35" x14ac:dyDescent="0.25">
      <c r="A34" s="49" t="s">
        <v>81</v>
      </c>
      <c r="B34" s="202" t="s">
        <v>82</v>
      </c>
      <c r="C34" s="116">
        <f>AVERAGE('Netvolumenmål 2021'!C34,'Netvolumenmål 2022'!C34)</f>
        <v>37.849063060881065</v>
      </c>
      <c r="D34" s="116">
        <f>AVERAGE('Netvolumenmål 2021'!D34,'Netvolumenmål 2022'!D34)</f>
        <v>2.5602404406317052E-2</v>
      </c>
      <c r="E34" s="117">
        <f>AVERAGE('Netvolumenmål 2021'!E34,'Netvolumenmål 2022'!E34)</f>
        <v>41646038.406503677</v>
      </c>
      <c r="F34" s="118">
        <f t="shared" si="0"/>
        <v>42859726.517716952</v>
      </c>
      <c r="G34" s="117">
        <f>VLOOKUP(B34,'Costdrivere gns.'!B:AP,39,0)+VLOOKUP(B34,'Costdrivere gns.'!B:AP,40,0)+VLOOKUP(B34,'Costdrivere gns.'!B:AP,41,0)</f>
        <v>142615283.0661875</v>
      </c>
      <c r="H34" s="118">
        <f t="shared" si="1"/>
        <v>97715723.515762925</v>
      </c>
      <c r="I34" s="88">
        <f>AVERAGE('Netvolumenmål 2021'!G34,'Netvolumenmål 2022'!G34)</f>
        <v>39788802.682899997</v>
      </c>
      <c r="J34" s="5">
        <f>AVERAGE('Netvolumenmål 2021'!H34,'Netvolumenmål 2022'!H34)</f>
        <v>62885950.085014582</v>
      </c>
      <c r="K34" s="119">
        <f>AVERAGE('Netvolumenmål 2021'!I34,'Netvolumenmål 2022'!I34)</f>
        <v>7481632.6838499997</v>
      </c>
      <c r="L34" s="119">
        <f>AVERAGE('Netvolumenmål 2021'!J34,'Netvolumenmål 2022'!J34)</f>
        <v>27977618.845474415</v>
      </c>
      <c r="M34" s="58">
        <f>AVERAGE(VLOOKUP(B34,'Netvolumenmål 2021'!B:R,10,0),VLOOKUP(B34,'Netvolumenmål 2022'!B:R,10,0))</f>
        <v>98345201.614338994</v>
      </c>
      <c r="N34" s="88">
        <f>AVERAGE(VLOOKUP(B34,'Netvolumenmål 2021'!B:R,11,0),VLOOKUP(B34,'Netvolumenmål 2022'!B:R,11,0))</f>
        <v>138134004.29723901</v>
      </c>
      <c r="O34" s="88">
        <f>AVERAGE(VLOOKUP(B34,'Netvolumenmål 2021'!B:R,12,0),VLOOKUP(B34,'Netvolumenmål 2022'!B:R,12,0))</f>
        <v>843468.85000000009</v>
      </c>
      <c r="P34" s="98">
        <f>AVERAGE(VLOOKUP(B34,'Netvolumenmål 2021'!B:R,13,0),VLOOKUP(B34,'Netvolumenmål 2022'!B:R,13,0))</f>
        <v>0</v>
      </c>
      <c r="Q34" s="98">
        <f>AVERAGE(VLOOKUP(B34,'Netvolumenmål 2021'!B:R,14,0),VLOOKUP(B34,'Netvolumenmål 2022'!B:R,14,0))</f>
        <v>0</v>
      </c>
      <c r="R34" s="121">
        <f>AVERAGE(VLOOKUP(B34,'Netvolumenmål 2021'!B:R,15,0),VLOOKUP(B34,'Netvolumenmål 2022'!B:R,15,0))</f>
        <v>39788802.682899997</v>
      </c>
      <c r="S34" s="225">
        <f>AVERAGE(VLOOKUP(B34,'Netvolumenmål 2021'!B:R,16,0),VLOOKUP(B34,'Netvolumenmål 2022'!B:R,16,0))</f>
        <v>97501732.764339</v>
      </c>
      <c r="T34" s="18">
        <f>AVERAGE(VLOOKUP(B34,'Netvolumenmål 2021'!B:R,17,0),VLOOKUP(B34,'Netvolumenmål 2022'!B:R,17,0))</f>
        <v>137290535.44723898</v>
      </c>
      <c r="U34" s="98"/>
      <c r="V34" s="98"/>
      <c r="W34" s="120">
        <v>37.849063060881065</v>
      </c>
      <c r="X34" s="120">
        <v>2.5602404406317052E-2</v>
      </c>
      <c r="Y34" s="121">
        <v>41646038.406503677</v>
      </c>
      <c r="Z34" s="121">
        <v>42859726.517716952</v>
      </c>
      <c r="AA34" s="121">
        <v>142615283.0661875</v>
      </c>
      <c r="AB34" s="121">
        <v>97715723.515762925</v>
      </c>
      <c r="AC34" s="121">
        <v>39788802.682899997</v>
      </c>
      <c r="AD34" s="122">
        <v>97501732.764339</v>
      </c>
      <c r="AE34" s="122">
        <v>137290535.44723898</v>
      </c>
      <c r="AF34" s="226"/>
      <c r="AG34" s="226"/>
      <c r="AH34" s="226"/>
      <c r="AI34" s="203"/>
    </row>
    <row r="35" spans="1:35" x14ac:dyDescent="0.25">
      <c r="A35" s="49" t="s">
        <v>83</v>
      </c>
      <c r="B35" s="202" t="s">
        <v>84</v>
      </c>
      <c r="C35" s="116">
        <f>AVERAGE('Netvolumenmål 2021'!C35,'Netvolumenmål 2022'!C35)</f>
        <v>33.332287488949319</v>
      </c>
      <c r="D35" s="116">
        <f>AVERAGE('Netvolumenmål 2021'!D35,'Netvolumenmål 2022'!D35)</f>
        <v>3.5122317109216664E-2</v>
      </c>
      <c r="E35" s="117">
        <f>AVERAGE('Netvolumenmål 2021'!E35,'Netvolumenmål 2022'!E35)</f>
        <v>37624463.801984958</v>
      </c>
      <c r="F35" s="118">
        <f t="shared" si="0"/>
        <v>38539566.637725748</v>
      </c>
      <c r="G35" s="117">
        <f>VLOOKUP(B35,'Costdrivere gns.'!B:AP,39,0)+VLOOKUP(B35,'Costdrivere gns.'!B:AP,40,0)+VLOOKUP(B35,'Costdrivere gns.'!B:AP,41,0)</f>
        <v>116199589.51411587</v>
      </c>
      <c r="H35" s="118">
        <f t="shared" si="1"/>
        <v>82736739.472613662</v>
      </c>
      <c r="I35" s="88">
        <f>AVERAGE('Netvolumenmål 2021'!G35,'Netvolumenmål 2022'!G35)</f>
        <v>39603372.755719103</v>
      </c>
      <c r="J35" s="5">
        <f>AVERAGE('Netvolumenmål 2021'!H35,'Netvolumenmål 2022'!H35)</f>
        <v>60607665.330521427</v>
      </c>
      <c r="K35" s="119">
        <f>AVERAGE('Netvolumenmål 2021'!I35,'Netvolumenmål 2022'!I35)</f>
        <v>3894354.2</v>
      </c>
      <c r="L35" s="119">
        <f>AVERAGE('Netvolumenmål 2021'!J35,'Netvolumenmål 2022'!J35)</f>
        <v>22986295.864831351</v>
      </c>
      <c r="M35" s="58">
        <f>AVERAGE(VLOOKUP(B35,'Netvolumenmål 2021'!B:R,10,0),VLOOKUP(B35,'Netvolumenmål 2022'!B:R,10,0))</f>
        <v>87488315.395352781</v>
      </c>
      <c r="N35" s="88">
        <f>AVERAGE(VLOOKUP(B35,'Netvolumenmål 2021'!B:R,11,0),VLOOKUP(B35,'Netvolumenmål 2022'!B:R,11,0))</f>
        <v>127091688.15107188</v>
      </c>
      <c r="O35" s="88">
        <f>AVERAGE(VLOOKUP(B35,'Netvolumenmål 2021'!B:R,12,0),VLOOKUP(B35,'Netvolumenmål 2022'!B:R,12,0))</f>
        <v>0</v>
      </c>
      <c r="P35" s="98">
        <f>AVERAGE(VLOOKUP(B35,'Netvolumenmål 2021'!B:R,13,0),VLOOKUP(B35,'Netvolumenmål 2022'!B:R,13,0))</f>
        <v>0</v>
      </c>
      <c r="Q35" s="98">
        <f>AVERAGE(VLOOKUP(B35,'Netvolumenmål 2021'!B:R,14,0),VLOOKUP(B35,'Netvolumenmål 2022'!B:R,14,0))</f>
        <v>0</v>
      </c>
      <c r="R35" s="121">
        <f>AVERAGE(VLOOKUP(B35,'Netvolumenmål 2021'!B:R,15,0),VLOOKUP(B35,'Netvolumenmål 2022'!B:R,15,0))</f>
        <v>39603372.755719103</v>
      </c>
      <c r="S35" s="225">
        <f>AVERAGE(VLOOKUP(B35,'Netvolumenmål 2021'!B:R,16,0),VLOOKUP(B35,'Netvolumenmål 2022'!B:R,16,0))</f>
        <v>87488315.395352781</v>
      </c>
      <c r="T35" s="18">
        <f>AVERAGE(VLOOKUP(B35,'Netvolumenmål 2021'!B:R,17,0),VLOOKUP(B35,'Netvolumenmål 2022'!B:R,17,0))</f>
        <v>127091688.15107188</v>
      </c>
      <c r="U35" s="98"/>
      <c r="V35" s="98"/>
      <c r="W35" s="120">
        <v>33.332287488949319</v>
      </c>
      <c r="X35" s="120">
        <v>3.5122317109216664E-2</v>
      </c>
      <c r="Y35" s="121">
        <v>37624463.801984958</v>
      </c>
      <c r="Z35" s="121">
        <v>38539566.637725748</v>
      </c>
      <c r="AA35" s="121">
        <v>116199589.51411587</v>
      </c>
      <c r="AB35" s="121">
        <v>82736739.472613662</v>
      </c>
      <c r="AC35" s="121">
        <v>39603372.755719103</v>
      </c>
      <c r="AD35" s="122">
        <v>87488315.395352781</v>
      </c>
      <c r="AE35" s="122">
        <v>127091688.15107188</v>
      </c>
      <c r="AF35" s="226"/>
      <c r="AG35" s="226"/>
      <c r="AH35" s="226"/>
      <c r="AI35" s="203"/>
    </row>
    <row r="36" spans="1:35" x14ac:dyDescent="0.25">
      <c r="A36" s="49" t="s">
        <v>85</v>
      </c>
      <c r="B36" s="202" t="s">
        <v>86</v>
      </c>
      <c r="C36" s="116">
        <f>AVERAGE('Netvolumenmål 2021'!C36,'Netvolumenmål 2022'!C36)</f>
        <v>33.652888500175123</v>
      </c>
      <c r="D36" s="116">
        <f>AVERAGE('Netvolumenmål 2021'!D36,'Netvolumenmål 2022'!D36)</f>
        <v>3.1155605525709944E-2</v>
      </c>
      <c r="E36" s="117">
        <f>AVERAGE('Netvolumenmål 2021'!E36,'Netvolumenmål 2022'!E36)</f>
        <v>20468528.269809484</v>
      </c>
      <c r="F36" s="118">
        <f t="shared" si="0"/>
        <v>20828695.609732956</v>
      </c>
      <c r="G36" s="117">
        <f>VLOOKUP(B36,'Costdrivere gns.'!B:AP,39,0)+VLOOKUP(B36,'Costdrivere gns.'!B:AP,40,0)+VLOOKUP(B36,'Costdrivere gns.'!B:AP,41,0)</f>
        <v>71535368.532373697</v>
      </c>
      <c r="H36" s="118">
        <f t="shared" si="1"/>
        <v>50733104.81117662</v>
      </c>
      <c r="I36" s="88">
        <f>AVERAGE('Netvolumenmål 2021'!G36,'Netvolumenmål 2022'!G36)</f>
        <v>25769222.723200001</v>
      </c>
      <c r="J36" s="5">
        <f>AVERAGE('Netvolumenmål 2021'!H36,'Netvolumenmål 2022'!H36)</f>
        <v>37290364.958324641</v>
      </c>
      <c r="K36" s="119">
        <f>AVERAGE('Netvolumenmål 2021'!I36,'Netvolumenmål 2022'!I36)</f>
        <v>623118.80784999998</v>
      </c>
      <c r="L36" s="119">
        <f>AVERAGE('Netvolumenmål 2021'!J36,'Netvolumenmål 2022'!J36)</f>
        <v>14251115.69432034</v>
      </c>
      <c r="M36" s="58">
        <f>AVERAGE(VLOOKUP(B36,'Netvolumenmål 2021'!B:R,10,0),VLOOKUP(B36,'Netvolumenmål 2022'!B:R,10,0))</f>
        <v>52164599.46049498</v>
      </c>
      <c r="N36" s="88">
        <f>AVERAGE(VLOOKUP(B36,'Netvolumenmål 2021'!B:R,11,0),VLOOKUP(B36,'Netvolumenmål 2022'!B:R,11,0))</f>
        <v>77933822.183694974</v>
      </c>
      <c r="O36" s="88">
        <f>AVERAGE(VLOOKUP(B36,'Netvolumenmål 2021'!B:R,12,0),VLOOKUP(B36,'Netvolumenmål 2022'!B:R,12,0))</f>
        <v>0</v>
      </c>
      <c r="P36" s="98">
        <f>AVERAGE(VLOOKUP(B36,'Netvolumenmål 2021'!B:R,13,0),VLOOKUP(B36,'Netvolumenmål 2022'!B:R,13,0))</f>
        <v>0</v>
      </c>
      <c r="Q36" s="98">
        <f>AVERAGE(VLOOKUP(B36,'Netvolumenmål 2021'!B:R,14,0),VLOOKUP(B36,'Netvolumenmål 2022'!B:R,14,0))</f>
        <v>0</v>
      </c>
      <c r="R36" s="121">
        <f>AVERAGE(VLOOKUP(B36,'Netvolumenmål 2021'!B:R,15,0),VLOOKUP(B36,'Netvolumenmål 2022'!B:R,15,0))</f>
        <v>25769222.723200001</v>
      </c>
      <c r="S36" s="225">
        <f>AVERAGE(VLOOKUP(B36,'Netvolumenmål 2021'!B:R,16,0),VLOOKUP(B36,'Netvolumenmål 2022'!B:R,16,0))</f>
        <v>52164599.46049498</v>
      </c>
      <c r="T36" s="18">
        <f>AVERAGE(VLOOKUP(B36,'Netvolumenmål 2021'!B:R,17,0),VLOOKUP(B36,'Netvolumenmål 2022'!B:R,17,0))</f>
        <v>77933822.183694974</v>
      </c>
      <c r="U36" s="98"/>
      <c r="V36" s="98"/>
      <c r="W36" s="120">
        <v>33.652888500175123</v>
      </c>
      <c r="X36" s="120">
        <v>3.1155605525709944E-2</v>
      </c>
      <c r="Y36" s="121">
        <v>20468528.269809484</v>
      </c>
      <c r="Z36" s="121">
        <v>20828695.609732956</v>
      </c>
      <c r="AA36" s="121">
        <v>69792636.79542017</v>
      </c>
      <c r="AB36" s="121">
        <v>49497154.068452552</v>
      </c>
      <c r="AC36" s="121">
        <v>25769222.723200001</v>
      </c>
      <c r="AD36" s="122">
        <v>52164599.46049498</v>
      </c>
      <c r="AE36" s="122">
        <v>77933822.183694974</v>
      </c>
      <c r="AF36" s="226"/>
      <c r="AG36" s="226"/>
      <c r="AH36" s="226"/>
      <c r="AI36" s="203"/>
    </row>
    <row r="37" spans="1:35" x14ac:dyDescent="0.25">
      <c r="A37" s="49" t="s">
        <v>87</v>
      </c>
      <c r="B37" s="202" t="s">
        <v>88</v>
      </c>
      <c r="C37" s="116">
        <f>AVERAGE('Netvolumenmål 2021'!C37,'Netvolumenmål 2022'!C37)</f>
        <v>30.921807016995771</v>
      </c>
      <c r="D37" s="116">
        <f>AVERAGE('Netvolumenmål 2021'!D37,'Netvolumenmål 2022'!D37)</f>
        <v>2.4236946696166967E-2</v>
      </c>
      <c r="E37" s="117">
        <f>AVERAGE('Netvolumenmål 2021'!E37,'Netvolumenmål 2022'!E37)</f>
        <v>37053625.014467478</v>
      </c>
      <c r="F37" s="118">
        <f t="shared" si="0"/>
        <v>36588945.836395569</v>
      </c>
      <c r="G37" s="117">
        <f>VLOOKUP(B37,'Costdrivere gns.'!B:AP,39,0)+VLOOKUP(B37,'Costdrivere gns.'!B:AP,40,0)+VLOOKUP(B37,'Costdrivere gns.'!B:AP,41,0)</f>
        <v>123893063.10258606</v>
      </c>
      <c r="H37" s="118">
        <f t="shared" si="1"/>
        <v>89441019.015636772</v>
      </c>
      <c r="I37" s="88">
        <f>AVERAGE('Netvolumenmål 2021'!G37,'Netvolumenmål 2022'!G37)</f>
        <v>33186292.168250002</v>
      </c>
      <c r="J37" s="5">
        <f>AVERAGE('Netvolumenmål 2021'!H37,'Netvolumenmål 2022'!H37)</f>
        <v>55279048.505740136</v>
      </c>
      <c r="K37" s="119">
        <f>AVERAGE('Netvolumenmål 2021'!I37,'Netvolumenmål 2022'!I37)</f>
        <v>1861760.9151500002</v>
      </c>
      <c r="L37" s="119">
        <f>AVERAGE('Netvolumenmål 2021'!J37,'Netvolumenmål 2022'!J37)</f>
        <v>18980842.576580711</v>
      </c>
      <c r="M37" s="58">
        <f>AVERAGE(VLOOKUP(B37,'Netvolumenmål 2021'!B:R,10,0),VLOOKUP(B37,'Netvolumenmål 2022'!B:R,10,0))</f>
        <v>76121651.997470856</v>
      </c>
      <c r="N37" s="88">
        <f>AVERAGE(VLOOKUP(B37,'Netvolumenmål 2021'!B:R,11,0),VLOOKUP(B37,'Netvolumenmål 2022'!B:R,11,0))</f>
        <v>109307944.16572085</v>
      </c>
      <c r="O37" s="88">
        <f>AVERAGE(VLOOKUP(B37,'Netvolumenmål 2021'!B:R,12,0),VLOOKUP(B37,'Netvolumenmål 2022'!B:R,12,0))</f>
        <v>0</v>
      </c>
      <c r="P37" s="98">
        <f>AVERAGE(VLOOKUP(B37,'Netvolumenmål 2021'!B:R,13,0),VLOOKUP(B37,'Netvolumenmål 2022'!B:R,13,0))</f>
        <v>0</v>
      </c>
      <c r="Q37" s="98">
        <f>AVERAGE(VLOOKUP(B37,'Netvolumenmål 2021'!B:R,14,0),VLOOKUP(B37,'Netvolumenmål 2022'!B:R,14,0))</f>
        <v>0</v>
      </c>
      <c r="R37" s="121">
        <f>AVERAGE(VLOOKUP(B37,'Netvolumenmål 2021'!B:R,15,0),VLOOKUP(B37,'Netvolumenmål 2022'!B:R,15,0))</f>
        <v>33186292.168250002</v>
      </c>
      <c r="S37" s="225">
        <f>AVERAGE(VLOOKUP(B37,'Netvolumenmål 2021'!B:R,16,0),VLOOKUP(B37,'Netvolumenmål 2022'!B:R,16,0))</f>
        <v>76121651.997470856</v>
      </c>
      <c r="T37" s="18">
        <f>AVERAGE(VLOOKUP(B37,'Netvolumenmål 2021'!B:R,17,0),VLOOKUP(B37,'Netvolumenmål 2022'!B:R,17,0))</f>
        <v>109307944.16572085</v>
      </c>
      <c r="U37" s="98"/>
      <c r="V37" s="98"/>
      <c r="W37" s="120">
        <v>30.921807016995771</v>
      </c>
      <c r="X37" s="120">
        <v>2.4236946696166967E-2</v>
      </c>
      <c r="Y37" s="121">
        <v>37053625.014467478</v>
      </c>
      <c r="Z37" s="121">
        <v>36588945.836395569</v>
      </c>
      <c r="AA37" s="121">
        <v>123893063.10258606</v>
      </c>
      <c r="AB37" s="121">
        <v>89441019.015636772</v>
      </c>
      <c r="AC37" s="121">
        <v>33186292.168250002</v>
      </c>
      <c r="AD37" s="122">
        <v>76121651.997470856</v>
      </c>
      <c r="AE37" s="122">
        <v>109307944.16572085</v>
      </c>
      <c r="AF37" s="226"/>
      <c r="AG37" s="226"/>
      <c r="AH37" s="226"/>
      <c r="AI37" s="203"/>
    </row>
    <row r="38" spans="1:35" x14ac:dyDescent="0.25">
      <c r="A38" s="49" t="s">
        <v>89</v>
      </c>
      <c r="B38" s="202" t="s">
        <v>90</v>
      </c>
      <c r="C38" s="116">
        <f>AVERAGE('Netvolumenmål 2021'!C38,'Netvolumenmål 2022'!C38)</f>
        <v>33.946678045797867</v>
      </c>
      <c r="D38" s="116">
        <f>AVERAGE('Netvolumenmål 2021'!D38,'Netvolumenmål 2022'!D38)</f>
        <v>0</v>
      </c>
      <c r="E38" s="117">
        <f>AVERAGE('Netvolumenmål 2021'!E38,'Netvolumenmål 2022'!E38)</f>
        <v>25435965.703998901</v>
      </c>
      <c r="F38" s="118">
        <f t="shared" si="0"/>
        <v>24223349.712313551</v>
      </c>
      <c r="G38" s="117">
        <f>VLOOKUP(B38,'Costdrivere gns.'!B:AP,39,0)+VLOOKUP(B38,'Costdrivere gns.'!B:AP,40,0)+VLOOKUP(B38,'Costdrivere gns.'!B:AP,41,0)</f>
        <v>21783331.167451102</v>
      </c>
      <c r="H38" s="118">
        <f t="shared" si="1"/>
        <v>15226108.586368762</v>
      </c>
      <c r="I38" s="88">
        <f>AVERAGE('Netvolumenmål 2021'!G38,'Netvolumenmål 2022'!G38)</f>
        <v>30793212.013500001</v>
      </c>
      <c r="J38" s="5">
        <f>AVERAGE('Netvolumenmål 2021'!H38,'Netvolumenmål 2022'!H38)</f>
        <v>8474758.1370567493</v>
      </c>
      <c r="K38" s="119">
        <f>AVERAGE('Netvolumenmål 2021'!I38,'Netvolumenmål 2022'!I38)</f>
        <v>78955.260050000012</v>
      </c>
      <c r="L38" s="119">
        <f>AVERAGE('Netvolumenmål 2021'!J38,'Netvolumenmål 2022'!J38)</f>
        <v>3263181.9120796062</v>
      </c>
      <c r="M38" s="58">
        <f>AVERAGE(VLOOKUP(B38,'Netvolumenmål 2021'!B:R,10,0),VLOOKUP(B38,'Netvolumenmål 2022'!B:R,10,0))</f>
        <v>11816895.309186356</v>
      </c>
      <c r="N38" s="88">
        <f>AVERAGE(VLOOKUP(B38,'Netvolumenmål 2021'!B:R,11,0),VLOOKUP(B38,'Netvolumenmål 2022'!B:R,11,0))</f>
        <v>42610107.322686359</v>
      </c>
      <c r="O38" s="88">
        <f>AVERAGE(VLOOKUP(B38,'Netvolumenmål 2021'!B:R,12,0),VLOOKUP(B38,'Netvolumenmål 2022'!B:R,12,0))</f>
        <v>0</v>
      </c>
      <c r="P38" s="98">
        <f>AVERAGE(VLOOKUP(B38,'Netvolumenmål 2021'!B:R,13,0),VLOOKUP(B38,'Netvolumenmål 2022'!B:R,13,0))</f>
        <v>0</v>
      </c>
      <c r="Q38" s="98">
        <f>AVERAGE(VLOOKUP(B38,'Netvolumenmål 2021'!B:R,14,0),VLOOKUP(B38,'Netvolumenmål 2022'!B:R,14,0))</f>
        <v>0</v>
      </c>
      <c r="R38" s="121">
        <f>AVERAGE(VLOOKUP(B38,'Netvolumenmål 2021'!B:R,15,0),VLOOKUP(B38,'Netvolumenmål 2022'!B:R,15,0))</f>
        <v>30793212.013500001</v>
      </c>
      <c r="S38" s="225">
        <f>AVERAGE(VLOOKUP(B38,'Netvolumenmål 2021'!B:R,16,0),VLOOKUP(B38,'Netvolumenmål 2022'!B:R,16,0))</f>
        <v>11816895.309186356</v>
      </c>
      <c r="T38" s="18">
        <f>AVERAGE(VLOOKUP(B38,'Netvolumenmål 2021'!B:R,17,0),VLOOKUP(B38,'Netvolumenmål 2022'!B:R,17,0))</f>
        <v>42610107.322686359</v>
      </c>
      <c r="U38" s="98"/>
      <c r="V38" s="98"/>
      <c r="W38" s="120">
        <v>33.946678045797867</v>
      </c>
      <c r="X38" s="120">
        <v>0</v>
      </c>
      <c r="Y38" s="121">
        <v>25435965.703998901</v>
      </c>
      <c r="Z38" s="121">
        <v>24223349.712313551</v>
      </c>
      <c r="AA38" s="121">
        <v>21783331.167451102</v>
      </c>
      <c r="AB38" s="121">
        <v>15226108.586368762</v>
      </c>
      <c r="AC38" s="121">
        <v>30793212.013500001</v>
      </c>
      <c r="AD38" s="122">
        <v>11816895.309186356</v>
      </c>
      <c r="AE38" s="122">
        <v>42610107.322686359</v>
      </c>
      <c r="AF38" s="226"/>
      <c r="AG38" s="226"/>
      <c r="AH38" s="226"/>
      <c r="AI38" s="203"/>
    </row>
    <row r="39" spans="1:35" x14ac:dyDescent="0.25">
      <c r="A39" s="49" t="s">
        <v>91</v>
      </c>
      <c r="B39" s="202" t="s">
        <v>92</v>
      </c>
      <c r="C39" s="116">
        <f>AVERAGE('Netvolumenmål 2021'!C39,'Netvolumenmål 2022'!C39)</f>
        <v>36.663176754898927</v>
      </c>
      <c r="D39" s="116">
        <f>AVERAGE('Netvolumenmål 2021'!D39,'Netvolumenmål 2022'!D39)</f>
        <v>4.1708821247980282E-2</v>
      </c>
      <c r="E39" s="117">
        <f>AVERAGE('Netvolumenmål 2021'!E39,'Netvolumenmål 2022'!E39)</f>
        <v>23104594.701335371</v>
      </c>
      <c r="F39" s="118">
        <f t="shared" si="0"/>
        <v>24423886.608993012</v>
      </c>
      <c r="G39" s="117">
        <f>VLOOKUP(B39,'Costdrivere gns.'!B:AP,39,0)+VLOOKUP(B39,'Costdrivere gns.'!B:AP,40,0)+VLOOKUP(B39,'Costdrivere gns.'!B:AP,41,0)</f>
        <v>159480509.6333333</v>
      </c>
      <c r="H39" s="118">
        <f t="shared" si="1"/>
        <v>110998027.93547586</v>
      </c>
      <c r="I39" s="88">
        <f>AVERAGE('Netvolumenmål 2021'!G39,'Netvolumenmål 2022'!G39)</f>
        <v>23932351.056850001</v>
      </c>
      <c r="J39" s="5">
        <f>AVERAGE('Netvolumenmål 2021'!H39,'Netvolumenmål 2022'!H39)</f>
        <v>83738664.528708071</v>
      </c>
      <c r="K39" s="119">
        <f>AVERAGE('Netvolumenmål 2021'!I39,'Netvolumenmål 2022'!I39)</f>
        <v>2789317.7432500003</v>
      </c>
      <c r="L39" s="119">
        <f>AVERAGE('Netvolumenmål 2021'!J39,'Netvolumenmål 2022'!J39)</f>
        <v>15552955.198272886</v>
      </c>
      <c r="M39" s="58">
        <f>AVERAGE(VLOOKUP(B39,'Netvolumenmål 2021'!B:R,10,0),VLOOKUP(B39,'Netvolumenmål 2022'!B:R,10,0))</f>
        <v>102080937.47023095</v>
      </c>
      <c r="N39" s="88">
        <f>AVERAGE(VLOOKUP(B39,'Netvolumenmål 2021'!B:R,11,0),VLOOKUP(B39,'Netvolumenmål 2022'!B:R,11,0))</f>
        <v>126013288.52708095</v>
      </c>
      <c r="O39" s="88">
        <f>AVERAGE(VLOOKUP(B39,'Netvolumenmål 2021'!B:R,12,0),VLOOKUP(B39,'Netvolumenmål 2022'!B:R,12,0))</f>
        <v>0</v>
      </c>
      <c r="P39" s="98">
        <f>AVERAGE(VLOOKUP(B39,'Netvolumenmål 2021'!B:R,13,0),VLOOKUP(B39,'Netvolumenmål 2022'!B:R,13,0))</f>
        <v>0</v>
      </c>
      <c r="Q39" s="98">
        <f>AVERAGE(VLOOKUP(B39,'Netvolumenmål 2021'!B:R,14,0),VLOOKUP(B39,'Netvolumenmål 2022'!B:R,14,0))</f>
        <v>0</v>
      </c>
      <c r="R39" s="121">
        <f>AVERAGE(VLOOKUP(B39,'Netvolumenmål 2021'!B:R,15,0),VLOOKUP(B39,'Netvolumenmål 2022'!B:R,15,0))</f>
        <v>23932351.056850001</v>
      </c>
      <c r="S39" s="225">
        <f>AVERAGE(VLOOKUP(B39,'Netvolumenmål 2021'!B:R,16,0),VLOOKUP(B39,'Netvolumenmål 2022'!B:R,16,0))</f>
        <v>102080937.47023095</v>
      </c>
      <c r="T39" s="18">
        <f>AVERAGE(VLOOKUP(B39,'Netvolumenmål 2021'!B:R,17,0),VLOOKUP(B39,'Netvolumenmål 2022'!B:R,17,0))</f>
        <v>126013288.52708095</v>
      </c>
      <c r="U39" s="98"/>
      <c r="V39" s="98"/>
      <c r="W39" s="120">
        <v>36.663176754898927</v>
      </c>
      <c r="X39" s="120">
        <v>4.1708821247980282E-2</v>
      </c>
      <c r="Y39" s="121">
        <v>23104594.701335371</v>
      </c>
      <c r="Z39" s="121">
        <v>24423886.608993012</v>
      </c>
      <c r="AA39" s="121">
        <v>159480509.6333333</v>
      </c>
      <c r="AB39" s="121">
        <v>110998027.93547586</v>
      </c>
      <c r="AC39" s="121">
        <v>23932351.056850001</v>
      </c>
      <c r="AD39" s="122">
        <v>102080937.47023095</v>
      </c>
      <c r="AE39" s="122">
        <v>126013288.52708095</v>
      </c>
      <c r="AF39" s="226"/>
      <c r="AG39" s="226"/>
      <c r="AH39" s="226"/>
      <c r="AI39" s="203"/>
    </row>
    <row r="40" spans="1:35" x14ac:dyDescent="0.25">
      <c r="A40" s="49" t="s">
        <v>93</v>
      </c>
      <c r="B40" s="202" t="s">
        <v>94</v>
      </c>
      <c r="C40" s="116">
        <f>AVERAGE('Netvolumenmål 2021'!C40,'Netvolumenmål 2022'!C40)</f>
        <v>30.557201334387678</v>
      </c>
      <c r="D40" s="116">
        <f>AVERAGE('Netvolumenmål 2021'!D40,'Netvolumenmål 2022'!D40)</f>
        <v>4.3722703502509563E-2</v>
      </c>
      <c r="E40" s="117">
        <f>AVERAGE('Netvolumenmål 2021'!E40,'Netvolumenmål 2022'!E40)</f>
        <v>36701247.143975392</v>
      </c>
      <c r="F40" s="118">
        <f t="shared" si="0"/>
        <v>37702062.061609402</v>
      </c>
      <c r="G40" s="117">
        <f>VLOOKUP(B40,'Costdrivere gns.'!B:AP,39,0)+VLOOKUP(B40,'Costdrivere gns.'!B:AP,40,0)+VLOOKUP(B40,'Costdrivere gns.'!B:AP,41,0)</f>
        <v>109972458.48294817</v>
      </c>
      <c r="H40" s="118">
        <f t="shared" si="1"/>
        <v>80201211.298947617</v>
      </c>
      <c r="I40" s="88">
        <f>AVERAGE('Netvolumenmål 2021'!G40,'Netvolumenmål 2022'!G40)</f>
        <v>49615514.497749999</v>
      </c>
      <c r="J40" s="5">
        <f>AVERAGE('Netvolumenmål 2021'!H40,'Netvolumenmål 2022'!H40)</f>
        <v>41680952.955814824</v>
      </c>
      <c r="K40" s="119">
        <f>AVERAGE('Netvolumenmål 2021'!I40,'Netvolumenmål 2022'!I40)</f>
        <v>8522007.3990000002</v>
      </c>
      <c r="L40" s="119">
        <f>AVERAGE('Netvolumenmål 2021'!J40,'Netvolumenmål 2022'!J40)</f>
        <v>29495483.938841399</v>
      </c>
      <c r="M40" s="58">
        <f>AVERAGE(VLOOKUP(B40,'Netvolumenmål 2021'!B:R,10,0),VLOOKUP(B40,'Netvolumenmål 2022'!B:R,10,0))</f>
        <v>79698444.29365623</v>
      </c>
      <c r="N40" s="88">
        <f>AVERAGE(VLOOKUP(B40,'Netvolumenmål 2021'!B:R,11,0),VLOOKUP(B40,'Netvolumenmål 2022'!B:R,11,0))</f>
        <v>129313958.79140623</v>
      </c>
      <c r="O40" s="88">
        <f>AVERAGE(VLOOKUP(B40,'Netvolumenmål 2021'!B:R,12,0),VLOOKUP(B40,'Netvolumenmål 2022'!B:R,12,0))</f>
        <v>3516204.9398118267</v>
      </c>
      <c r="P40" s="98">
        <f>AVERAGE(VLOOKUP(B40,'Netvolumenmål 2021'!B:R,13,0),VLOOKUP(B40,'Netvolumenmål 2022'!B:R,13,0))</f>
        <v>1602147.98285</v>
      </c>
      <c r="Q40" s="98">
        <f>AVERAGE(VLOOKUP(B40,'Netvolumenmål 2021'!B:R,14,0),VLOOKUP(B40,'Netvolumenmål 2022'!B:R,14,0))</f>
        <v>1868536.8231541277</v>
      </c>
      <c r="R40" s="121">
        <f>AVERAGE(VLOOKUP(B40,'Netvolumenmål 2021'!B:R,15,0),VLOOKUP(B40,'Netvolumenmål 2022'!B:R,15,0))</f>
        <v>48013366.514899999</v>
      </c>
      <c r="S40" s="225">
        <f>AVERAGE(VLOOKUP(B40,'Netvolumenmål 2021'!B:R,16,0),VLOOKUP(B40,'Netvolumenmål 2022'!B:R,16,0))</f>
        <v>74313702.530690283</v>
      </c>
      <c r="T40" s="18">
        <f>AVERAGE(VLOOKUP(B40,'Netvolumenmål 2021'!B:R,17,0),VLOOKUP(B40,'Netvolumenmål 2022'!B:R,17,0))</f>
        <v>122327069.04559028</v>
      </c>
      <c r="U40" s="98"/>
      <c r="V40" s="98"/>
      <c r="W40" s="120">
        <v>30.557201334387678</v>
      </c>
      <c r="X40" s="120">
        <v>4.3722703502509563E-2</v>
      </c>
      <c r="Y40" s="121">
        <v>36701247.143975392</v>
      </c>
      <c r="Z40" s="121">
        <v>37702062.061609402</v>
      </c>
      <c r="AA40" s="121">
        <v>135088874.10828239</v>
      </c>
      <c r="AB40" s="121">
        <v>98518224.34409982</v>
      </c>
      <c r="AC40" s="121">
        <v>49615514.497749999</v>
      </c>
      <c r="AD40" s="122">
        <v>76982981.995927975</v>
      </c>
      <c r="AE40" s="122">
        <v>126598496.49367797</v>
      </c>
      <c r="AF40" s="226"/>
      <c r="AG40" s="226"/>
      <c r="AH40" s="226"/>
      <c r="AI40" s="203"/>
    </row>
    <row r="41" spans="1:35" x14ac:dyDescent="0.25">
      <c r="A41" s="49" t="s">
        <v>95</v>
      </c>
      <c r="B41" s="202" t="s">
        <v>96</v>
      </c>
      <c r="C41" s="116">
        <f>AVERAGE('Netvolumenmål 2021'!C41,'Netvolumenmål 2022'!C41)</f>
        <v>35.768149328493536</v>
      </c>
      <c r="D41" s="116">
        <f>AVERAGE('Netvolumenmål 2021'!D41,'Netvolumenmål 2022'!D41)</f>
        <v>3.5826047358834247E-2</v>
      </c>
      <c r="E41" s="117">
        <f>AVERAGE('Netvolumenmål 2021'!E41,'Netvolumenmål 2022'!E41)</f>
        <v>46174912.073428258</v>
      </c>
      <c r="F41" s="118">
        <f t="shared" si="0"/>
        <v>47996956.984781571</v>
      </c>
      <c r="G41" s="117">
        <f>VLOOKUP(B41,'Costdrivere gns.'!B:AP,39,0)+VLOOKUP(B41,'Costdrivere gns.'!B:AP,40,0)+VLOOKUP(B41,'Costdrivere gns.'!B:AP,41,0)</f>
        <v>167184870.24891898</v>
      </c>
      <c r="H41" s="118">
        <f t="shared" si="1"/>
        <v>116889271.39936978</v>
      </c>
      <c r="I41" s="88">
        <f>AVERAGE('Netvolumenmål 2021'!G41,'Netvolumenmål 2022'!G41)</f>
        <v>43271634.34465</v>
      </c>
      <c r="J41" s="5">
        <f>AVERAGE('Netvolumenmål 2021'!H41,'Netvolumenmål 2022'!H41)</f>
        <v>82463116.119804174</v>
      </c>
      <c r="K41" s="119">
        <f>AVERAGE('Netvolumenmål 2021'!I41,'Netvolumenmål 2022'!I41)</f>
        <v>8070490.1788999997</v>
      </c>
      <c r="L41" s="119">
        <f>AVERAGE('Netvolumenmål 2021'!J41,'Netvolumenmål 2022'!J41)</f>
        <v>20009586.142460596</v>
      </c>
      <c r="M41" s="58">
        <f>AVERAGE(VLOOKUP(B41,'Netvolumenmål 2021'!B:R,10,0),VLOOKUP(B41,'Netvolumenmål 2022'!B:R,10,0))</f>
        <v>110543192.44116476</v>
      </c>
      <c r="N41" s="88">
        <f>AVERAGE(VLOOKUP(B41,'Netvolumenmål 2021'!B:R,11,0),VLOOKUP(B41,'Netvolumenmål 2022'!B:R,11,0))</f>
        <v>153814826.78581476</v>
      </c>
      <c r="O41" s="88">
        <f>AVERAGE(VLOOKUP(B41,'Netvolumenmål 2021'!B:R,12,0),VLOOKUP(B41,'Netvolumenmål 2022'!B:R,12,0))</f>
        <v>0</v>
      </c>
      <c r="P41" s="98">
        <f>AVERAGE(VLOOKUP(B41,'Netvolumenmål 2021'!B:R,13,0),VLOOKUP(B41,'Netvolumenmål 2022'!B:R,13,0))</f>
        <v>0</v>
      </c>
      <c r="Q41" s="98">
        <f>AVERAGE(VLOOKUP(B41,'Netvolumenmål 2021'!B:R,14,0),VLOOKUP(B41,'Netvolumenmål 2022'!B:R,14,0))</f>
        <v>0</v>
      </c>
      <c r="R41" s="121">
        <f>AVERAGE(VLOOKUP(B41,'Netvolumenmål 2021'!B:R,15,0),VLOOKUP(B41,'Netvolumenmål 2022'!B:R,15,0))</f>
        <v>43271634.34465</v>
      </c>
      <c r="S41" s="225">
        <f>AVERAGE(VLOOKUP(B41,'Netvolumenmål 2021'!B:R,16,0),VLOOKUP(B41,'Netvolumenmål 2022'!B:R,16,0))</f>
        <v>110543192.44116476</v>
      </c>
      <c r="T41" s="18">
        <f>AVERAGE(VLOOKUP(B41,'Netvolumenmål 2021'!B:R,17,0),VLOOKUP(B41,'Netvolumenmål 2022'!B:R,17,0))</f>
        <v>153814826.78581476</v>
      </c>
      <c r="U41" s="98"/>
      <c r="V41" s="98"/>
      <c r="W41" s="120">
        <v>35.768149328493536</v>
      </c>
      <c r="X41" s="120">
        <v>3.5826047358834247E-2</v>
      </c>
      <c r="Y41" s="121">
        <v>46174912.073428258</v>
      </c>
      <c r="Z41" s="121">
        <v>47996956.984781571</v>
      </c>
      <c r="AA41" s="121">
        <v>167184870.24891898</v>
      </c>
      <c r="AB41" s="121">
        <v>116889271.39936978</v>
      </c>
      <c r="AC41" s="121">
        <v>43271634.34465</v>
      </c>
      <c r="AD41" s="122">
        <v>110543192.44116476</v>
      </c>
      <c r="AE41" s="122">
        <v>153814826.78581476</v>
      </c>
      <c r="AF41" s="226"/>
      <c r="AG41" s="226"/>
      <c r="AH41" s="226"/>
      <c r="AI41" s="203"/>
    </row>
    <row r="42" spans="1:35" x14ac:dyDescent="0.25">
      <c r="A42" s="49" t="s">
        <v>97</v>
      </c>
      <c r="B42" s="202" t="s">
        <v>98</v>
      </c>
      <c r="C42" s="116">
        <f>AVERAGE('Netvolumenmål 2021'!C42,'Netvolumenmål 2022'!C42)</f>
        <v>45.805224805641998</v>
      </c>
      <c r="D42" s="116">
        <f>AVERAGE('Netvolumenmål 2021'!D42,'Netvolumenmål 2022'!D42)</f>
        <v>9.2814814814814822E-2</v>
      </c>
      <c r="E42" s="117">
        <f>AVERAGE('Netvolumenmål 2021'!E42,'Netvolumenmål 2022'!E42)</f>
        <v>6975841.0601033717</v>
      </c>
      <c r="F42" s="118">
        <f t="shared" si="0"/>
        <v>8496587.0049745664</v>
      </c>
      <c r="G42" s="117">
        <f>VLOOKUP(B42,'Costdrivere gns.'!B:AP,39,0)+VLOOKUP(B42,'Costdrivere gns.'!B:AP,40,0)+VLOOKUP(B42,'Costdrivere gns.'!B:AP,41,0)</f>
        <v>58180265.400133654</v>
      </c>
      <c r="H42" s="118">
        <f t="shared" si="1"/>
        <v>38467787.170792103</v>
      </c>
      <c r="I42" s="88">
        <f>AVERAGE('Netvolumenmål 2021'!G42,'Netvolumenmål 2022'!G42)</f>
        <v>8960444.3869500011</v>
      </c>
      <c r="J42" s="5">
        <f>AVERAGE('Netvolumenmål 2021'!H42,'Netvolumenmål 2022'!H42)</f>
        <v>26660415.913890082</v>
      </c>
      <c r="K42" s="119">
        <f>AVERAGE('Netvolumenmål 2021'!I42,'Netvolumenmål 2022'!I42)</f>
        <v>327498.30000000005</v>
      </c>
      <c r="L42" s="119">
        <f>AVERAGE('Netvolumenmål 2021'!J42,'Netvolumenmål 2022'!J42)</f>
        <v>4601745.3493194785</v>
      </c>
      <c r="M42" s="58">
        <f>AVERAGE(VLOOKUP(B42,'Netvolumenmål 2021'!B:R,10,0),VLOOKUP(B42,'Netvolumenmål 2022'!B:R,10,0))</f>
        <v>31589659.563209563</v>
      </c>
      <c r="N42" s="88">
        <f>AVERAGE(VLOOKUP(B42,'Netvolumenmål 2021'!B:R,11,0),VLOOKUP(B42,'Netvolumenmål 2022'!B:R,11,0))</f>
        <v>40550103.950159565</v>
      </c>
      <c r="O42" s="88">
        <f>AVERAGE(VLOOKUP(B42,'Netvolumenmål 2021'!B:R,12,0),VLOOKUP(B42,'Netvolumenmål 2022'!B:R,12,0))</f>
        <v>0</v>
      </c>
      <c r="P42" s="98">
        <f>AVERAGE(VLOOKUP(B42,'Netvolumenmål 2021'!B:R,13,0),VLOOKUP(B42,'Netvolumenmål 2022'!B:R,13,0))</f>
        <v>0</v>
      </c>
      <c r="Q42" s="98">
        <f>AVERAGE(VLOOKUP(B42,'Netvolumenmål 2021'!B:R,14,0),VLOOKUP(B42,'Netvolumenmål 2022'!B:R,14,0))</f>
        <v>0</v>
      </c>
      <c r="R42" s="121">
        <f>AVERAGE(VLOOKUP(B42,'Netvolumenmål 2021'!B:R,15,0),VLOOKUP(B42,'Netvolumenmål 2022'!B:R,15,0))</f>
        <v>8960444.3869500011</v>
      </c>
      <c r="S42" s="225">
        <f>AVERAGE(VLOOKUP(B42,'Netvolumenmål 2021'!B:R,16,0),VLOOKUP(B42,'Netvolumenmål 2022'!B:R,16,0))</f>
        <v>31589659.563209563</v>
      </c>
      <c r="T42" s="18">
        <f>AVERAGE(VLOOKUP(B42,'Netvolumenmål 2021'!B:R,17,0),VLOOKUP(B42,'Netvolumenmål 2022'!B:R,17,0))</f>
        <v>40550103.950159565</v>
      </c>
      <c r="U42" s="98"/>
      <c r="V42" s="98"/>
      <c r="W42" s="120">
        <v>45.805224805641998</v>
      </c>
      <c r="X42" s="120">
        <v>9.2814814814814822E-2</v>
      </c>
      <c r="Y42" s="121">
        <v>6975841.0601033717</v>
      </c>
      <c r="Z42" s="121">
        <v>8496587.0049745664</v>
      </c>
      <c r="AA42" s="121">
        <v>57061281.812923327</v>
      </c>
      <c r="AB42" s="121">
        <v>37727934.538900919</v>
      </c>
      <c r="AC42" s="121">
        <v>8960444.3869500011</v>
      </c>
      <c r="AD42" s="122">
        <v>31589659.563209563</v>
      </c>
      <c r="AE42" s="122">
        <v>40550103.950159565</v>
      </c>
      <c r="AF42" s="226"/>
      <c r="AG42" s="226"/>
      <c r="AH42" s="226"/>
      <c r="AI42" s="203"/>
    </row>
    <row r="43" spans="1:35" x14ac:dyDescent="0.25">
      <c r="A43" s="49" t="s">
        <v>99</v>
      </c>
      <c r="B43" s="202" t="s">
        <v>100</v>
      </c>
      <c r="C43" s="116">
        <f>AVERAGE('Netvolumenmål 2021'!C43,'Netvolumenmål 2022'!C43)</f>
        <v>38.193113782991247</v>
      </c>
      <c r="D43" s="116">
        <f>AVERAGE('Netvolumenmål 2021'!D43,'Netvolumenmål 2022'!D43)</f>
        <v>0.14264292795769995</v>
      </c>
      <c r="E43" s="117">
        <f>AVERAGE('Netvolumenmål 2021'!E43,'Netvolumenmål 2022'!E43)</f>
        <v>5966265.2044717036</v>
      </c>
      <c r="F43" s="118">
        <f t="shared" si="0"/>
        <v>7651350.2700629337</v>
      </c>
      <c r="G43" s="117">
        <f>VLOOKUP(B43,'Costdrivere gns.'!B:AP,39,0)+VLOOKUP(B43,'Costdrivere gns.'!B:AP,40,0)+VLOOKUP(B43,'Costdrivere gns.'!B:AP,41,0)</f>
        <v>31245115.899908409</v>
      </c>
      <c r="H43" s="118">
        <f t="shared" si="1"/>
        <v>22365741.023260541</v>
      </c>
      <c r="I43" s="88">
        <f>AVERAGE('Netvolumenmål 2021'!G43,'Netvolumenmål 2022'!G43)</f>
        <v>12301889.007850001</v>
      </c>
      <c r="J43" s="5">
        <f>AVERAGE('Netvolumenmål 2021'!H43,'Netvolumenmål 2022'!H43)</f>
        <v>13916114.643390618</v>
      </c>
      <c r="K43" s="119">
        <f>AVERAGE('Netvolumenmål 2021'!I43,'Netvolumenmål 2022'!I43)</f>
        <v>2727288.4000000004</v>
      </c>
      <c r="L43" s="119">
        <f>AVERAGE('Netvolumenmål 2021'!J43,'Netvolumenmål 2022'!J43)</f>
        <v>7475277.4659513403</v>
      </c>
      <c r="M43" s="58">
        <f>AVERAGE(VLOOKUP(B43,'Netvolumenmål 2021'!B:R,10,0),VLOOKUP(B43,'Netvolumenmål 2022'!B:R,10,0))</f>
        <v>24118680.509341959</v>
      </c>
      <c r="N43" s="88">
        <f>AVERAGE(VLOOKUP(B43,'Netvolumenmål 2021'!B:R,11,0),VLOOKUP(B43,'Netvolumenmål 2022'!B:R,11,0))</f>
        <v>36420569.517191961</v>
      </c>
      <c r="O43" s="88">
        <f>AVERAGE(VLOOKUP(B43,'Netvolumenmål 2021'!B:R,12,0),VLOOKUP(B43,'Netvolumenmål 2022'!B:R,12,0))</f>
        <v>0</v>
      </c>
      <c r="P43" s="98">
        <f>AVERAGE(VLOOKUP(B43,'Netvolumenmål 2021'!B:R,13,0),VLOOKUP(B43,'Netvolumenmål 2022'!B:R,13,0))</f>
        <v>0</v>
      </c>
      <c r="Q43" s="98">
        <f>AVERAGE(VLOOKUP(B43,'Netvolumenmål 2021'!B:R,14,0),VLOOKUP(B43,'Netvolumenmål 2022'!B:R,14,0))</f>
        <v>0</v>
      </c>
      <c r="R43" s="121">
        <f>AVERAGE(VLOOKUP(B43,'Netvolumenmål 2021'!B:R,15,0),VLOOKUP(B43,'Netvolumenmål 2022'!B:R,15,0))</f>
        <v>12301889.007850001</v>
      </c>
      <c r="S43" s="225">
        <f>AVERAGE(VLOOKUP(B43,'Netvolumenmål 2021'!B:R,16,0),VLOOKUP(B43,'Netvolumenmål 2022'!B:R,16,0))</f>
        <v>24118680.509341959</v>
      </c>
      <c r="T43" s="18">
        <f>AVERAGE(VLOOKUP(B43,'Netvolumenmål 2021'!B:R,17,0),VLOOKUP(B43,'Netvolumenmål 2022'!B:R,17,0))</f>
        <v>36420569.517191961</v>
      </c>
      <c r="U43" s="98"/>
      <c r="V43" s="98"/>
      <c r="W43" s="120">
        <v>38.193113782991247</v>
      </c>
      <c r="X43" s="120">
        <v>0.14264292795769995</v>
      </c>
      <c r="Y43" s="121">
        <v>5966265.2044717036</v>
      </c>
      <c r="Z43" s="121">
        <v>7651350.2700629337</v>
      </c>
      <c r="AA43" s="121">
        <v>30374417.145423342</v>
      </c>
      <c r="AB43" s="121">
        <v>21742481.281979002</v>
      </c>
      <c r="AC43" s="121">
        <v>12301889.007850001</v>
      </c>
      <c r="AD43" s="122">
        <v>24118680.509341959</v>
      </c>
      <c r="AE43" s="122">
        <v>36420569.517191961</v>
      </c>
      <c r="AF43" s="226"/>
      <c r="AG43" s="226"/>
      <c r="AH43" s="226"/>
      <c r="AI43" s="203"/>
    </row>
    <row r="44" spans="1:35" x14ac:dyDescent="0.25">
      <c r="A44" s="49" t="s">
        <v>101</v>
      </c>
      <c r="B44" s="202" t="s">
        <v>102</v>
      </c>
      <c r="C44" s="116">
        <f>AVERAGE('Netvolumenmål 2021'!C44,'Netvolumenmål 2022'!C44)</f>
        <v>32.073996405998571</v>
      </c>
      <c r="D44" s="116">
        <f>AVERAGE('Netvolumenmål 2021'!D44,'Netvolumenmål 2022'!D44)</f>
        <v>9.9609026314849858E-2</v>
      </c>
      <c r="E44" s="117">
        <f>AVERAGE('Netvolumenmål 2021'!E44,'Netvolumenmål 2022'!E44)</f>
        <v>13601872.88967789</v>
      </c>
      <c r="F44" s="118">
        <f t="shared" si="0"/>
        <v>15720789.538034702</v>
      </c>
      <c r="G44" s="117">
        <f>VLOOKUP(B44,'Costdrivere gns.'!B:AP,39,0)+VLOOKUP(B44,'Costdrivere gns.'!B:AP,40,0)+VLOOKUP(B44,'Costdrivere gns.'!B:AP,41,0)</f>
        <v>57796554.146545351</v>
      </c>
      <c r="H44" s="118">
        <f t="shared" si="1"/>
        <v>42576880.486905783</v>
      </c>
      <c r="I44" s="88">
        <f>AVERAGE('Netvolumenmål 2021'!G44,'Netvolumenmål 2022'!G44)</f>
        <v>15506995.20535</v>
      </c>
      <c r="J44" s="5">
        <f>AVERAGE('Netvolumenmål 2021'!H44,'Netvolumenmål 2022'!H44)</f>
        <v>25300725.224697456</v>
      </c>
      <c r="K44" s="119">
        <f>AVERAGE('Netvolumenmål 2021'!I44,'Netvolumenmål 2022'!I44)</f>
        <v>11605204.4</v>
      </c>
      <c r="L44" s="119">
        <f>AVERAGE('Netvolumenmål 2021'!J44,'Netvolumenmål 2022'!J44)</f>
        <v>22455344.307019182</v>
      </c>
      <c r="M44" s="58">
        <f>AVERAGE(VLOOKUP(B44,'Netvolumenmål 2021'!B:R,10,0),VLOOKUP(B44,'Netvolumenmål 2022'!B:R,10,0))</f>
        <v>59361273.931716636</v>
      </c>
      <c r="N44" s="88">
        <f>AVERAGE(VLOOKUP(B44,'Netvolumenmål 2021'!B:R,11,0),VLOOKUP(B44,'Netvolumenmål 2022'!B:R,11,0))</f>
        <v>74868269.137066633</v>
      </c>
      <c r="O44" s="88">
        <f>AVERAGE(VLOOKUP(B44,'Netvolumenmål 2021'!B:R,12,0),VLOOKUP(B44,'Netvolumenmål 2022'!B:R,12,0))</f>
        <v>0</v>
      </c>
      <c r="P44" s="98">
        <f>AVERAGE(VLOOKUP(B44,'Netvolumenmål 2021'!B:R,13,0),VLOOKUP(B44,'Netvolumenmål 2022'!B:R,13,0))</f>
        <v>0</v>
      </c>
      <c r="Q44" s="98">
        <f>AVERAGE(VLOOKUP(B44,'Netvolumenmål 2021'!B:R,14,0),VLOOKUP(B44,'Netvolumenmål 2022'!B:R,14,0))</f>
        <v>8438748.9548776504</v>
      </c>
      <c r="R44" s="121">
        <f>AVERAGE(VLOOKUP(B44,'Netvolumenmål 2021'!B:R,15,0),VLOOKUP(B44,'Netvolumenmål 2022'!B:R,15,0))</f>
        <v>15506995.20535</v>
      </c>
      <c r="S44" s="225">
        <f>AVERAGE(VLOOKUP(B44,'Netvolumenmål 2021'!B:R,16,0),VLOOKUP(B44,'Netvolumenmål 2022'!B:R,16,0))</f>
        <v>50922524.976838976</v>
      </c>
      <c r="T44" s="18">
        <f>AVERAGE(VLOOKUP(B44,'Netvolumenmål 2021'!B:R,17,0),VLOOKUP(B44,'Netvolumenmål 2022'!B:R,17,0))</f>
        <v>66429520.18218898</v>
      </c>
      <c r="U44" s="98"/>
      <c r="V44" s="98"/>
      <c r="W44" s="120">
        <v>32.073996405998571</v>
      </c>
      <c r="X44" s="120">
        <v>9.9609026314849858E-2</v>
      </c>
      <c r="Y44" s="121">
        <v>13601872.88967789</v>
      </c>
      <c r="Z44" s="121">
        <v>15720789.538034702</v>
      </c>
      <c r="AA44" s="121">
        <v>56143524.499420017</v>
      </c>
      <c r="AB44" s="121">
        <v>41359146.198655412</v>
      </c>
      <c r="AC44" s="121">
        <v>15506995.20535</v>
      </c>
      <c r="AD44" s="122">
        <v>50922524.976838976</v>
      </c>
      <c r="AE44" s="122">
        <v>66429520.18218898</v>
      </c>
      <c r="AF44" s="226"/>
      <c r="AG44" s="226"/>
      <c r="AH44" s="226"/>
      <c r="AI44" s="203"/>
    </row>
    <row r="45" spans="1:35" x14ac:dyDescent="0.25">
      <c r="A45" s="49" t="s">
        <v>103</v>
      </c>
      <c r="B45" s="202" t="s">
        <v>104</v>
      </c>
      <c r="C45" s="116">
        <f>AVERAGE('Netvolumenmål 2021'!C45,'Netvolumenmål 2022'!C45)</f>
        <v>26.60948392572687</v>
      </c>
      <c r="D45" s="116">
        <f>AVERAGE('Netvolumenmål 2021'!D45,'Netvolumenmål 2022'!D45)</f>
        <v>0.33228264751766545</v>
      </c>
      <c r="E45" s="117">
        <f>AVERAGE('Netvolumenmål 2021'!E45,'Netvolumenmål 2022'!E45)</f>
        <v>90421565.522056401</v>
      </c>
      <c r="F45" s="118">
        <f t="shared" si="0"/>
        <v>146928343.29717222</v>
      </c>
      <c r="G45" s="117">
        <f>VLOOKUP(B45,'Costdrivere gns.'!B:AP,39,0)+VLOOKUP(B45,'Costdrivere gns.'!B:AP,40,0)+VLOOKUP(B45,'Costdrivere gns.'!B:AP,41,0)</f>
        <v>272739993.92060822</v>
      </c>
      <c r="H45" s="118">
        <f t="shared" si="1"/>
        <v>226523248.21458825</v>
      </c>
      <c r="I45" s="88">
        <f>AVERAGE('Netvolumenmål 2021'!G45,'Netvolumenmål 2022'!G45)</f>
        <v>108652087.39465001</v>
      </c>
      <c r="J45" s="5">
        <f>AVERAGE('Netvolumenmål 2021'!H45,'Netvolumenmål 2022'!H45)</f>
        <v>114297917.99819058</v>
      </c>
      <c r="K45" s="119">
        <f>AVERAGE('Netvolumenmål 2021'!I45,'Netvolumenmål 2022'!I45)</f>
        <v>19287495.853550002</v>
      </c>
      <c r="L45" s="119">
        <f>AVERAGE('Netvolumenmål 2021'!J45,'Netvolumenmål 2022'!J45)</f>
        <v>53002587.952447653</v>
      </c>
      <c r="M45" s="58">
        <f>AVERAGE(VLOOKUP(B45,'Netvolumenmål 2021'!B:R,10,0),VLOOKUP(B45,'Netvolumenmål 2022'!B:R,10,0))</f>
        <v>186588001.80418825</v>
      </c>
      <c r="N45" s="88">
        <f>AVERAGE(VLOOKUP(B45,'Netvolumenmål 2021'!B:R,11,0),VLOOKUP(B45,'Netvolumenmål 2022'!B:R,11,0))</f>
        <v>295240089.19883823</v>
      </c>
      <c r="O45" s="88">
        <f>AVERAGE(VLOOKUP(B45,'Netvolumenmål 2021'!B:R,12,0),VLOOKUP(B45,'Netvolumenmål 2022'!B:R,12,0))</f>
        <v>706776.2903659842</v>
      </c>
      <c r="P45" s="98">
        <f>AVERAGE(VLOOKUP(B45,'Netvolumenmål 2021'!B:R,13,0),VLOOKUP(B45,'Netvolumenmål 2022'!B:R,13,0))</f>
        <v>0</v>
      </c>
      <c r="Q45" s="98">
        <f>AVERAGE(VLOOKUP(B45,'Netvolumenmål 2021'!B:R,14,0),VLOOKUP(B45,'Netvolumenmål 2022'!B:R,14,0))</f>
        <v>6477346.4503082344</v>
      </c>
      <c r="R45" s="121">
        <f>AVERAGE(VLOOKUP(B45,'Netvolumenmål 2021'!B:R,15,0),VLOOKUP(B45,'Netvolumenmål 2022'!B:R,15,0))</f>
        <v>108652087.39465001</v>
      </c>
      <c r="S45" s="225">
        <f>AVERAGE(VLOOKUP(B45,'Netvolumenmål 2021'!B:R,16,0),VLOOKUP(B45,'Netvolumenmål 2022'!B:R,16,0))</f>
        <v>179403879.06351399</v>
      </c>
      <c r="T45" s="18">
        <f>AVERAGE(VLOOKUP(B45,'Netvolumenmål 2021'!B:R,17,0),VLOOKUP(B45,'Netvolumenmål 2022'!B:R,17,0))</f>
        <v>288055966.45816398</v>
      </c>
      <c r="U45" s="98"/>
      <c r="V45" s="98"/>
      <c r="W45" s="120">
        <v>26.60948392572687</v>
      </c>
      <c r="X45" s="120">
        <v>0.33228264751766545</v>
      </c>
      <c r="Y45" s="121">
        <v>90421565.522056401</v>
      </c>
      <c r="Z45" s="121">
        <v>146928343.29717222</v>
      </c>
      <c r="AA45" s="121">
        <v>264848430.84616476</v>
      </c>
      <c r="AB45" s="121">
        <v>219968938.09887564</v>
      </c>
      <c r="AC45" s="121">
        <v>118856679.39465001</v>
      </c>
      <c r="AD45" s="122">
        <v>179403879.06351399</v>
      </c>
      <c r="AE45" s="122">
        <v>298260558.45816398</v>
      </c>
      <c r="AF45" s="226"/>
      <c r="AG45" s="226"/>
      <c r="AH45" s="226"/>
      <c r="AI45" s="203"/>
    </row>
    <row r="46" spans="1:35" x14ac:dyDescent="0.25">
      <c r="A46" s="49" t="s">
        <v>105</v>
      </c>
      <c r="B46" s="202" t="s">
        <v>106</v>
      </c>
      <c r="C46" s="116">
        <f>AVERAGE('Netvolumenmål 2021'!C46,'Netvolumenmål 2022'!C46)</f>
        <v>45.475571759322541</v>
      </c>
      <c r="D46" s="116">
        <f>AVERAGE('Netvolumenmål 2021'!D46,'Netvolumenmål 2022'!D46)</f>
        <v>0.14649929730420336</v>
      </c>
      <c r="E46" s="117">
        <f>AVERAGE('Netvolumenmål 2021'!E46,'Netvolumenmål 2022'!E46)</f>
        <v>6009237.8822346162</v>
      </c>
      <c r="F46" s="118">
        <f t="shared" si="0"/>
        <v>8001035.1681567309</v>
      </c>
      <c r="G46" s="117">
        <f>VLOOKUP(B46,'Costdrivere gns.'!B:AP,39,0)+VLOOKUP(B46,'Costdrivere gns.'!B:AP,40,0)+VLOOKUP(B46,'Costdrivere gns.'!B:AP,41,0)</f>
        <v>31476935.411001656</v>
      </c>
      <c r="H46" s="118">
        <f t="shared" si="1"/>
        <v>21336707.23597813</v>
      </c>
      <c r="I46" s="88">
        <f>AVERAGE('Netvolumenmål 2021'!G46,'Netvolumenmål 2022'!G46)</f>
        <v>9281006.591</v>
      </c>
      <c r="J46" s="5">
        <f>AVERAGE('Netvolumenmål 2021'!H46,'Netvolumenmål 2022'!H46)</f>
        <v>9772789.7746524941</v>
      </c>
      <c r="K46" s="119">
        <f>AVERAGE('Netvolumenmål 2021'!I46,'Netvolumenmål 2022'!I46)</f>
        <v>1293493.2000000002</v>
      </c>
      <c r="L46" s="119">
        <f>AVERAGE('Netvolumenmål 2021'!J46,'Netvolumenmål 2022'!J46)</f>
        <v>6927368.5505356817</v>
      </c>
      <c r="M46" s="58">
        <f>AVERAGE(VLOOKUP(B46,'Netvolumenmål 2021'!B:R,10,0),VLOOKUP(B46,'Netvolumenmål 2022'!B:R,10,0))</f>
        <v>17993651.525188178</v>
      </c>
      <c r="N46" s="88">
        <f>AVERAGE(VLOOKUP(B46,'Netvolumenmål 2021'!B:R,11,0),VLOOKUP(B46,'Netvolumenmål 2022'!B:R,11,0))</f>
        <v>27274658.116188176</v>
      </c>
      <c r="O46" s="88">
        <f>AVERAGE(VLOOKUP(B46,'Netvolumenmål 2021'!B:R,12,0),VLOOKUP(B46,'Netvolumenmål 2022'!B:R,12,0))</f>
        <v>0</v>
      </c>
      <c r="P46" s="98">
        <f>AVERAGE(VLOOKUP(B46,'Netvolumenmål 2021'!B:R,13,0),VLOOKUP(B46,'Netvolumenmål 2022'!B:R,13,0))</f>
        <v>0</v>
      </c>
      <c r="Q46" s="98">
        <f>AVERAGE(VLOOKUP(B46,'Netvolumenmål 2021'!B:R,14,0),VLOOKUP(B46,'Netvolumenmål 2022'!B:R,14,0))</f>
        <v>0</v>
      </c>
      <c r="R46" s="121">
        <f>AVERAGE(VLOOKUP(B46,'Netvolumenmål 2021'!B:R,15,0),VLOOKUP(B46,'Netvolumenmål 2022'!B:R,15,0))</f>
        <v>9281006.591</v>
      </c>
      <c r="S46" s="225">
        <f>AVERAGE(VLOOKUP(B46,'Netvolumenmål 2021'!B:R,16,0),VLOOKUP(B46,'Netvolumenmål 2022'!B:R,16,0))</f>
        <v>17993651.525188178</v>
      </c>
      <c r="T46" s="18">
        <f>AVERAGE(VLOOKUP(B46,'Netvolumenmål 2021'!B:R,17,0),VLOOKUP(B46,'Netvolumenmål 2022'!B:R,17,0))</f>
        <v>27274658.116188176</v>
      </c>
      <c r="U46" s="98"/>
      <c r="V46" s="98"/>
      <c r="W46" s="120">
        <v>45.475571759322541</v>
      </c>
      <c r="X46" s="120">
        <v>0.14649929730420336</v>
      </c>
      <c r="Y46" s="121">
        <v>6009237.8822346162</v>
      </c>
      <c r="Z46" s="121">
        <v>8001035.1681567309</v>
      </c>
      <c r="AA46" s="121">
        <v>30611528.245983321</v>
      </c>
      <c r="AB46" s="121">
        <v>20750089.159001671</v>
      </c>
      <c r="AC46" s="121">
        <v>9281006.591</v>
      </c>
      <c r="AD46" s="122">
        <v>17993651.525188178</v>
      </c>
      <c r="AE46" s="122">
        <v>27274658.116188176</v>
      </c>
      <c r="AF46" s="226"/>
      <c r="AG46" s="226"/>
      <c r="AH46" s="226"/>
      <c r="AI46" s="203"/>
    </row>
    <row r="47" spans="1:35" x14ac:dyDescent="0.25">
      <c r="A47" s="49" t="s">
        <v>107</v>
      </c>
      <c r="B47" s="202" t="s">
        <v>108</v>
      </c>
      <c r="C47" s="116">
        <f>AVERAGE('Netvolumenmål 2021'!C47,'Netvolumenmål 2022'!C47)</f>
        <v>35.083126044146383</v>
      </c>
      <c r="D47" s="116">
        <f>AVERAGE('Netvolumenmål 2021'!D47,'Netvolumenmål 2022'!D47)</f>
        <v>3.5386941601644059E-2</v>
      </c>
      <c r="E47" s="117">
        <f>AVERAGE('Netvolumenmål 2021'!E47,'Netvolumenmål 2022'!E47)</f>
        <v>36395327.764127463</v>
      </c>
      <c r="F47" s="118">
        <f t="shared" si="0"/>
        <v>37657683.022872657</v>
      </c>
      <c r="G47" s="117">
        <f>VLOOKUP(B47,'Costdrivere gns.'!B:AP,39,0)+VLOOKUP(B47,'Costdrivere gns.'!B:AP,40,0)+VLOOKUP(B47,'Costdrivere gns.'!B:AP,41,0)</f>
        <v>119140022.52275582</v>
      </c>
      <c r="H47" s="118">
        <f t="shared" si="1"/>
        <v>83721077.24296239</v>
      </c>
      <c r="I47" s="88">
        <f>AVERAGE('Netvolumenmål 2021'!G47,'Netvolumenmål 2022'!G47)</f>
        <v>51738656.840350002</v>
      </c>
      <c r="J47" s="5">
        <f>AVERAGE('Netvolumenmål 2021'!H47,'Netvolumenmål 2022'!H47)</f>
        <v>62718592.677859187</v>
      </c>
      <c r="K47" s="119">
        <f>AVERAGE('Netvolumenmål 2021'!I47,'Netvolumenmål 2022'!I47)</f>
        <v>8850093.6964500006</v>
      </c>
      <c r="L47" s="119">
        <f>AVERAGE('Netvolumenmål 2021'!J47,'Netvolumenmål 2022'!J47)</f>
        <v>18774780.857106488</v>
      </c>
      <c r="M47" s="58">
        <f>AVERAGE(VLOOKUP(B47,'Netvolumenmål 2021'!B:R,10,0),VLOOKUP(B47,'Netvolumenmål 2022'!B:R,10,0))</f>
        <v>90343467.231415689</v>
      </c>
      <c r="N47" s="88">
        <f>AVERAGE(VLOOKUP(B47,'Netvolumenmål 2021'!B:R,11,0),VLOOKUP(B47,'Netvolumenmål 2022'!B:R,11,0))</f>
        <v>142082124.07176569</v>
      </c>
      <c r="O47" s="88">
        <f>AVERAGE(VLOOKUP(B47,'Netvolumenmål 2021'!B:R,12,0),VLOOKUP(B47,'Netvolumenmål 2022'!B:R,12,0))</f>
        <v>0</v>
      </c>
      <c r="P47" s="98">
        <f>AVERAGE(VLOOKUP(B47,'Netvolumenmål 2021'!B:R,13,0),VLOOKUP(B47,'Netvolumenmål 2022'!B:R,13,0))</f>
        <v>0</v>
      </c>
      <c r="Q47" s="98">
        <f>AVERAGE(VLOOKUP(B47,'Netvolumenmål 2021'!B:R,14,0),VLOOKUP(B47,'Netvolumenmål 2022'!B:R,14,0))</f>
        <v>0</v>
      </c>
      <c r="R47" s="121">
        <f>AVERAGE(VLOOKUP(B47,'Netvolumenmål 2021'!B:R,15,0),VLOOKUP(B47,'Netvolumenmål 2022'!B:R,15,0))</f>
        <v>51738656.840350002</v>
      </c>
      <c r="S47" s="225">
        <f>AVERAGE(VLOOKUP(B47,'Netvolumenmål 2021'!B:R,16,0),VLOOKUP(B47,'Netvolumenmål 2022'!B:R,16,0))</f>
        <v>90343467.231415689</v>
      </c>
      <c r="T47" s="18">
        <f>AVERAGE(VLOOKUP(B47,'Netvolumenmål 2021'!B:R,17,0),VLOOKUP(B47,'Netvolumenmål 2022'!B:R,17,0))</f>
        <v>142082124.07176569</v>
      </c>
      <c r="U47" s="98"/>
      <c r="V47" s="98"/>
      <c r="W47" s="120">
        <v>35.083126044146383</v>
      </c>
      <c r="X47" s="120">
        <v>3.5386941601644059E-2</v>
      </c>
      <c r="Y47" s="121">
        <v>36395327.764127463</v>
      </c>
      <c r="Z47" s="121">
        <v>37657683.022872657</v>
      </c>
      <c r="AA47" s="121">
        <v>116109306.28532633</v>
      </c>
      <c r="AB47" s="121">
        <v>81591357.751203254</v>
      </c>
      <c r="AC47" s="121">
        <v>51738656.840350002</v>
      </c>
      <c r="AD47" s="122">
        <v>90343467.231415689</v>
      </c>
      <c r="AE47" s="122">
        <v>142082124.07176569</v>
      </c>
      <c r="AF47" s="226"/>
      <c r="AG47" s="226"/>
      <c r="AH47" s="226"/>
      <c r="AI47" s="203"/>
    </row>
    <row r="48" spans="1:35" x14ac:dyDescent="0.25">
      <c r="A48" s="49" t="s">
        <v>109</v>
      </c>
      <c r="B48" s="202" t="s">
        <v>110</v>
      </c>
      <c r="C48" s="116">
        <f>AVERAGE('Netvolumenmål 2021'!C48,'Netvolumenmål 2022'!C48)</f>
        <v>33.630021646027082</v>
      </c>
      <c r="D48" s="116">
        <f>AVERAGE('Netvolumenmål 2021'!D48,'Netvolumenmål 2022'!D48)</f>
        <v>4.035041742137209E-2</v>
      </c>
      <c r="E48" s="117">
        <f>AVERAGE('Netvolumenmål 2021'!E48,'Netvolumenmål 2022'!E48)</f>
        <v>57794591.618226647</v>
      </c>
      <c r="F48" s="118">
        <f t="shared" si="0"/>
        <v>59945471.243596308</v>
      </c>
      <c r="G48" s="117">
        <f>VLOOKUP(B48,'Costdrivere gns.'!B:AP,39,0)+VLOOKUP(B48,'Costdrivere gns.'!B:AP,40,0)+VLOOKUP(B48,'Costdrivere gns.'!B:AP,41,0)</f>
        <v>144906645.85966218</v>
      </c>
      <c r="H48" s="118">
        <f t="shared" si="1"/>
        <v>103155864.45713808</v>
      </c>
      <c r="I48" s="88">
        <f>AVERAGE('Netvolumenmål 2021'!G48,'Netvolumenmål 2022'!G48)</f>
        <v>48945623.875750005</v>
      </c>
      <c r="J48" s="5">
        <f>AVERAGE('Netvolumenmål 2021'!H48,'Netvolumenmål 2022'!H48)</f>
        <v>81013662.509135187</v>
      </c>
      <c r="K48" s="119">
        <f>AVERAGE('Netvolumenmål 2021'!I48,'Netvolumenmål 2022'!I48)</f>
        <v>2820705.6239</v>
      </c>
      <c r="L48" s="119">
        <f>AVERAGE('Netvolumenmål 2021'!J48,'Netvolumenmål 2022'!J48)</f>
        <v>26117554.919328231</v>
      </c>
      <c r="M48" s="58">
        <f>AVERAGE(VLOOKUP(B48,'Netvolumenmål 2021'!B:R,10,0),VLOOKUP(B48,'Netvolumenmål 2022'!B:R,10,0))</f>
        <v>109951923.05236343</v>
      </c>
      <c r="N48" s="88">
        <f>AVERAGE(VLOOKUP(B48,'Netvolumenmål 2021'!B:R,11,0),VLOOKUP(B48,'Netvolumenmål 2022'!B:R,11,0))</f>
        <v>158897546.92811343</v>
      </c>
      <c r="O48" s="88">
        <f>AVERAGE(VLOOKUP(B48,'Netvolumenmål 2021'!B:R,12,0),VLOOKUP(B48,'Netvolumenmål 2022'!B:R,12,0))</f>
        <v>0</v>
      </c>
      <c r="P48" s="98">
        <f>AVERAGE(VLOOKUP(B48,'Netvolumenmål 2021'!B:R,13,0),VLOOKUP(B48,'Netvolumenmål 2022'!B:R,13,0))</f>
        <v>0</v>
      </c>
      <c r="Q48" s="98">
        <f>AVERAGE(VLOOKUP(B48,'Netvolumenmål 2021'!B:R,14,0),VLOOKUP(B48,'Netvolumenmål 2022'!B:R,14,0))</f>
        <v>0</v>
      </c>
      <c r="R48" s="121">
        <f>AVERAGE(VLOOKUP(B48,'Netvolumenmål 2021'!B:R,15,0),VLOOKUP(B48,'Netvolumenmål 2022'!B:R,15,0))</f>
        <v>48945623.875750005</v>
      </c>
      <c r="S48" s="225">
        <f>AVERAGE(VLOOKUP(B48,'Netvolumenmål 2021'!B:R,16,0),VLOOKUP(B48,'Netvolumenmål 2022'!B:R,16,0))</f>
        <v>109951923.05236343</v>
      </c>
      <c r="T48" s="18">
        <f>AVERAGE(VLOOKUP(B48,'Netvolumenmål 2021'!B:R,17,0),VLOOKUP(B48,'Netvolumenmål 2022'!B:R,17,0))</f>
        <v>158897546.92811343</v>
      </c>
      <c r="U48" s="98"/>
      <c r="V48" s="98"/>
      <c r="W48" s="120">
        <v>33.630021646027082</v>
      </c>
      <c r="X48" s="120">
        <v>4.035041742137209E-2</v>
      </c>
      <c r="Y48" s="121">
        <v>57794591.618226647</v>
      </c>
      <c r="Z48" s="121">
        <v>59945471.243596308</v>
      </c>
      <c r="AA48" s="121">
        <v>144906645.85966218</v>
      </c>
      <c r="AB48" s="121">
        <v>103155864.45713808</v>
      </c>
      <c r="AC48" s="121">
        <v>48945623.875750005</v>
      </c>
      <c r="AD48" s="122">
        <v>109951923.05236343</v>
      </c>
      <c r="AE48" s="122">
        <v>158897546.92811343</v>
      </c>
      <c r="AF48" s="226"/>
      <c r="AG48" s="226"/>
      <c r="AH48" s="226"/>
      <c r="AI48" s="203"/>
    </row>
    <row r="49" spans="1:35" x14ac:dyDescent="0.25">
      <c r="A49" s="49" t="s">
        <v>111</v>
      </c>
      <c r="B49" s="202" t="s">
        <v>112</v>
      </c>
      <c r="C49" s="116">
        <f>AVERAGE('Netvolumenmål 2021'!C49,'Netvolumenmål 2022'!C49)</f>
        <v>40.786603251371602</v>
      </c>
      <c r="D49" s="116">
        <f>AVERAGE('Netvolumenmål 2021'!D49,'Netvolumenmål 2022'!D49)</f>
        <v>6.6499929032611232E-2</v>
      </c>
      <c r="E49" s="117">
        <f>AVERAGE('Netvolumenmål 2021'!E49,'Netvolumenmål 2022'!E49)</f>
        <v>15931371.387008149</v>
      </c>
      <c r="F49" s="118">
        <f t="shared" si="0"/>
        <v>18056794.063146651</v>
      </c>
      <c r="G49" s="117">
        <f>VLOOKUP(B49,'Costdrivere gns.'!B:AP,39,0)+VLOOKUP(B49,'Costdrivere gns.'!B:AP,40,0)+VLOOKUP(B49,'Costdrivere gns.'!B:AP,41,0)</f>
        <v>68042439.509263873</v>
      </c>
      <c r="H49" s="118">
        <f t="shared" si="1"/>
        <v>46321776.925749481</v>
      </c>
      <c r="I49" s="88">
        <f>AVERAGE('Netvolumenmål 2021'!G49,'Netvolumenmål 2022'!G49)</f>
        <v>11286772.766392998</v>
      </c>
      <c r="J49" s="5">
        <f>AVERAGE('Netvolumenmål 2021'!H49,'Netvolumenmål 2022'!H49)</f>
        <v>37239006.207169987</v>
      </c>
      <c r="K49" s="119">
        <f>AVERAGE('Netvolumenmål 2021'!I49,'Netvolumenmål 2022'!I49)</f>
        <v>370995.68591650005</v>
      </c>
      <c r="L49" s="119">
        <f>AVERAGE('Netvolumenmål 2021'!J49,'Netvolumenmål 2022'!J49)</f>
        <v>7763013.698839169</v>
      </c>
      <c r="M49" s="58">
        <f>AVERAGE(VLOOKUP(B49,'Netvolumenmål 2021'!B:R,10,0),VLOOKUP(B49,'Netvolumenmål 2022'!B:R,10,0))</f>
        <v>45373015.591925658</v>
      </c>
      <c r="N49" s="88">
        <f>AVERAGE(VLOOKUP(B49,'Netvolumenmål 2021'!B:R,11,0),VLOOKUP(B49,'Netvolumenmål 2022'!B:R,11,0))</f>
        <v>56659788.358318657</v>
      </c>
      <c r="O49" s="88">
        <f>AVERAGE(VLOOKUP(B49,'Netvolumenmål 2021'!B:R,12,0),VLOOKUP(B49,'Netvolumenmål 2022'!B:R,12,0))</f>
        <v>0</v>
      </c>
      <c r="P49" s="98">
        <f>AVERAGE(VLOOKUP(B49,'Netvolumenmål 2021'!B:R,13,0),VLOOKUP(B49,'Netvolumenmål 2022'!B:R,13,0))</f>
        <v>0</v>
      </c>
      <c r="Q49" s="98">
        <f>AVERAGE(VLOOKUP(B49,'Netvolumenmål 2021'!B:R,14,0),VLOOKUP(B49,'Netvolumenmål 2022'!B:R,14,0))</f>
        <v>0</v>
      </c>
      <c r="R49" s="121">
        <f>AVERAGE(VLOOKUP(B49,'Netvolumenmål 2021'!B:R,15,0),VLOOKUP(B49,'Netvolumenmål 2022'!B:R,15,0))</f>
        <v>11286772.766392998</v>
      </c>
      <c r="S49" s="225">
        <f>AVERAGE(VLOOKUP(B49,'Netvolumenmål 2021'!B:R,16,0),VLOOKUP(B49,'Netvolumenmål 2022'!B:R,16,0))</f>
        <v>45373015.591925658</v>
      </c>
      <c r="T49" s="18">
        <f>AVERAGE(VLOOKUP(B49,'Netvolumenmål 2021'!B:R,17,0),VLOOKUP(B49,'Netvolumenmål 2022'!B:R,17,0))</f>
        <v>56659788.358318657</v>
      </c>
      <c r="U49" s="98"/>
      <c r="V49" s="98"/>
      <c r="W49" s="120">
        <v>40.786603251371602</v>
      </c>
      <c r="X49" s="120">
        <v>6.6499929032611232E-2</v>
      </c>
      <c r="Y49" s="121">
        <v>15931371.387008149</v>
      </c>
      <c r="Z49" s="121">
        <v>18056794.063146651</v>
      </c>
      <c r="AA49" s="121">
        <v>66296843.9552522</v>
      </c>
      <c r="AB49" s="121">
        <v>45133414.362051278</v>
      </c>
      <c r="AC49" s="121">
        <v>11286772.766392998</v>
      </c>
      <c r="AD49" s="122">
        <v>45373015.591925658</v>
      </c>
      <c r="AE49" s="122">
        <v>56659788.358318657</v>
      </c>
      <c r="AF49" s="226"/>
      <c r="AG49" s="226"/>
      <c r="AH49" s="226"/>
      <c r="AI49" s="203"/>
    </row>
    <row r="50" spans="1:35" x14ac:dyDescent="0.25">
      <c r="A50" s="49" t="s">
        <v>113</v>
      </c>
      <c r="B50" s="202" t="s">
        <v>114</v>
      </c>
      <c r="C50" s="116">
        <f>AVERAGE('Netvolumenmål 2021'!C50,'Netvolumenmål 2022'!C50)</f>
        <v>38.692343406302967</v>
      </c>
      <c r="D50" s="116">
        <f>AVERAGE('Netvolumenmål 2021'!D50,'Netvolumenmål 2022'!D50)</f>
        <v>7.6778501672233018E-2</v>
      </c>
      <c r="E50" s="117">
        <f>AVERAGE('Netvolumenmål 2021'!E50,'Netvolumenmål 2022'!E50)</f>
        <v>15394038.009982957</v>
      </c>
      <c r="F50" s="118">
        <f t="shared" si="0"/>
        <v>17607256.666447077</v>
      </c>
      <c r="G50" s="117">
        <f>VLOOKUP(B50,'Costdrivere gns.'!B:AP,39,0)+VLOOKUP(B50,'Costdrivere gns.'!B:AP,40,0)+VLOOKUP(B50,'Costdrivere gns.'!B:AP,41,0)</f>
        <v>37627613.311071523</v>
      </c>
      <c r="H50" s="118">
        <f t="shared" si="1"/>
        <v>26145780.925566021</v>
      </c>
      <c r="I50" s="88">
        <f>AVERAGE('Netvolumenmål 2021'!G50,'Netvolumenmål 2022'!G50)</f>
        <v>15901045.134750001</v>
      </c>
      <c r="J50" s="5">
        <f>AVERAGE('Netvolumenmål 2021'!H50,'Netvolumenmål 2022'!H50)</f>
        <v>18309026.701598503</v>
      </c>
      <c r="K50" s="119">
        <f>AVERAGE('Netvolumenmål 2021'!I50,'Netvolumenmål 2022'!I50)</f>
        <v>1422382.65</v>
      </c>
      <c r="L50" s="119">
        <f>AVERAGE('Netvolumenmål 2021'!J50,'Netvolumenmål 2022'!J50)</f>
        <v>9834880.9752532803</v>
      </c>
      <c r="M50" s="58">
        <f>AVERAGE(VLOOKUP(B50,'Netvolumenmål 2021'!B:R,10,0),VLOOKUP(B50,'Netvolumenmål 2022'!B:R,10,0))</f>
        <v>29566290.326851785</v>
      </c>
      <c r="N50" s="88">
        <f>AVERAGE(VLOOKUP(B50,'Netvolumenmål 2021'!B:R,11,0),VLOOKUP(B50,'Netvolumenmål 2022'!B:R,11,0))</f>
        <v>45467335.461601786</v>
      </c>
      <c r="O50" s="88">
        <f>AVERAGE(VLOOKUP(B50,'Netvolumenmål 2021'!B:R,12,0),VLOOKUP(B50,'Netvolumenmål 2022'!B:R,12,0))</f>
        <v>0</v>
      </c>
      <c r="P50" s="98">
        <f>AVERAGE(VLOOKUP(B50,'Netvolumenmål 2021'!B:R,13,0),VLOOKUP(B50,'Netvolumenmål 2022'!B:R,13,0))</f>
        <v>0</v>
      </c>
      <c r="Q50" s="98">
        <f>AVERAGE(VLOOKUP(B50,'Netvolumenmål 2021'!B:R,14,0),VLOOKUP(B50,'Netvolumenmål 2022'!B:R,14,0))</f>
        <v>0</v>
      </c>
      <c r="R50" s="121">
        <f>AVERAGE(VLOOKUP(B50,'Netvolumenmål 2021'!B:R,15,0),VLOOKUP(B50,'Netvolumenmål 2022'!B:R,15,0))</f>
        <v>15901045.134750001</v>
      </c>
      <c r="S50" s="225">
        <f>AVERAGE(VLOOKUP(B50,'Netvolumenmål 2021'!B:R,16,0),VLOOKUP(B50,'Netvolumenmål 2022'!B:R,16,0))</f>
        <v>29566290.326851785</v>
      </c>
      <c r="T50" s="18">
        <f>AVERAGE(VLOOKUP(B50,'Netvolumenmål 2021'!B:R,17,0),VLOOKUP(B50,'Netvolumenmål 2022'!B:R,17,0))</f>
        <v>45467335.461601786</v>
      </c>
      <c r="U50" s="98"/>
      <c r="V50" s="98"/>
      <c r="W50" s="120">
        <v>38.692343406302967</v>
      </c>
      <c r="X50" s="120">
        <v>7.6778501672233018E-2</v>
      </c>
      <c r="Y50" s="121">
        <v>15394038.009982957</v>
      </c>
      <c r="Z50" s="121">
        <v>17607256.666447077</v>
      </c>
      <c r="AA50" s="121">
        <v>36758103.070764489</v>
      </c>
      <c r="AB50" s="121">
        <v>25541596.331989508</v>
      </c>
      <c r="AC50" s="121">
        <v>15901045.134750001</v>
      </c>
      <c r="AD50" s="122">
        <v>29566290.326851785</v>
      </c>
      <c r="AE50" s="122">
        <v>45467335.461601786</v>
      </c>
      <c r="AF50" s="226"/>
      <c r="AG50" s="226"/>
      <c r="AH50" s="226"/>
      <c r="AI50" s="203"/>
    </row>
    <row r="51" spans="1:35" x14ac:dyDescent="0.25">
      <c r="A51" s="49" t="s">
        <v>115</v>
      </c>
      <c r="B51" s="202" t="s">
        <v>116</v>
      </c>
      <c r="C51" s="116">
        <f>AVERAGE('Netvolumenmål 2021'!C51,'Netvolumenmål 2022'!C51)</f>
        <v>34.964689853061394</v>
      </c>
      <c r="D51" s="116">
        <f>AVERAGE('Netvolumenmål 2021'!D51,'Netvolumenmål 2022'!D51)</f>
        <v>3.2501307486746109E-2</v>
      </c>
      <c r="E51" s="117">
        <f>AVERAGE('Netvolumenmål 2021'!E51,'Netvolumenmål 2022'!E51)</f>
        <v>22393141.812771477</v>
      </c>
      <c r="F51" s="118">
        <f t="shared" si="0"/>
        <v>23016220.528965492</v>
      </c>
      <c r="G51" s="117">
        <f>VLOOKUP(B51,'Costdrivere gns.'!B:AP,39,0)+VLOOKUP(B51,'Costdrivere gns.'!B:AP,40,0)+VLOOKUP(B51,'Costdrivere gns.'!B:AP,41,0)</f>
        <v>83230546.810325801</v>
      </c>
      <c r="H51" s="118">
        <f t="shared" si="1"/>
        <v>58473237.621031351</v>
      </c>
      <c r="I51" s="88">
        <f>AVERAGE('Netvolumenmål 2021'!G51,'Netvolumenmål 2022'!G51)</f>
        <v>22760205.021250002</v>
      </c>
      <c r="J51" s="5">
        <f>AVERAGE('Netvolumenmål 2021'!H51,'Netvolumenmål 2022'!H51)</f>
        <v>38987951.863985866</v>
      </c>
      <c r="K51" s="119">
        <f>AVERAGE('Netvolumenmål 2021'!I51,'Netvolumenmål 2022'!I51)</f>
        <v>788329.02864999999</v>
      </c>
      <c r="L51" s="119">
        <f>AVERAGE('Netvolumenmål 2021'!J51,'Netvolumenmål 2022'!J51)</f>
        <v>11627992.007127259</v>
      </c>
      <c r="M51" s="58">
        <f>AVERAGE(VLOOKUP(B51,'Netvolumenmål 2021'!B:R,10,0),VLOOKUP(B51,'Netvolumenmål 2022'!B:R,10,0))</f>
        <v>51404272.89976313</v>
      </c>
      <c r="N51" s="88">
        <f>AVERAGE(VLOOKUP(B51,'Netvolumenmål 2021'!B:R,11,0),VLOOKUP(B51,'Netvolumenmål 2022'!B:R,11,0))</f>
        <v>74164477.921013132</v>
      </c>
      <c r="O51" s="88">
        <f>AVERAGE(VLOOKUP(B51,'Netvolumenmål 2021'!B:R,12,0),VLOOKUP(B51,'Netvolumenmål 2022'!B:R,12,0))</f>
        <v>0</v>
      </c>
      <c r="P51" s="98">
        <f>AVERAGE(VLOOKUP(B51,'Netvolumenmål 2021'!B:R,13,0),VLOOKUP(B51,'Netvolumenmål 2022'!B:R,13,0))</f>
        <v>0</v>
      </c>
      <c r="Q51" s="98">
        <f>AVERAGE(VLOOKUP(B51,'Netvolumenmål 2021'!B:R,14,0),VLOOKUP(B51,'Netvolumenmål 2022'!B:R,14,0))</f>
        <v>0</v>
      </c>
      <c r="R51" s="121">
        <f>AVERAGE(VLOOKUP(B51,'Netvolumenmål 2021'!B:R,15,0),VLOOKUP(B51,'Netvolumenmål 2022'!B:R,15,0))</f>
        <v>22760205.021250002</v>
      </c>
      <c r="S51" s="225">
        <f>AVERAGE(VLOOKUP(B51,'Netvolumenmål 2021'!B:R,16,0),VLOOKUP(B51,'Netvolumenmål 2022'!B:R,16,0))</f>
        <v>51404272.89976313</v>
      </c>
      <c r="T51" s="18">
        <f>AVERAGE(VLOOKUP(B51,'Netvolumenmål 2021'!B:R,17,0),VLOOKUP(B51,'Netvolumenmål 2022'!B:R,17,0))</f>
        <v>74164477.921013132</v>
      </c>
      <c r="U51" s="98"/>
      <c r="V51" s="98"/>
      <c r="W51" s="120">
        <v>34.964689853061394</v>
      </c>
      <c r="X51" s="120">
        <v>3.2501307486746109E-2</v>
      </c>
      <c r="Y51" s="121">
        <v>22393141.812771477</v>
      </c>
      <c r="Z51" s="121">
        <v>23016220.528965492</v>
      </c>
      <c r="AA51" s="121">
        <v>83230546.810325801</v>
      </c>
      <c r="AB51" s="121">
        <v>58473237.621031351</v>
      </c>
      <c r="AC51" s="121">
        <v>22760642.521250002</v>
      </c>
      <c r="AD51" s="122">
        <v>51404272.89976313</v>
      </c>
      <c r="AE51" s="122">
        <v>74164915.421013132</v>
      </c>
      <c r="AF51" s="226"/>
      <c r="AG51" s="226"/>
      <c r="AH51" s="226"/>
      <c r="AI51" s="203"/>
    </row>
    <row r="52" spans="1:35" x14ac:dyDescent="0.25">
      <c r="A52" s="49" t="s">
        <v>117</v>
      </c>
      <c r="B52" s="202" t="s">
        <v>118</v>
      </c>
      <c r="C52" s="116">
        <f>AVERAGE('Netvolumenmål 2021'!C52,'Netvolumenmål 2022'!C52)</f>
        <v>38.1065594381012</v>
      </c>
      <c r="D52" s="116">
        <f>AVERAGE('Netvolumenmål 2021'!D52,'Netvolumenmål 2022'!D52)</f>
        <v>3.8943452194872052E-2</v>
      </c>
      <c r="E52" s="117">
        <f>AVERAGE('Netvolumenmål 2021'!E52,'Netvolumenmål 2022'!E52)</f>
        <v>5036936.1306362106</v>
      </c>
      <c r="F52" s="118">
        <f t="shared" si="0"/>
        <v>5335303.8061460638</v>
      </c>
      <c r="G52" s="117">
        <f>VLOOKUP(B52,'Costdrivere gns.'!B:AP,39,0)+VLOOKUP(B52,'Costdrivere gns.'!B:AP,40,0)+VLOOKUP(B52,'Costdrivere gns.'!B:AP,41,0)</f>
        <v>17983287.802666668</v>
      </c>
      <c r="H52" s="118">
        <f t="shared" si="1"/>
        <v>12363389.357251778</v>
      </c>
      <c r="I52" s="88">
        <f>AVERAGE('Netvolumenmål 2021'!G52,'Netvolumenmål 2022'!G52)</f>
        <v>5591078.0143500008</v>
      </c>
      <c r="J52" s="5">
        <f>AVERAGE('Netvolumenmål 2021'!H52,'Netvolumenmål 2022'!H52)</f>
        <v>14495630.555265553</v>
      </c>
      <c r="K52" s="119">
        <f>AVERAGE('Netvolumenmål 2021'!I52,'Netvolumenmål 2022'!I52)</f>
        <v>840159.95</v>
      </c>
      <c r="L52" s="119">
        <f>AVERAGE('Netvolumenmål 2021'!J52,'Netvolumenmål 2022'!J52)</f>
        <v>4213459.3060241155</v>
      </c>
      <c r="M52" s="58">
        <f>AVERAGE(VLOOKUP(B52,'Netvolumenmål 2021'!B:R,10,0),VLOOKUP(B52,'Netvolumenmål 2022'!B:R,10,0))</f>
        <v>19549249.811289668</v>
      </c>
      <c r="N52" s="88">
        <f>AVERAGE(VLOOKUP(B52,'Netvolumenmål 2021'!B:R,11,0),VLOOKUP(B52,'Netvolumenmål 2022'!B:R,11,0))</f>
        <v>25140327.825639669</v>
      </c>
      <c r="O52" s="88">
        <f>AVERAGE(VLOOKUP(B52,'Netvolumenmål 2021'!B:R,12,0),VLOOKUP(B52,'Netvolumenmål 2022'!B:R,12,0))</f>
        <v>0</v>
      </c>
      <c r="P52" s="98">
        <f>AVERAGE(VLOOKUP(B52,'Netvolumenmål 2021'!B:R,13,0),VLOOKUP(B52,'Netvolumenmål 2022'!B:R,13,0))</f>
        <v>0</v>
      </c>
      <c r="Q52" s="98">
        <f>AVERAGE(VLOOKUP(B52,'Netvolumenmål 2021'!B:R,14,0),VLOOKUP(B52,'Netvolumenmål 2022'!B:R,14,0))</f>
        <v>0</v>
      </c>
      <c r="R52" s="121">
        <f>AVERAGE(VLOOKUP(B52,'Netvolumenmål 2021'!B:R,15,0),VLOOKUP(B52,'Netvolumenmål 2022'!B:R,15,0))</f>
        <v>5591078.0143500008</v>
      </c>
      <c r="S52" s="225">
        <f>AVERAGE(VLOOKUP(B52,'Netvolumenmål 2021'!B:R,16,0),VLOOKUP(B52,'Netvolumenmål 2022'!B:R,16,0))</f>
        <v>19549249.811289668</v>
      </c>
      <c r="T52" s="18">
        <f>AVERAGE(VLOOKUP(B52,'Netvolumenmål 2021'!B:R,17,0),VLOOKUP(B52,'Netvolumenmål 2022'!B:R,17,0))</f>
        <v>25140327.825639669</v>
      </c>
      <c r="U52" s="98"/>
      <c r="V52" s="98"/>
      <c r="W52" s="120">
        <v>38.1065594381012</v>
      </c>
      <c r="X52" s="120">
        <v>3.8943452194872052E-2</v>
      </c>
      <c r="Y52" s="121">
        <v>5036936.1306362106</v>
      </c>
      <c r="Z52" s="121">
        <v>5335303.8061460638</v>
      </c>
      <c r="AA52" s="121">
        <v>17470694.93333333</v>
      </c>
      <c r="AB52" s="121">
        <v>12010985.208752349</v>
      </c>
      <c r="AC52" s="121">
        <v>5591078.0143500008</v>
      </c>
      <c r="AD52" s="122">
        <v>19549249.811289668</v>
      </c>
      <c r="AE52" s="122">
        <v>25140327.825639669</v>
      </c>
      <c r="AF52" s="226"/>
      <c r="AG52" s="226"/>
      <c r="AH52" s="226"/>
      <c r="AI52" s="203"/>
    </row>
    <row r="53" spans="1:35" x14ac:dyDescent="0.25">
      <c r="A53" s="49" t="s">
        <v>119</v>
      </c>
      <c r="B53" s="202" t="s">
        <v>120</v>
      </c>
      <c r="C53" s="116">
        <f>AVERAGE('Netvolumenmål 2021'!C53,'Netvolumenmål 2022'!C53)</f>
        <v>36.332918757920467</v>
      </c>
      <c r="D53" s="116">
        <f>AVERAGE('Netvolumenmål 2021'!D53,'Netvolumenmål 2022'!D53)</f>
        <v>2.9410408481666126E-2</v>
      </c>
      <c r="E53" s="117">
        <f>AVERAGE('Netvolumenmål 2021'!E53,'Netvolumenmål 2022'!E53)</f>
        <v>26180615.338173568</v>
      </c>
      <c r="F53" s="118">
        <f t="shared" si="0"/>
        <v>26935666.426830783</v>
      </c>
      <c r="G53" s="117">
        <f>VLOOKUP(B53,'Costdrivere gns.'!B:AP,39,0)+VLOOKUP(B53,'Costdrivere gns.'!B:AP,40,0)+VLOOKUP(B53,'Costdrivere gns.'!B:AP,41,0)</f>
        <v>87229523.727325574</v>
      </c>
      <c r="H53" s="118">
        <f t="shared" si="1"/>
        <v>60568140.715671718</v>
      </c>
      <c r="I53" s="88">
        <f>AVERAGE('Netvolumenmål 2021'!G53,'Netvolumenmål 2022'!G53)</f>
        <v>25759000.651300002</v>
      </c>
      <c r="J53" s="5">
        <f>AVERAGE('Netvolumenmål 2021'!H53,'Netvolumenmål 2022'!H53)</f>
        <v>48449329.120904669</v>
      </c>
      <c r="K53" s="119">
        <f>AVERAGE('Netvolumenmål 2021'!I53,'Netvolumenmål 2022'!I53)</f>
        <v>582635.95275000005</v>
      </c>
      <c r="L53" s="119">
        <f>AVERAGE('Netvolumenmål 2021'!J53,'Netvolumenmål 2022'!J53)</f>
        <v>8258452.3744993806</v>
      </c>
      <c r="M53" s="58">
        <f>AVERAGE(VLOOKUP(B53,'Netvolumenmål 2021'!B:R,10,0),VLOOKUP(B53,'Netvolumenmål 2022'!B:R,10,0))</f>
        <v>57290417.448154047</v>
      </c>
      <c r="N53" s="88">
        <f>AVERAGE(VLOOKUP(B53,'Netvolumenmål 2021'!B:R,11,0),VLOOKUP(B53,'Netvolumenmål 2022'!B:R,11,0))</f>
        <v>83049418.09945406</v>
      </c>
      <c r="O53" s="88">
        <f>AVERAGE(VLOOKUP(B53,'Netvolumenmål 2021'!B:R,12,0),VLOOKUP(B53,'Netvolumenmål 2022'!B:R,12,0))</f>
        <v>0</v>
      </c>
      <c r="P53" s="98">
        <f>AVERAGE(VLOOKUP(B53,'Netvolumenmål 2021'!B:R,13,0),VLOOKUP(B53,'Netvolumenmål 2022'!B:R,13,0))</f>
        <v>0</v>
      </c>
      <c r="Q53" s="98">
        <f>AVERAGE(VLOOKUP(B53,'Netvolumenmål 2021'!B:R,14,0),VLOOKUP(B53,'Netvolumenmål 2022'!B:R,14,0))</f>
        <v>0</v>
      </c>
      <c r="R53" s="121">
        <f>AVERAGE(VLOOKUP(B53,'Netvolumenmål 2021'!B:R,15,0),VLOOKUP(B53,'Netvolumenmål 2022'!B:R,15,0))</f>
        <v>25759000.651300002</v>
      </c>
      <c r="S53" s="225">
        <f>AVERAGE(VLOOKUP(B53,'Netvolumenmål 2021'!B:R,16,0),VLOOKUP(B53,'Netvolumenmål 2022'!B:R,16,0))</f>
        <v>57290417.448154047</v>
      </c>
      <c r="T53" s="18">
        <f>AVERAGE(VLOOKUP(B53,'Netvolumenmål 2021'!B:R,17,0),VLOOKUP(B53,'Netvolumenmål 2022'!B:R,17,0))</f>
        <v>83049418.09945406</v>
      </c>
      <c r="U53" s="98"/>
      <c r="V53" s="98"/>
      <c r="W53" s="120">
        <v>36.332918757920467</v>
      </c>
      <c r="X53" s="120">
        <v>2.9410408481666126E-2</v>
      </c>
      <c r="Y53" s="121">
        <v>26180615.338173568</v>
      </c>
      <c r="Z53" s="121">
        <v>26935666.426830783</v>
      </c>
      <c r="AA53" s="121">
        <v>87229523.727325574</v>
      </c>
      <c r="AB53" s="121">
        <v>60568140.715671718</v>
      </c>
      <c r="AC53" s="121">
        <v>25759000.651300002</v>
      </c>
      <c r="AD53" s="122">
        <v>57290417.448154047</v>
      </c>
      <c r="AE53" s="122">
        <v>83049418.09945406</v>
      </c>
      <c r="AF53" s="226"/>
      <c r="AG53" s="226"/>
      <c r="AH53" s="226"/>
      <c r="AI53" s="203"/>
    </row>
    <row r="54" spans="1:35" x14ac:dyDescent="0.25">
      <c r="A54" s="49" t="s">
        <v>121</v>
      </c>
      <c r="B54" s="202" t="s">
        <v>122</v>
      </c>
      <c r="C54" s="116">
        <f>AVERAGE('Netvolumenmål 2021'!C54,'Netvolumenmål 2022'!C54)</f>
        <v>26.584150706079242</v>
      </c>
      <c r="D54" s="116">
        <f>AVERAGE('Netvolumenmål 2021'!D54,'Netvolumenmål 2022'!D54)</f>
        <v>3.875968992248062E-4</v>
      </c>
      <c r="E54" s="117">
        <f>AVERAGE('Netvolumenmål 2021'!E54,'Netvolumenmål 2022'!E54)</f>
        <v>15398787.237383746</v>
      </c>
      <c r="F54" s="118">
        <f t="shared" si="0"/>
        <v>14043280.979037361</v>
      </c>
      <c r="G54" s="117">
        <f>VLOOKUP(B54,'Costdrivere gns.'!B:AP,39,0)+VLOOKUP(B54,'Costdrivere gns.'!B:AP,40,0)+VLOOKUP(B54,'Costdrivere gns.'!B:AP,41,0)</f>
        <v>18690748.43172754</v>
      </c>
      <c r="H54" s="118">
        <f t="shared" si="1"/>
        <v>13804062.46690464</v>
      </c>
      <c r="I54" s="88">
        <f>AVERAGE('Netvolumenmål 2021'!G54,'Netvolumenmål 2022'!G54)</f>
        <v>35217105.409500003</v>
      </c>
      <c r="J54" s="5">
        <f>AVERAGE('Netvolumenmål 2021'!H54,'Netvolumenmål 2022'!H54)</f>
        <v>5482382.9764092676</v>
      </c>
      <c r="K54" s="119">
        <f>AVERAGE('Netvolumenmål 2021'!I54,'Netvolumenmål 2022'!I54)</f>
        <v>154811.85</v>
      </c>
      <c r="L54" s="119">
        <f>AVERAGE('Netvolumenmål 2021'!J54,'Netvolumenmål 2022'!J54)</f>
        <v>5101714.6132972203</v>
      </c>
      <c r="M54" s="58">
        <f>AVERAGE(VLOOKUP(B54,'Netvolumenmål 2021'!B:R,10,0),VLOOKUP(B54,'Netvolumenmål 2022'!B:R,10,0))</f>
        <v>10738909.439706489</v>
      </c>
      <c r="N54" s="88">
        <f>AVERAGE(VLOOKUP(B54,'Netvolumenmål 2021'!B:R,11,0),VLOOKUP(B54,'Netvolumenmål 2022'!B:R,11,0))</f>
        <v>45956014.849206492</v>
      </c>
      <c r="O54" s="88">
        <f>AVERAGE(VLOOKUP(B54,'Netvolumenmål 2021'!B:R,12,0),VLOOKUP(B54,'Netvolumenmål 2022'!B:R,12,0))</f>
        <v>0</v>
      </c>
      <c r="P54" s="98">
        <f>AVERAGE(VLOOKUP(B54,'Netvolumenmål 2021'!B:R,13,0),VLOOKUP(B54,'Netvolumenmål 2022'!B:R,13,0))</f>
        <v>4040182.9645500001</v>
      </c>
      <c r="Q54" s="98">
        <f>AVERAGE(VLOOKUP(B54,'Netvolumenmål 2021'!B:R,14,0),VLOOKUP(B54,'Netvolumenmål 2022'!B:R,14,0))</f>
        <v>0</v>
      </c>
      <c r="R54" s="121">
        <f>AVERAGE(VLOOKUP(B54,'Netvolumenmål 2021'!B:R,15,0),VLOOKUP(B54,'Netvolumenmål 2022'!B:R,15,0))</f>
        <v>31176922.444949999</v>
      </c>
      <c r="S54" s="225">
        <f>AVERAGE(VLOOKUP(B54,'Netvolumenmål 2021'!B:R,16,0),VLOOKUP(B54,'Netvolumenmål 2022'!B:R,16,0))</f>
        <v>10738909.439706489</v>
      </c>
      <c r="T54" s="18">
        <f>AVERAGE(VLOOKUP(B54,'Netvolumenmål 2021'!B:R,17,0),VLOOKUP(B54,'Netvolumenmål 2022'!B:R,17,0))</f>
        <v>41915831.884656489</v>
      </c>
      <c r="U54" s="98"/>
      <c r="V54" s="98"/>
      <c r="W54" s="120">
        <v>26.584150706079242</v>
      </c>
      <c r="X54" s="120">
        <v>3.875968992248062E-4</v>
      </c>
      <c r="Y54" s="121">
        <v>15398787.237383746</v>
      </c>
      <c r="Z54" s="121">
        <v>14043280.979037361</v>
      </c>
      <c r="AA54" s="121">
        <v>18471149.043123718</v>
      </c>
      <c r="AB54" s="121">
        <v>13641877.21846186</v>
      </c>
      <c r="AC54" s="121">
        <v>31176922.444949999</v>
      </c>
      <c r="AD54" s="122">
        <v>10738909.439706489</v>
      </c>
      <c r="AE54" s="122">
        <v>41915831.884656489</v>
      </c>
      <c r="AF54" s="226"/>
      <c r="AG54" s="226"/>
      <c r="AH54" s="226"/>
      <c r="AI54" s="203"/>
    </row>
    <row r="55" spans="1:35" x14ac:dyDescent="0.25">
      <c r="A55" s="49" t="s">
        <v>123</v>
      </c>
      <c r="B55" s="202" t="s">
        <v>124</v>
      </c>
      <c r="C55" s="116">
        <f>AVERAGE('Netvolumenmål 2021'!C55,'Netvolumenmål 2022'!C55)</f>
        <v>36.136538895032849</v>
      </c>
      <c r="D55" s="116">
        <f>AVERAGE('Netvolumenmål 2021'!D55,'Netvolumenmål 2022'!D55)</f>
        <v>2.4546640352818234E-2</v>
      </c>
      <c r="E55" s="117">
        <f>AVERAGE('Netvolumenmål 2021'!E55,'Netvolumenmål 2022'!E55)</f>
        <v>21286279.547015563</v>
      </c>
      <c r="F55" s="118">
        <f t="shared" si="0"/>
        <v>21654438.908076234</v>
      </c>
      <c r="G55" s="117">
        <f>VLOOKUP(B55,'Costdrivere gns.'!B:AP,39,0)+VLOOKUP(B55,'Costdrivere gns.'!B:AP,40,0)+VLOOKUP(B55,'Costdrivere gns.'!B:AP,41,0)</f>
        <v>91822372.395982489</v>
      </c>
      <c r="H55" s="118">
        <f t="shared" si="1"/>
        <v>63729880.16244071</v>
      </c>
      <c r="I55" s="88">
        <f>AVERAGE('Netvolumenmål 2021'!G55,'Netvolumenmål 2022'!G55)</f>
        <v>21471205.807599999</v>
      </c>
      <c r="J55" s="5">
        <f>AVERAGE('Netvolumenmål 2021'!H55,'Netvolumenmål 2022'!H55)</f>
        <v>41187627.461233839</v>
      </c>
      <c r="K55" s="119">
        <f>AVERAGE('Netvolumenmål 2021'!I55,'Netvolumenmål 2022'!I55)</f>
        <v>653541.15</v>
      </c>
      <c r="L55" s="119">
        <f>AVERAGE('Netvolumenmål 2021'!J55,'Netvolumenmål 2022'!J55)</f>
        <v>11866406.634042811</v>
      </c>
      <c r="M55" s="58">
        <f>AVERAGE(VLOOKUP(B55,'Netvolumenmål 2021'!B:R,10,0),VLOOKUP(B55,'Netvolumenmål 2022'!B:R,10,0))</f>
        <v>53707575.245276645</v>
      </c>
      <c r="N55" s="88">
        <f>AVERAGE(VLOOKUP(B55,'Netvolumenmål 2021'!B:R,11,0),VLOOKUP(B55,'Netvolumenmål 2022'!B:R,11,0))</f>
        <v>75178781.052876651</v>
      </c>
      <c r="O55" s="88">
        <f>AVERAGE(VLOOKUP(B55,'Netvolumenmål 2021'!B:R,12,0),VLOOKUP(B55,'Netvolumenmål 2022'!B:R,12,0))</f>
        <v>0</v>
      </c>
      <c r="P55" s="98">
        <f>AVERAGE(VLOOKUP(B55,'Netvolumenmål 2021'!B:R,13,0),VLOOKUP(B55,'Netvolumenmål 2022'!B:R,13,0))</f>
        <v>0</v>
      </c>
      <c r="Q55" s="98">
        <f>AVERAGE(VLOOKUP(B55,'Netvolumenmål 2021'!B:R,14,0),VLOOKUP(B55,'Netvolumenmål 2022'!B:R,14,0))</f>
        <v>0</v>
      </c>
      <c r="R55" s="121">
        <f>AVERAGE(VLOOKUP(B55,'Netvolumenmål 2021'!B:R,15,0),VLOOKUP(B55,'Netvolumenmål 2022'!B:R,15,0))</f>
        <v>21471205.807599999</v>
      </c>
      <c r="S55" s="225">
        <f>AVERAGE(VLOOKUP(B55,'Netvolumenmål 2021'!B:R,16,0),VLOOKUP(B55,'Netvolumenmål 2022'!B:R,16,0))</f>
        <v>53707575.245276645</v>
      </c>
      <c r="T55" s="18">
        <f>AVERAGE(VLOOKUP(B55,'Netvolumenmål 2021'!B:R,17,0),VLOOKUP(B55,'Netvolumenmål 2022'!B:R,17,0))</f>
        <v>75178781.052876651</v>
      </c>
      <c r="U55" s="98"/>
      <c r="V55" s="98"/>
      <c r="W55" s="120">
        <v>36.136538895032849</v>
      </c>
      <c r="X55" s="120">
        <v>2.4546640352818234E-2</v>
      </c>
      <c r="Y55" s="121">
        <v>21286279.547015563</v>
      </c>
      <c r="Z55" s="121">
        <v>21654438.908076234</v>
      </c>
      <c r="AA55" s="121">
        <v>89279333.234933913</v>
      </c>
      <c r="AB55" s="121">
        <v>61964868.251366302</v>
      </c>
      <c r="AC55" s="121">
        <v>21471205.807599999</v>
      </c>
      <c r="AD55" s="122">
        <v>53707575.245276645</v>
      </c>
      <c r="AE55" s="122">
        <v>75178781.052876651</v>
      </c>
      <c r="AF55" s="226"/>
      <c r="AG55" s="226"/>
      <c r="AH55" s="226"/>
      <c r="AI55" s="203"/>
    </row>
    <row r="56" spans="1:35" x14ac:dyDescent="0.25">
      <c r="A56" s="49" t="s">
        <v>125</v>
      </c>
      <c r="B56" s="202" t="s">
        <v>126</v>
      </c>
      <c r="C56" s="116">
        <f>AVERAGE('Netvolumenmål 2021'!C56,'Netvolumenmål 2022'!C56)</f>
        <v>36.765288185404941</v>
      </c>
      <c r="D56" s="116">
        <f>AVERAGE('Netvolumenmål 2021'!D56,'Netvolumenmål 2022'!D56)</f>
        <v>3.083817592238591E-2</v>
      </c>
      <c r="E56" s="117">
        <f>AVERAGE('Netvolumenmål 2021'!E56,'Netvolumenmål 2022'!E56)</f>
        <v>16964687.74105604</v>
      </c>
      <c r="F56" s="118">
        <f t="shared" si="0"/>
        <v>17547003.574815374</v>
      </c>
      <c r="G56" s="117">
        <f>VLOOKUP(B56,'Costdrivere gns.'!B:AP,39,0)+VLOOKUP(B56,'Costdrivere gns.'!B:AP,40,0)+VLOOKUP(B56,'Costdrivere gns.'!B:AP,41,0)</f>
        <v>43628880.826635189</v>
      </c>
      <c r="H56" s="118">
        <f t="shared" si="1"/>
        <v>30210055.768827073</v>
      </c>
      <c r="I56" s="88">
        <f>AVERAGE('Netvolumenmål 2021'!G56,'Netvolumenmål 2022'!G56)</f>
        <v>12563201.777150001</v>
      </c>
      <c r="J56" s="5">
        <f>AVERAGE('Netvolumenmål 2021'!H56,'Netvolumenmål 2022'!H56)</f>
        <v>25115865.307006981</v>
      </c>
      <c r="K56" s="119">
        <f>AVERAGE('Netvolumenmål 2021'!I56,'Netvolumenmål 2022'!I56)</f>
        <v>335135.23305000004</v>
      </c>
      <c r="L56" s="119">
        <f>AVERAGE('Netvolumenmål 2021'!J56,'Netvolumenmål 2022'!J56)</f>
        <v>4926842.3106822632</v>
      </c>
      <c r="M56" s="58">
        <f>AVERAGE(VLOOKUP(B56,'Netvolumenmål 2021'!B:R,10,0),VLOOKUP(B56,'Netvolumenmål 2022'!B:R,10,0))</f>
        <v>30377842.850739244</v>
      </c>
      <c r="N56" s="88">
        <f>AVERAGE(VLOOKUP(B56,'Netvolumenmål 2021'!B:R,11,0),VLOOKUP(B56,'Netvolumenmål 2022'!B:R,11,0))</f>
        <v>42941044.627889246</v>
      </c>
      <c r="O56" s="88">
        <f>AVERAGE(VLOOKUP(B56,'Netvolumenmål 2021'!B:R,12,0),VLOOKUP(B56,'Netvolumenmål 2022'!B:R,12,0))</f>
        <v>0</v>
      </c>
      <c r="P56" s="98">
        <f>AVERAGE(VLOOKUP(B56,'Netvolumenmål 2021'!B:R,13,0),VLOOKUP(B56,'Netvolumenmål 2022'!B:R,13,0))</f>
        <v>0</v>
      </c>
      <c r="Q56" s="98">
        <f>AVERAGE(VLOOKUP(B56,'Netvolumenmål 2021'!B:R,14,0),VLOOKUP(B56,'Netvolumenmål 2022'!B:R,14,0))</f>
        <v>0</v>
      </c>
      <c r="R56" s="121">
        <f>AVERAGE(VLOOKUP(B56,'Netvolumenmål 2021'!B:R,15,0),VLOOKUP(B56,'Netvolumenmål 2022'!B:R,15,0))</f>
        <v>12563201.777150001</v>
      </c>
      <c r="S56" s="225">
        <f>AVERAGE(VLOOKUP(B56,'Netvolumenmål 2021'!B:R,16,0),VLOOKUP(B56,'Netvolumenmål 2022'!B:R,16,0))</f>
        <v>30377842.850739244</v>
      </c>
      <c r="T56" s="18">
        <f>AVERAGE(VLOOKUP(B56,'Netvolumenmål 2021'!B:R,17,0),VLOOKUP(B56,'Netvolumenmål 2022'!B:R,17,0))</f>
        <v>42941044.627889246</v>
      </c>
      <c r="U56" s="98"/>
      <c r="V56" s="98"/>
      <c r="W56" s="120">
        <v>36.765288185404941</v>
      </c>
      <c r="X56" s="120">
        <v>3.083817592238591E-2</v>
      </c>
      <c r="Y56" s="121">
        <v>16964687.74105604</v>
      </c>
      <c r="Z56" s="121">
        <v>17547003.574815374</v>
      </c>
      <c r="AA56" s="121">
        <v>43628880.826635189</v>
      </c>
      <c r="AB56" s="121">
        <v>30210055.768827073</v>
      </c>
      <c r="AC56" s="121">
        <v>12563201.777150001</v>
      </c>
      <c r="AD56" s="122">
        <v>30377842.850739244</v>
      </c>
      <c r="AE56" s="122">
        <v>42941044.627889246</v>
      </c>
      <c r="AF56" s="226"/>
      <c r="AG56" s="226"/>
      <c r="AH56" s="226"/>
      <c r="AI56" s="203"/>
    </row>
    <row r="57" spans="1:35" x14ac:dyDescent="0.25">
      <c r="A57" s="49" t="s">
        <v>127</v>
      </c>
      <c r="B57" s="202" t="s">
        <v>128</v>
      </c>
      <c r="C57" s="116">
        <f>AVERAGE('Netvolumenmål 2021'!C57,'Netvolumenmål 2022'!C57)</f>
        <v>33.864381759778269</v>
      </c>
      <c r="D57" s="116">
        <f>AVERAGE('Netvolumenmål 2021'!D57,'Netvolumenmål 2022'!D57)</f>
        <v>3.3747055265732892E-2</v>
      </c>
      <c r="E57" s="117">
        <f>AVERAGE('Netvolumenmål 2021'!E57,'Netvolumenmål 2022'!E57)</f>
        <v>54750965.985574588</v>
      </c>
      <c r="F57" s="118">
        <f t="shared" si="0"/>
        <v>56083872.895572059</v>
      </c>
      <c r="G57" s="117">
        <f>VLOOKUP(B57,'Costdrivere gns.'!B:AP,39,0)+VLOOKUP(B57,'Costdrivere gns.'!B:AP,40,0)+VLOOKUP(B57,'Costdrivere gns.'!B:AP,41,0)</f>
        <v>192788229.16104713</v>
      </c>
      <c r="H57" s="118">
        <f t="shared" si="1"/>
        <v>136646149.18389443</v>
      </c>
      <c r="I57" s="88">
        <f>AVERAGE('Netvolumenmål 2021'!G57,'Netvolumenmål 2022'!G57)</f>
        <v>68165299.85695</v>
      </c>
      <c r="J57" s="5">
        <f>AVERAGE('Netvolumenmål 2021'!H57,'Netvolumenmål 2022'!H57)</f>
        <v>95219685.449427098</v>
      </c>
      <c r="K57" s="119">
        <f>AVERAGE('Netvolumenmål 2021'!I57,'Netvolumenmål 2022'!I57)</f>
        <v>1986961.2090500002</v>
      </c>
      <c r="L57" s="119">
        <f>AVERAGE('Netvolumenmål 2021'!J57,'Netvolumenmål 2022'!J57)</f>
        <v>29408644.929180495</v>
      </c>
      <c r="M57" s="58">
        <f>AVERAGE(VLOOKUP(B57,'Netvolumenmål 2021'!B:R,10,0),VLOOKUP(B57,'Netvolumenmål 2022'!B:R,10,0))</f>
        <v>126615291.5876576</v>
      </c>
      <c r="N57" s="88">
        <f>AVERAGE(VLOOKUP(B57,'Netvolumenmål 2021'!B:R,11,0),VLOOKUP(B57,'Netvolumenmål 2022'!B:R,11,0))</f>
        <v>194780591.44460762</v>
      </c>
      <c r="O57" s="88">
        <f>AVERAGE(VLOOKUP(B57,'Netvolumenmål 2021'!B:R,12,0),VLOOKUP(B57,'Netvolumenmål 2022'!B:R,12,0))</f>
        <v>0</v>
      </c>
      <c r="P57" s="98">
        <f>AVERAGE(VLOOKUP(B57,'Netvolumenmål 2021'!B:R,13,0),VLOOKUP(B57,'Netvolumenmål 2022'!B:R,13,0))</f>
        <v>0</v>
      </c>
      <c r="Q57" s="98">
        <f>AVERAGE(VLOOKUP(B57,'Netvolumenmål 2021'!B:R,14,0),VLOOKUP(B57,'Netvolumenmål 2022'!B:R,14,0))</f>
        <v>0</v>
      </c>
      <c r="R57" s="121">
        <f>AVERAGE(VLOOKUP(B57,'Netvolumenmål 2021'!B:R,15,0),VLOOKUP(B57,'Netvolumenmål 2022'!B:R,15,0))</f>
        <v>68165299.85695</v>
      </c>
      <c r="S57" s="225">
        <f>AVERAGE(VLOOKUP(B57,'Netvolumenmål 2021'!B:R,16,0),VLOOKUP(B57,'Netvolumenmål 2022'!B:R,16,0))</f>
        <v>126615291.5876576</v>
      </c>
      <c r="T57" s="18">
        <f>AVERAGE(VLOOKUP(B57,'Netvolumenmål 2021'!B:R,17,0),VLOOKUP(B57,'Netvolumenmål 2022'!B:R,17,0))</f>
        <v>194780591.44460762</v>
      </c>
      <c r="U57" s="98"/>
      <c r="V57" s="98"/>
      <c r="W57" s="120">
        <v>33.864381759778269</v>
      </c>
      <c r="X57" s="120">
        <v>3.3747055265732892E-2</v>
      </c>
      <c r="Y57" s="121">
        <v>54750965.985574588</v>
      </c>
      <c r="Z57" s="121">
        <v>56083872.895572059</v>
      </c>
      <c r="AA57" s="121">
        <v>192788229.16104713</v>
      </c>
      <c r="AB57" s="121">
        <v>136646149.18389443</v>
      </c>
      <c r="AC57" s="121">
        <v>68165299.85695</v>
      </c>
      <c r="AD57" s="122">
        <v>126615291.5876576</v>
      </c>
      <c r="AE57" s="122">
        <v>194780591.44460762</v>
      </c>
      <c r="AF57" s="226"/>
      <c r="AG57" s="226"/>
      <c r="AH57" s="226"/>
      <c r="AI57" s="203"/>
    </row>
    <row r="58" spans="1:35" x14ac:dyDescent="0.25">
      <c r="A58" s="49" t="s">
        <v>129</v>
      </c>
      <c r="B58" s="202" t="s">
        <v>130</v>
      </c>
      <c r="C58" s="116">
        <f>AVERAGE('Netvolumenmål 2021'!C58,'Netvolumenmål 2022'!C58)</f>
        <v>36.015381127780415</v>
      </c>
      <c r="D58" s="116">
        <f>AVERAGE('Netvolumenmål 2021'!D58,'Netvolumenmål 2022'!D58)</f>
        <v>3.936851736049074E-2</v>
      </c>
      <c r="E58" s="117">
        <f>AVERAGE('Netvolumenmål 2021'!E58,'Netvolumenmål 2022'!E58)</f>
        <v>36246192.714166626</v>
      </c>
      <c r="F58" s="118">
        <f t="shared" si="0"/>
        <v>38002349.993288867</v>
      </c>
      <c r="G58" s="117">
        <f>VLOOKUP(B58,'Costdrivere gns.'!B:AP,39,0)+VLOOKUP(B58,'Costdrivere gns.'!B:AP,40,0)+VLOOKUP(B58,'Costdrivere gns.'!B:AP,41,0)</f>
        <v>94283692.438689739</v>
      </c>
      <c r="H58" s="118">
        <f t="shared" si="1"/>
        <v>65887328.25240349</v>
      </c>
      <c r="I58" s="88">
        <f>AVERAGE('Netvolumenmål 2021'!G58,'Netvolumenmål 2022'!G58)</f>
        <v>28590605.847900003</v>
      </c>
      <c r="J58" s="5">
        <f>AVERAGE('Netvolumenmål 2021'!H58,'Netvolumenmål 2022'!H58)</f>
        <v>55782858.650112212</v>
      </c>
      <c r="K58" s="119">
        <f>AVERAGE('Netvolumenmål 2021'!I58,'Netvolumenmål 2022'!I58)</f>
        <v>5602447.4109000005</v>
      </c>
      <c r="L58" s="119">
        <f>AVERAGE('Netvolumenmål 2021'!J58,'Netvolumenmål 2022'!J58)</f>
        <v>24935197.815430529</v>
      </c>
      <c r="M58" s="58">
        <f>AVERAGE(VLOOKUP(B58,'Netvolumenmål 2021'!B:R,10,0),VLOOKUP(B58,'Netvolumenmål 2022'!B:R,10,0))</f>
        <v>86320503.87644273</v>
      </c>
      <c r="N58" s="88">
        <f>AVERAGE(VLOOKUP(B58,'Netvolumenmål 2021'!B:R,11,0),VLOOKUP(B58,'Netvolumenmål 2022'!B:R,11,0))</f>
        <v>114911109.72434273</v>
      </c>
      <c r="O58" s="88">
        <f>AVERAGE(VLOOKUP(B58,'Netvolumenmål 2021'!B:R,12,0),VLOOKUP(B58,'Netvolumenmål 2022'!B:R,12,0))</f>
        <v>0</v>
      </c>
      <c r="P58" s="98">
        <f>AVERAGE(VLOOKUP(B58,'Netvolumenmål 2021'!B:R,13,0),VLOOKUP(B58,'Netvolumenmål 2022'!B:R,13,0))</f>
        <v>0</v>
      </c>
      <c r="Q58" s="98">
        <f>AVERAGE(VLOOKUP(B58,'Netvolumenmål 2021'!B:R,14,0),VLOOKUP(B58,'Netvolumenmål 2022'!B:R,14,0))</f>
        <v>0</v>
      </c>
      <c r="R58" s="121">
        <f>AVERAGE(VLOOKUP(B58,'Netvolumenmål 2021'!B:R,15,0),VLOOKUP(B58,'Netvolumenmål 2022'!B:R,15,0))</f>
        <v>28590605.847900003</v>
      </c>
      <c r="S58" s="225">
        <f>AVERAGE(VLOOKUP(B58,'Netvolumenmål 2021'!B:R,16,0),VLOOKUP(B58,'Netvolumenmål 2022'!B:R,16,0))</f>
        <v>86320503.87644273</v>
      </c>
      <c r="T58" s="18">
        <f>AVERAGE(VLOOKUP(B58,'Netvolumenmål 2021'!B:R,17,0),VLOOKUP(B58,'Netvolumenmål 2022'!B:R,17,0))</f>
        <v>114911109.72434273</v>
      </c>
      <c r="U58" s="98"/>
      <c r="V58" s="98"/>
      <c r="W58" s="120">
        <v>36.015381127780415</v>
      </c>
      <c r="X58" s="120">
        <v>3.936851736049074E-2</v>
      </c>
      <c r="Y58" s="121">
        <v>33625697.441312842</v>
      </c>
      <c r="Z58" s="121">
        <v>35254889.610344253</v>
      </c>
      <c r="AA58" s="121">
        <v>91745993.664807513</v>
      </c>
      <c r="AB58" s="121">
        <v>64113933.640931025</v>
      </c>
      <c r="AC58" s="121">
        <v>28590605.847900003</v>
      </c>
      <c r="AD58" s="122">
        <v>86320503.87644273</v>
      </c>
      <c r="AE58" s="122">
        <v>114911109.72434273</v>
      </c>
      <c r="AF58" s="226"/>
      <c r="AG58" s="226"/>
      <c r="AH58" s="226"/>
      <c r="AI58" s="203"/>
    </row>
    <row r="59" spans="1:35" x14ac:dyDescent="0.25">
      <c r="A59" s="49" t="s">
        <v>131</v>
      </c>
      <c r="B59" s="202" t="s">
        <v>132</v>
      </c>
      <c r="C59" s="116">
        <f>AVERAGE('Netvolumenmål 2021'!C59,'Netvolumenmål 2022'!C59)</f>
        <v>36.029923740030952</v>
      </c>
      <c r="D59" s="116">
        <f>AVERAGE('Netvolumenmål 2021'!D59,'Netvolumenmål 2022'!D59)</f>
        <v>2.5283474919093853E-2</v>
      </c>
      <c r="E59" s="117">
        <f>AVERAGE('Netvolumenmål 2021'!E59,'Netvolumenmål 2022'!E59)</f>
        <v>16862931.194057308</v>
      </c>
      <c r="F59" s="118">
        <f t="shared" si="0"/>
        <v>17171214.453809343</v>
      </c>
      <c r="G59" s="117">
        <f>VLOOKUP(B59,'Costdrivere gns.'!B:AP,39,0)+VLOOKUP(B59,'Costdrivere gns.'!B:AP,40,0)+VLOOKUP(B59,'Costdrivere gns.'!B:AP,41,0)</f>
        <v>50382858.770521104</v>
      </c>
      <c r="H59" s="118">
        <f t="shared" si="1"/>
        <v>35007628.793201402</v>
      </c>
      <c r="I59" s="88">
        <f>AVERAGE('Netvolumenmål 2021'!G59,'Netvolumenmål 2022'!G59)</f>
        <v>30443459.838150002</v>
      </c>
      <c r="J59" s="5">
        <f>AVERAGE('Netvolumenmål 2021'!H59,'Netvolumenmål 2022'!H59)</f>
        <v>33170760.525403105</v>
      </c>
      <c r="K59" s="119">
        <f>AVERAGE('Netvolumenmål 2021'!I59,'Netvolumenmål 2022'!I59)</f>
        <v>179790.00660000002</v>
      </c>
      <c r="L59" s="119">
        <f>AVERAGE('Netvolumenmål 2021'!J59,'Netvolumenmål 2022'!J59)</f>
        <v>5949498.4618556565</v>
      </c>
      <c r="M59" s="58">
        <f>AVERAGE(VLOOKUP(B59,'Netvolumenmål 2021'!B:R,10,0),VLOOKUP(B59,'Netvolumenmål 2022'!B:R,10,0))</f>
        <v>39300048.993858762</v>
      </c>
      <c r="N59" s="88">
        <f>AVERAGE(VLOOKUP(B59,'Netvolumenmål 2021'!B:R,11,0),VLOOKUP(B59,'Netvolumenmål 2022'!B:R,11,0))</f>
        <v>69743508.832008764</v>
      </c>
      <c r="O59" s="88">
        <f>AVERAGE(VLOOKUP(B59,'Netvolumenmål 2021'!B:R,12,0),VLOOKUP(B59,'Netvolumenmål 2022'!B:R,12,0))</f>
        <v>0</v>
      </c>
      <c r="P59" s="98">
        <f>AVERAGE(VLOOKUP(B59,'Netvolumenmål 2021'!B:R,13,0),VLOOKUP(B59,'Netvolumenmål 2022'!B:R,13,0))</f>
        <v>0</v>
      </c>
      <c r="Q59" s="98">
        <f>AVERAGE(VLOOKUP(B59,'Netvolumenmål 2021'!B:R,14,0),VLOOKUP(B59,'Netvolumenmål 2022'!B:R,14,0))</f>
        <v>0</v>
      </c>
      <c r="R59" s="121">
        <f>AVERAGE(VLOOKUP(B59,'Netvolumenmål 2021'!B:R,15,0),VLOOKUP(B59,'Netvolumenmål 2022'!B:R,15,0))</f>
        <v>30443459.838150002</v>
      </c>
      <c r="S59" s="225">
        <f>AVERAGE(VLOOKUP(B59,'Netvolumenmål 2021'!B:R,16,0),VLOOKUP(B59,'Netvolumenmål 2022'!B:R,16,0))</f>
        <v>39300048.993858762</v>
      </c>
      <c r="T59" s="18">
        <f>AVERAGE(VLOOKUP(B59,'Netvolumenmål 2021'!B:R,17,0),VLOOKUP(B59,'Netvolumenmål 2022'!B:R,17,0))</f>
        <v>69743508.832008764</v>
      </c>
      <c r="U59" s="98"/>
      <c r="V59" s="98"/>
      <c r="W59" s="120">
        <v>36.029923740030952</v>
      </c>
      <c r="X59" s="120">
        <v>2.5283474919093853E-2</v>
      </c>
      <c r="Y59" s="121">
        <v>16862931.194057308</v>
      </c>
      <c r="Z59" s="121">
        <v>17171214.453809343</v>
      </c>
      <c r="AA59" s="121">
        <v>49046163.226159789</v>
      </c>
      <c r="AB59" s="121">
        <v>34078849.788427927</v>
      </c>
      <c r="AC59" s="121">
        <v>30444334.838150002</v>
      </c>
      <c r="AD59" s="122">
        <v>39300048.993858762</v>
      </c>
      <c r="AE59" s="122">
        <v>69744383.832008764</v>
      </c>
      <c r="AF59" s="226"/>
      <c r="AG59" s="226"/>
      <c r="AH59" s="226"/>
      <c r="AI59" s="203"/>
    </row>
    <row r="60" spans="1:35" x14ac:dyDescent="0.25">
      <c r="A60" s="49" t="s">
        <v>133</v>
      </c>
      <c r="B60" s="202" t="s">
        <v>134</v>
      </c>
      <c r="C60" s="116">
        <f>AVERAGE('Netvolumenmål 2021'!C60,'Netvolumenmål 2022'!C60)</f>
        <v>32.04592873096874</v>
      </c>
      <c r="D60" s="116">
        <f>AVERAGE('Netvolumenmål 2021'!D60,'Netvolumenmål 2022'!D60)</f>
        <v>2.7858168506460106E-2</v>
      </c>
      <c r="E60" s="117">
        <f>AVERAGE('Netvolumenmål 2021'!E60,'Netvolumenmål 2022'!E60)</f>
        <v>23917516.017930806</v>
      </c>
      <c r="F60" s="118">
        <f t="shared" si="0"/>
        <v>23953988.168703146</v>
      </c>
      <c r="G60" s="117">
        <f>VLOOKUP(B60,'Costdrivere gns.'!B:AP,39,0)+VLOOKUP(B60,'Costdrivere gns.'!B:AP,40,0)+VLOOKUP(B60,'Costdrivere gns.'!B:AP,41,0)</f>
        <v>51555737.668781213</v>
      </c>
      <c r="H60" s="118">
        <f t="shared" si="1"/>
        <v>36960362.703998044</v>
      </c>
      <c r="I60" s="88">
        <f>AVERAGE('Netvolumenmål 2021'!G60,'Netvolumenmål 2022'!G60)</f>
        <v>17419280.056824498</v>
      </c>
      <c r="J60" s="5">
        <f>AVERAGE('Netvolumenmål 2021'!H60,'Netvolumenmål 2022'!H60)</f>
        <v>31199536.826001167</v>
      </c>
      <c r="K60" s="119">
        <f>AVERAGE('Netvolumenmål 2021'!I60,'Netvolumenmål 2022'!I60)</f>
        <v>2919127.4927000003</v>
      </c>
      <c r="L60" s="119">
        <f>AVERAGE('Netvolumenmål 2021'!J60,'Netvolumenmål 2022'!J60)</f>
        <v>7949723.0288233012</v>
      </c>
      <c r="M60" s="58">
        <f>AVERAGE(VLOOKUP(B60,'Netvolumenmål 2021'!B:R,10,0),VLOOKUP(B60,'Netvolumenmål 2022'!B:R,10,0))</f>
        <v>42068387.347524464</v>
      </c>
      <c r="N60" s="88">
        <f>AVERAGE(VLOOKUP(B60,'Netvolumenmål 2021'!B:R,11,0),VLOOKUP(B60,'Netvolumenmål 2022'!B:R,11,0))</f>
        <v>59487667.404348955</v>
      </c>
      <c r="O60" s="88">
        <f>AVERAGE(VLOOKUP(B60,'Netvolumenmål 2021'!B:R,12,0),VLOOKUP(B60,'Netvolumenmål 2022'!B:R,12,0))</f>
        <v>0</v>
      </c>
      <c r="P60" s="98">
        <f>AVERAGE(VLOOKUP(B60,'Netvolumenmål 2021'!B:R,13,0),VLOOKUP(B60,'Netvolumenmål 2022'!B:R,13,0))</f>
        <v>0</v>
      </c>
      <c r="Q60" s="98">
        <f>AVERAGE(VLOOKUP(B60,'Netvolumenmål 2021'!B:R,14,0),VLOOKUP(B60,'Netvolumenmål 2022'!B:R,14,0))</f>
        <v>0</v>
      </c>
      <c r="R60" s="121">
        <f>AVERAGE(VLOOKUP(B60,'Netvolumenmål 2021'!B:R,15,0),VLOOKUP(B60,'Netvolumenmål 2022'!B:R,15,0))</f>
        <v>17419280.056824498</v>
      </c>
      <c r="S60" s="225">
        <f>AVERAGE(VLOOKUP(B60,'Netvolumenmål 2021'!B:R,16,0),VLOOKUP(B60,'Netvolumenmål 2022'!B:R,16,0))</f>
        <v>42068387.347524464</v>
      </c>
      <c r="T60" s="18">
        <f>AVERAGE(VLOOKUP(B60,'Netvolumenmål 2021'!B:R,17,0),VLOOKUP(B60,'Netvolumenmål 2022'!B:R,17,0))</f>
        <v>59487667.404348955</v>
      </c>
      <c r="U60" s="98"/>
      <c r="V60" s="98"/>
      <c r="W60" s="120">
        <v>32.04592873096874</v>
      </c>
      <c r="X60" s="120">
        <v>2.7858168506460106E-2</v>
      </c>
      <c r="Y60" s="121">
        <v>23917516.017930806</v>
      </c>
      <c r="Z60" s="121">
        <v>23953988.168703146</v>
      </c>
      <c r="AA60" s="121">
        <v>51555737.668781213</v>
      </c>
      <c r="AB60" s="121">
        <v>36960362.703998044</v>
      </c>
      <c r="AC60" s="121">
        <v>17419280.056824498</v>
      </c>
      <c r="AD60" s="122">
        <v>42068387.347524464</v>
      </c>
      <c r="AE60" s="122">
        <v>59487667.404348955</v>
      </c>
      <c r="AF60" s="226"/>
      <c r="AG60" s="226"/>
      <c r="AH60" s="226"/>
      <c r="AI60" s="203"/>
    </row>
    <row r="61" spans="1:35" x14ac:dyDescent="0.25">
      <c r="A61" s="49" t="s">
        <v>135</v>
      </c>
      <c r="B61" s="202" t="s">
        <v>136</v>
      </c>
      <c r="C61" s="116">
        <f>AVERAGE('Netvolumenmål 2021'!C61,'Netvolumenmål 2022'!C61)</f>
        <v>33.773576563635146</v>
      </c>
      <c r="D61" s="116">
        <f>AVERAGE('Netvolumenmål 2021'!D61,'Netvolumenmål 2022'!D61)</f>
        <v>2.089201285393618E-2</v>
      </c>
      <c r="E61" s="117">
        <f>AVERAGE('Netvolumenmål 2021'!E61,'Netvolumenmål 2022'!E61)</f>
        <v>38943089.583830431</v>
      </c>
      <c r="F61" s="118">
        <f t="shared" si="0"/>
        <v>38796202.609458141</v>
      </c>
      <c r="G61" s="117">
        <f>VLOOKUP(B61,'Costdrivere gns.'!B:AP,39,0)+VLOOKUP(B61,'Costdrivere gns.'!B:AP,40,0)+VLOOKUP(B61,'Costdrivere gns.'!B:AP,41,0)</f>
        <v>103729418.61734636</v>
      </c>
      <c r="H61" s="118">
        <f t="shared" si="1"/>
        <v>73202587.83435145</v>
      </c>
      <c r="I61" s="88">
        <f>AVERAGE('Netvolumenmål 2021'!G61,'Netvolumenmål 2022'!G61)</f>
        <v>36718726.87765</v>
      </c>
      <c r="J61" s="5">
        <f>AVERAGE('Netvolumenmål 2021'!H61,'Netvolumenmål 2022'!H61)</f>
        <v>49763430.930387989</v>
      </c>
      <c r="K61" s="119">
        <f>AVERAGE('Netvolumenmål 2021'!I61,'Netvolumenmål 2022'!I61)</f>
        <v>8618388.9268000014</v>
      </c>
      <c r="L61" s="119">
        <f>AVERAGE('Netvolumenmål 2021'!J61,'Netvolumenmål 2022'!J61)</f>
        <v>24544317.629762292</v>
      </c>
      <c r="M61" s="58">
        <f>AVERAGE(VLOOKUP(B61,'Netvolumenmål 2021'!B:R,10,0),VLOOKUP(B61,'Netvolumenmål 2022'!B:R,10,0))</f>
        <v>82926137.486950278</v>
      </c>
      <c r="N61" s="88">
        <f>AVERAGE(VLOOKUP(B61,'Netvolumenmål 2021'!B:R,11,0),VLOOKUP(B61,'Netvolumenmål 2022'!B:R,11,0))</f>
        <v>119644864.36460027</v>
      </c>
      <c r="O61" s="88">
        <f>AVERAGE(VLOOKUP(B61,'Netvolumenmål 2021'!B:R,12,0),VLOOKUP(B61,'Netvolumenmål 2022'!B:R,12,0))</f>
        <v>0</v>
      </c>
      <c r="P61" s="98">
        <f>AVERAGE(VLOOKUP(B61,'Netvolumenmål 2021'!B:R,13,0),VLOOKUP(B61,'Netvolumenmål 2022'!B:R,13,0))</f>
        <v>0</v>
      </c>
      <c r="Q61" s="98">
        <f>AVERAGE(VLOOKUP(B61,'Netvolumenmål 2021'!B:R,14,0),VLOOKUP(B61,'Netvolumenmål 2022'!B:R,14,0))</f>
        <v>0</v>
      </c>
      <c r="R61" s="121">
        <f>AVERAGE(VLOOKUP(B61,'Netvolumenmål 2021'!B:R,15,0),VLOOKUP(B61,'Netvolumenmål 2022'!B:R,15,0))</f>
        <v>36718726.87765</v>
      </c>
      <c r="S61" s="225">
        <f>AVERAGE(VLOOKUP(B61,'Netvolumenmål 2021'!B:R,16,0),VLOOKUP(B61,'Netvolumenmål 2022'!B:R,16,0))</f>
        <v>82926137.486950278</v>
      </c>
      <c r="T61" s="18">
        <f>AVERAGE(VLOOKUP(B61,'Netvolumenmål 2021'!B:R,17,0),VLOOKUP(B61,'Netvolumenmål 2022'!B:R,17,0))</f>
        <v>119644864.36460027</v>
      </c>
      <c r="U61" s="98"/>
      <c r="V61" s="98"/>
      <c r="W61" s="120">
        <v>33.773576563635146</v>
      </c>
      <c r="X61" s="120">
        <v>2.089201285393618E-2</v>
      </c>
      <c r="Y61" s="121">
        <v>38943089.583830431</v>
      </c>
      <c r="Z61" s="121">
        <v>38796202.609458141</v>
      </c>
      <c r="AA61" s="121">
        <v>103729418.61734636</v>
      </c>
      <c r="AB61" s="121">
        <v>73202587.83435145</v>
      </c>
      <c r="AC61" s="121">
        <v>36718726.87765</v>
      </c>
      <c r="AD61" s="122">
        <v>82926137.486950278</v>
      </c>
      <c r="AE61" s="122">
        <v>119644864.36460027</v>
      </c>
      <c r="AF61" s="226"/>
      <c r="AG61" s="226"/>
      <c r="AH61" s="226"/>
      <c r="AI61" s="203"/>
    </row>
    <row r="62" spans="1:35" x14ac:dyDescent="0.25">
      <c r="A62" s="49" t="s">
        <v>137</v>
      </c>
      <c r="B62" s="202" t="s">
        <v>138</v>
      </c>
      <c r="C62" s="116">
        <f>AVERAGE('Netvolumenmål 2021'!C62,'Netvolumenmål 2022'!C62)</f>
        <v>34.137451097868578</v>
      </c>
      <c r="D62" s="116">
        <f>AVERAGE('Netvolumenmål 2021'!D62,'Netvolumenmål 2022'!D62)</f>
        <v>0.10998630560176872</v>
      </c>
      <c r="E62" s="117">
        <f>AVERAGE('Netvolumenmål 2021'!E62,'Netvolumenmål 2022'!E62)</f>
        <v>9461892.5286249481</v>
      </c>
      <c r="F62" s="118">
        <f t="shared" si="0"/>
        <v>11255976.069030821</v>
      </c>
      <c r="G62" s="117">
        <f>VLOOKUP(B62,'Costdrivere gns.'!B:AP,39,0)+VLOOKUP(B62,'Costdrivere gns.'!B:AP,40,0)+VLOOKUP(B62,'Costdrivere gns.'!B:AP,41,0)</f>
        <v>51216208.212859146</v>
      </c>
      <c r="H62" s="118">
        <f t="shared" si="1"/>
        <v>37310428.460855886</v>
      </c>
      <c r="I62" s="88">
        <f>AVERAGE('Netvolumenmål 2021'!G62,'Netvolumenmål 2022'!G62)</f>
        <v>10134445.789900001</v>
      </c>
      <c r="J62" s="5">
        <f>AVERAGE('Netvolumenmål 2021'!H62,'Netvolumenmål 2022'!H62)</f>
        <v>16989369.456168503</v>
      </c>
      <c r="K62" s="119">
        <f>AVERAGE('Netvolumenmål 2021'!I62,'Netvolumenmål 2022'!I62)</f>
        <v>9461301.2420499995</v>
      </c>
      <c r="L62" s="119">
        <f>AVERAGE('Netvolumenmål 2021'!J62,'Netvolumenmål 2022'!J62)</f>
        <v>19243312.965025187</v>
      </c>
      <c r="M62" s="58">
        <f>AVERAGE(VLOOKUP(B62,'Netvolumenmål 2021'!B:R,10,0),VLOOKUP(B62,'Netvolumenmål 2022'!B:R,10,0))</f>
        <v>45693983.663243689</v>
      </c>
      <c r="N62" s="88">
        <f>AVERAGE(VLOOKUP(B62,'Netvolumenmål 2021'!B:R,11,0),VLOOKUP(B62,'Netvolumenmål 2022'!B:R,11,0))</f>
        <v>55828429.453143686</v>
      </c>
      <c r="O62" s="88">
        <f>AVERAGE(VLOOKUP(B62,'Netvolumenmål 2021'!B:R,12,0),VLOOKUP(B62,'Netvolumenmål 2022'!B:R,12,0))</f>
        <v>0</v>
      </c>
      <c r="P62" s="98">
        <f>AVERAGE(VLOOKUP(B62,'Netvolumenmål 2021'!B:R,13,0),VLOOKUP(B62,'Netvolumenmål 2022'!B:R,13,0))</f>
        <v>0</v>
      </c>
      <c r="Q62" s="98">
        <f>AVERAGE(VLOOKUP(B62,'Netvolumenmål 2021'!B:R,14,0),VLOOKUP(B62,'Netvolumenmål 2022'!B:R,14,0))</f>
        <v>0</v>
      </c>
      <c r="R62" s="121">
        <f>AVERAGE(VLOOKUP(B62,'Netvolumenmål 2021'!B:R,15,0),VLOOKUP(B62,'Netvolumenmål 2022'!B:R,15,0))</f>
        <v>10134445.789900001</v>
      </c>
      <c r="S62" s="225">
        <f>AVERAGE(VLOOKUP(B62,'Netvolumenmål 2021'!B:R,16,0),VLOOKUP(B62,'Netvolumenmål 2022'!B:R,16,0))</f>
        <v>45693983.663243689</v>
      </c>
      <c r="T62" s="18">
        <f>AVERAGE(VLOOKUP(B62,'Netvolumenmål 2021'!B:R,17,0),VLOOKUP(B62,'Netvolumenmål 2022'!B:R,17,0))</f>
        <v>55828429.453143686</v>
      </c>
      <c r="U62" s="98"/>
      <c r="V62" s="98"/>
      <c r="W62" s="120">
        <v>34.137451097868578</v>
      </c>
      <c r="X62" s="120">
        <v>0.10998630560176872</v>
      </c>
      <c r="Y62" s="121">
        <v>9461892.5286249481</v>
      </c>
      <c r="Z62" s="121">
        <v>11255976.069030821</v>
      </c>
      <c r="AA62" s="121">
        <v>49776104.123185821</v>
      </c>
      <c r="AB62" s="121">
        <v>36261328.918175332</v>
      </c>
      <c r="AC62" s="121">
        <v>10134445.789900001</v>
      </c>
      <c r="AD62" s="122">
        <v>45693983.663243689</v>
      </c>
      <c r="AE62" s="122">
        <v>55828429.453143686</v>
      </c>
      <c r="AF62" s="226"/>
      <c r="AG62" s="226"/>
      <c r="AH62" s="226"/>
      <c r="AI62" s="203"/>
    </row>
    <row r="63" spans="1:35" x14ac:dyDescent="0.25">
      <c r="A63" s="49" t="s">
        <v>139</v>
      </c>
      <c r="B63" s="202" t="s">
        <v>140</v>
      </c>
      <c r="C63" s="116">
        <f>AVERAGE('Netvolumenmål 2021'!C63,'Netvolumenmål 2022'!C63)</f>
        <v>31.618470679816273</v>
      </c>
      <c r="D63" s="116">
        <f>AVERAGE('Netvolumenmål 2021'!D63,'Netvolumenmål 2022'!D63)</f>
        <v>2.451321093360145E-2</v>
      </c>
      <c r="E63" s="117">
        <f>AVERAGE('Netvolumenmål 2021'!E63,'Netvolumenmål 2022'!E63)</f>
        <v>29616926.948949702</v>
      </c>
      <c r="F63" s="118">
        <f t="shared" si="0"/>
        <v>29378503.226654489</v>
      </c>
      <c r="G63" s="117">
        <f>VLOOKUP(B63,'Costdrivere gns.'!B:AP,39,0)+VLOOKUP(B63,'Costdrivere gns.'!B:AP,40,0)+VLOOKUP(B63,'Costdrivere gns.'!B:AP,41,0)</f>
        <v>118841562.77814101</v>
      </c>
      <c r="H63" s="118">
        <f t="shared" si="1"/>
        <v>85359579.753278002</v>
      </c>
      <c r="I63" s="88">
        <f>AVERAGE('Netvolumenmål 2021'!G63,'Netvolumenmål 2022'!G63)</f>
        <v>31886931.49205</v>
      </c>
      <c r="J63" s="5">
        <f>AVERAGE('Netvolumenmål 2021'!H63,'Netvolumenmål 2022'!H63)</f>
        <v>56387332.256436199</v>
      </c>
      <c r="K63" s="119">
        <f>AVERAGE('Netvolumenmål 2021'!I63,'Netvolumenmål 2022'!I63)</f>
        <v>12112060.850000001</v>
      </c>
      <c r="L63" s="119">
        <f>AVERAGE('Netvolumenmål 2021'!J63,'Netvolumenmål 2022'!J63)</f>
        <v>28402848.222775482</v>
      </c>
      <c r="M63" s="58">
        <f>AVERAGE(VLOOKUP(B63,'Netvolumenmål 2021'!B:R,10,0),VLOOKUP(B63,'Netvolumenmål 2022'!B:R,10,0))</f>
        <v>96902241.329211682</v>
      </c>
      <c r="N63" s="88">
        <f>AVERAGE(VLOOKUP(B63,'Netvolumenmål 2021'!B:R,11,0),VLOOKUP(B63,'Netvolumenmål 2022'!B:R,11,0))</f>
        <v>128789172.82126167</v>
      </c>
      <c r="O63" s="88">
        <f>AVERAGE(VLOOKUP(B63,'Netvolumenmål 2021'!B:R,12,0),VLOOKUP(B63,'Netvolumenmål 2022'!B:R,12,0))</f>
        <v>0</v>
      </c>
      <c r="P63" s="98">
        <f>AVERAGE(VLOOKUP(B63,'Netvolumenmål 2021'!B:R,13,0),VLOOKUP(B63,'Netvolumenmål 2022'!B:R,13,0))</f>
        <v>0</v>
      </c>
      <c r="Q63" s="98">
        <f>AVERAGE(VLOOKUP(B63,'Netvolumenmål 2021'!B:R,14,0),VLOOKUP(B63,'Netvolumenmål 2022'!B:R,14,0))</f>
        <v>0</v>
      </c>
      <c r="R63" s="121">
        <f>AVERAGE(VLOOKUP(B63,'Netvolumenmål 2021'!B:R,15,0),VLOOKUP(B63,'Netvolumenmål 2022'!B:R,15,0))</f>
        <v>31886931.49205</v>
      </c>
      <c r="S63" s="225">
        <f>AVERAGE(VLOOKUP(B63,'Netvolumenmål 2021'!B:R,16,0),VLOOKUP(B63,'Netvolumenmål 2022'!B:R,16,0))</f>
        <v>96902241.329211682</v>
      </c>
      <c r="T63" s="18">
        <f>AVERAGE(VLOOKUP(B63,'Netvolumenmål 2021'!B:R,17,0),VLOOKUP(B63,'Netvolumenmål 2022'!B:R,17,0))</f>
        <v>128789172.82126167</v>
      </c>
      <c r="U63" s="98"/>
      <c r="V63" s="98"/>
      <c r="W63" s="120">
        <v>31.618470679816273</v>
      </c>
      <c r="X63" s="120">
        <v>2.451321093360145E-2</v>
      </c>
      <c r="Y63" s="121">
        <v>29616926.948949702</v>
      </c>
      <c r="Z63" s="121">
        <v>29378503.226654489</v>
      </c>
      <c r="AA63" s="121">
        <v>118841562.77814101</v>
      </c>
      <c r="AB63" s="121">
        <v>85359579.753278002</v>
      </c>
      <c r="AC63" s="121">
        <v>31886931.49205</v>
      </c>
      <c r="AD63" s="122">
        <v>96902241.329211682</v>
      </c>
      <c r="AE63" s="122">
        <v>128789172.82126167</v>
      </c>
      <c r="AF63" s="226"/>
      <c r="AG63" s="226"/>
      <c r="AH63" s="226"/>
      <c r="AI63" s="203"/>
    </row>
    <row r="64" spans="1:35" x14ac:dyDescent="0.25">
      <c r="A64" s="49" t="s">
        <v>141</v>
      </c>
      <c r="B64" s="202" t="s">
        <v>142</v>
      </c>
      <c r="C64" s="116">
        <f>AVERAGE('Netvolumenmål 2021'!C64,'Netvolumenmål 2022'!C64)</f>
        <v>32.196290943735079</v>
      </c>
      <c r="D64" s="116">
        <f>AVERAGE('Netvolumenmål 2021'!D64,'Netvolumenmål 2022'!D64)</f>
        <v>2.0174498110542557E-2</v>
      </c>
      <c r="E64" s="117">
        <f>AVERAGE('Netvolumenmål 2021'!E64,'Netvolumenmål 2022'!E64)</f>
        <v>25583865.179113921</v>
      </c>
      <c r="F64" s="118">
        <f t="shared" si="0"/>
        <v>25222207.084788401</v>
      </c>
      <c r="G64" s="117">
        <f>VLOOKUP(B64,'Costdrivere gns.'!B:AP,39,0)+VLOOKUP(B64,'Costdrivere gns.'!B:AP,40,0)+VLOOKUP(B64,'Costdrivere gns.'!B:AP,41,0)</f>
        <v>106106096.2095836</v>
      </c>
      <c r="H64" s="118">
        <f t="shared" si="1"/>
        <v>75755739.760615036</v>
      </c>
      <c r="I64" s="88">
        <f>AVERAGE('Netvolumenmål 2021'!G64,'Netvolumenmål 2022'!G64)</f>
        <v>23386531.449100003</v>
      </c>
      <c r="J64" s="5">
        <f>AVERAGE('Netvolumenmål 2021'!H64,'Netvolumenmål 2022'!H64)</f>
        <v>41659916.678695336</v>
      </c>
      <c r="K64" s="119">
        <f>AVERAGE('Netvolumenmål 2021'!I64,'Netvolumenmål 2022'!I64)</f>
        <v>4517086.5999999996</v>
      </c>
      <c r="L64" s="119">
        <f>AVERAGE('Netvolumenmål 2021'!J64,'Netvolumenmål 2022'!J64)</f>
        <v>13556262.990043143</v>
      </c>
      <c r="M64" s="58">
        <f>AVERAGE(VLOOKUP(B64,'Netvolumenmål 2021'!B:R,10,0),VLOOKUP(B64,'Netvolumenmål 2022'!B:R,10,0))</f>
        <v>59733266.268738478</v>
      </c>
      <c r="N64" s="88">
        <f>AVERAGE(VLOOKUP(B64,'Netvolumenmål 2021'!B:R,11,0),VLOOKUP(B64,'Netvolumenmål 2022'!B:R,11,0))</f>
        <v>83119797.717838481</v>
      </c>
      <c r="O64" s="88">
        <f>AVERAGE(VLOOKUP(B64,'Netvolumenmål 2021'!B:R,12,0),VLOOKUP(B64,'Netvolumenmål 2022'!B:R,12,0))</f>
        <v>0</v>
      </c>
      <c r="P64" s="98">
        <f>AVERAGE(VLOOKUP(B64,'Netvolumenmål 2021'!B:R,13,0),VLOOKUP(B64,'Netvolumenmål 2022'!B:R,13,0))</f>
        <v>0</v>
      </c>
      <c r="Q64" s="98">
        <f>AVERAGE(VLOOKUP(B64,'Netvolumenmål 2021'!B:R,14,0),VLOOKUP(B64,'Netvolumenmål 2022'!B:R,14,0))</f>
        <v>0</v>
      </c>
      <c r="R64" s="121">
        <f>AVERAGE(VLOOKUP(B64,'Netvolumenmål 2021'!B:R,15,0),VLOOKUP(B64,'Netvolumenmål 2022'!B:R,15,0))</f>
        <v>23386531.449100003</v>
      </c>
      <c r="S64" s="225">
        <f>AVERAGE(VLOOKUP(B64,'Netvolumenmål 2021'!B:R,16,0),VLOOKUP(B64,'Netvolumenmål 2022'!B:R,16,0))</f>
        <v>59733266.268738478</v>
      </c>
      <c r="T64" s="18">
        <f>AVERAGE(VLOOKUP(B64,'Netvolumenmål 2021'!B:R,17,0),VLOOKUP(B64,'Netvolumenmål 2022'!B:R,17,0))</f>
        <v>83119797.717838481</v>
      </c>
      <c r="U64" s="98"/>
      <c r="V64" s="98"/>
      <c r="W64" s="120">
        <v>32.196290943735079</v>
      </c>
      <c r="X64" s="120">
        <v>2.0174498110542557E-2</v>
      </c>
      <c r="Y64" s="121">
        <v>25583865.179113921</v>
      </c>
      <c r="Z64" s="121">
        <v>25222207.084788401</v>
      </c>
      <c r="AA64" s="121">
        <v>106106096.2095836</v>
      </c>
      <c r="AB64" s="121">
        <v>75755739.760615036</v>
      </c>
      <c r="AC64" s="121">
        <v>23386531.449100003</v>
      </c>
      <c r="AD64" s="122">
        <v>59733266.268738478</v>
      </c>
      <c r="AE64" s="122">
        <v>83119797.717838481</v>
      </c>
      <c r="AF64" s="226"/>
      <c r="AG64" s="226"/>
      <c r="AH64" s="226"/>
      <c r="AI64" s="203"/>
    </row>
    <row r="65" spans="1:35" x14ac:dyDescent="0.25">
      <c r="A65" s="49" t="s">
        <v>143</v>
      </c>
      <c r="B65" s="202" t="s">
        <v>144</v>
      </c>
      <c r="C65" s="116">
        <f>AVERAGE('Netvolumenmål 2021'!C65,'Netvolumenmål 2022'!C65)</f>
        <v>32.658363788997057</v>
      </c>
      <c r="D65" s="116">
        <f>AVERAGE('Netvolumenmål 2021'!D65,'Netvolumenmål 2022'!D65)</f>
        <v>1.6756142865204902E-2</v>
      </c>
      <c r="E65" s="117">
        <f>AVERAGE('Netvolumenmål 2021'!E65,'Netvolumenmål 2022'!E65)</f>
        <v>23516068.239119381</v>
      </c>
      <c r="F65" s="118">
        <f t="shared" si="0"/>
        <v>23071780.456842907</v>
      </c>
      <c r="G65" s="117">
        <f>VLOOKUP(B65,'Costdrivere gns.'!B:AP,39,0)+VLOOKUP(B65,'Costdrivere gns.'!B:AP,40,0)+VLOOKUP(B65,'Costdrivere gns.'!B:AP,41,0)</f>
        <v>71309102.640683994</v>
      </c>
      <c r="H65" s="118">
        <f t="shared" si="1"/>
        <v>50667724.34847036</v>
      </c>
      <c r="I65" s="88">
        <f>AVERAGE('Netvolumenmål 2021'!G65,'Netvolumenmål 2022'!G65)</f>
        <v>16780898.7976445</v>
      </c>
      <c r="J65" s="5">
        <f>AVERAGE('Netvolumenmål 2021'!H65,'Netvolumenmål 2022'!H65)</f>
        <v>30268025.688177858</v>
      </c>
      <c r="K65" s="119">
        <f>AVERAGE('Netvolumenmål 2021'!I65,'Netvolumenmål 2022'!I65)</f>
        <v>5350514.4260499999</v>
      </c>
      <c r="L65" s="119">
        <f>AVERAGE('Netvolumenmål 2021'!J65,'Netvolumenmål 2022'!J65)</f>
        <v>9665475.8692162596</v>
      </c>
      <c r="M65" s="58">
        <f>AVERAGE(VLOOKUP(B65,'Netvolumenmål 2021'!B:R,10,0),VLOOKUP(B65,'Netvolumenmål 2022'!B:R,10,0))</f>
        <v>45284015.983444124</v>
      </c>
      <c r="N65" s="88">
        <f>AVERAGE(VLOOKUP(B65,'Netvolumenmål 2021'!B:R,11,0),VLOOKUP(B65,'Netvolumenmål 2022'!B:R,11,0))</f>
        <v>62064914.78108862</v>
      </c>
      <c r="O65" s="88">
        <f>AVERAGE(VLOOKUP(B65,'Netvolumenmål 2021'!B:R,12,0),VLOOKUP(B65,'Netvolumenmål 2022'!B:R,12,0))</f>
        <v>0</v>
      </c>
      <c r="P65" s="98">
        <f>AVERAGE(VLOOKUP(B65,'Netvolumenmål 2021'!B:R,13,0),VLOOKUP(B65,'Netvolumenmål 2022'!B:R,13,0))</f>
        <v>0</v>
      </c>
      <c r="Q65" s="98">
        <f>AVERAGE(VLOOKUP(B65,'Netvolumenmål 2021'!B:R,14,0),VLOOKUP(B65,'Netvolumenmål 2022'!B:R,14,0))</f>
        <v>0</v>
      </c>
      <c r="R65" s="121">
        <f>AVERAGE(VLOOKUP(B65,'Netvolumenmål 2021'!B:R,15,0),VLOOKUP(B65,'Netvolumenmål 2022'!B:R,15,0))</f>
        <v>16780898.7976445</v>
      </c>
      <c r="S65" s="225">
        <f>AVERAGE(VLOOKUP(B65,'Netvolumenmål 2021'!B:R,16,0),VLOOKUP(B65,'Netvolumenmål 2022'!B:R,16,0))</f>
        <v>45284015.983444124</v>
      </c>
      <c r="T65" s="18">
        <f>AVERAGE(VLOOKUP(B65,'Netvolumenmål 2021'!B:R,17,0),VLOOKUP(B65,'Netvolumenmål 2022'!B:R,17,0))</f>
        <v>62064914.78108862</v>
      </c>
      <c r="U65" s="98"/>
      <c r="V65" s="98"/>
      <c r="W65" s="120">
        <v>32.658363788997057</v>
      </c>
      <c r="X65" s="120">
        <v>1.6756142865204902E-2</v>
      </c>
      <c r="Y65" s="121">
        <v>23516068.239119381</v>
      </c>
      <c r="Z65" s="121">
        <v>23071780.456842907</v>
      </c>
      <c r="AA65" s="121">
        <v>71309102.640683994</v>
      </c>
      <c r="AB65" s="121">
        <v>50667724.34847036</v>
      </c>
      <c r="AC65" s="121">
        <v>16780898.7976445</v>
      </c>
      <c r="AD65" s="122">
        <v>45284015.983444124</v>
      </c>
      <c r="AE65" s="122">
        <v>62064914.78108862</v>
      </c>
      <c r="AF65" s="226"/>
      <c r="AG65" s="226"/>
      <c r="AH65" s="226"/>
      <c r="AI65" s="203"/>
    </row>
    <row r="66" spans="1:35" x14ac:dyDescent="0.25">
      <c r="A66" s="49" t="s">
        <v>145</v>
      </c>
      <c r="B66" s="202" t="s">
        <v>146</v>
      </c>
      <c r="C66" s="116">
        <f>AVERAGE('Netvolumenmål 2021'!C66,'Netvolumenmål 2022'!C66)</f>
        <v>32.900777126212255</v>
      </c>
      <c r="D66" s="116">
        <f>AVERAGE('Netvolumenmål 2021'!D66,'Netvolumenmål 2022'!D66)</f>
        <v>5.6179775280898881E-4</v>
      </c>
      <c r="E66" s="117">
        <f>AVERAGE('Netvolumenmål 2021'!E66,'Netvolumenmål 2022'!E66)</f>
        <v>23297064.925238878</v>
      </c>
      <c r="F66" s="118">
        <f t="shared" si="0"/>
        <v>22078221.203424502</v>
      </c>
      <c r="G66" s="117">
        <f>VLOOKUP(B66,'Costdrivere gns.'!B:AP,39,0)+VLOOKUP(B66,'Costdrivere gns.'!B:AP,40,0)+VLOOKUP(B66,'Costdrivere gns.'!B:AP,41,0)</f>
        <v>25933419.321662422</v>
      </c>
      <c r="H66" s="118">
        <f t="shared" si="1"/>
        <v>18276364.242757995</v>
      </c>
      <c r="I66" s="88">
        <f>AVERAGE('Netvolumenmål 2021'!G66,'Netvolumenmål 2022'!G66)</f>
        <v>30499239.334750004</v>
      </c>
      <c r="J66" s="5">
        <f>AVERAGE('Netvolumenmål 2021'!H66,'Netvolumenmål 2022'!H66)</f>
        <v>13227935.087744687</v>
      </c>
      <c r="K66" s="119">
        <f>AVERAGE('Netvolumenmål 2021'!I66,'Netvolumenmål 2022'!I66)</f>
        <v>1035458.5245500001</v>
      </c>
      <c r="L66" s="119">
        <f>AVERAGE('Netvolumenmål 2021'!J66,'Netvolumenmål 2022'!J66)</f>
        <v>13737865.492584199</v>
      </c>
      <c r="M66" s="58">
        <f>AVERAGE(VLOOKUP(B66,'Netvolumenmål 2021'!B:R,10,0),VLOOKUP(B66,'Netvolumenmål 2022'!B:R,10,0))</f>
        <v>28001259.104878888</v>
      </c>
      <c r="N66" s="88">
        <f>AVERAGE(VLOOKUP(B66,'Netvolumenmål 2021'!B:R,11,0),VLOOKUP(B66,'Netvolumenmål 2022'!B:R,11,0))</f>
        <v>58500498.439628884</v>
      </c>
      <c r="O66" s="88">
        <f>AVERAGE(VLOOKUP(B66,'Netvolumenmål 2021'!B:R,12,0),VLOOKUP(B66,'Netvolumenmål 2022'!B:R,12,0))</f>
        <v>866920.28314752178</v>
      </c>
      <c r="P66" s="98">
        <f>AVERAGE(VLOOKUP(B66,'Netvolumenmål 2021'!B:R,13,0),VLOOKUP(B66,'Netvolumenmål 2022'!B:R,13,0))</f>
        <v>1459083.2567</v>
      </c>
      <c r="Q66" s="98">
        <f>AVERAGE(VLOOKUP(B66,'Netvolumenmål 2021'!B:R,14,0),VLOOKUP(B66,'Netvolumenmål 2022'!B:R,14,0))</f>
        <v>5715678.85525</v>
      </c>
      <c r="R66" s="121">
        <f>AVERAGE(VLOOKUP(B66,'Netvolumenmål 2021'!B:R,15,0),VLOOKUP(B66,'Netvolumenmål 2022'!B:R,15,0))</f>
        <v>29040156.078050002</v>
      </c>
      <c r="S66" s="225">
        <f>AVERAGE(VLOOKUP(B66,'Netvolumenmål 2021'!B:R,16,0),VLOOKUP(B66,'Netvolumenmål 2022'!B:R,16,0))</f>
        <v>21418659.966481365</v>
      </c>
      <c r="T66" s="18">
        <f>AVERAGE(VLOOKUP(B66,'Netvolumenmål 2021'!B:R,17,0),VLOOKUP(B66,'Netvolumenmål 2022'!B:R,17,0))</f>
        <v>50458816.044531368</v>
      </c>
      <c r="U66" s="98"/>
      <c r="V66" s="98"/>
      <c r="W66" s="120">
        <v>32.900777126212255</v>
      </c>
      <c r="X66" s="120">
        <v>5.6179775280898881E-4</v>
      </c>
      <c r="Y66" s="121">
        <v>23297064.925238878</v>
      </c>
      <c r="Z66" s="121">
        <v>22078221.203424502</v>
      </c>
      <c r="AA66" s="121">
        <v>25600315.434802696</v>
      </c>
      <c r="AB66" s="121">
        <v>18041612.014699835</v>
      </c>
      <c r="AC66" s="121">
        <v>29040156.078050002</v>
      </c>
      <c r="AD66" s="122">
        <v>21418659.966481365</v>
      </c>
      <c r="AE66" s="122">
        <v>50458816.044531368</v>
      </c>
      <c r="AF66" s="226"/>
      <c r="AG66" s="226"/>
      <c r="AH66" s="226"/>
      <c r="AI66" s="203"/>
    </row>
    <row r="67" spans="1:35" x14ac:dyDescent="0.25">
      <c r="A67" s="49" t="s">
        <v>147</v>
      </c>
      <c r="B67" s="202" t="s">
        <v>148</v>
      </c>
      <c r="C67" s="116">
        <f>AVERAGE('Netvolumenmål 2021'!C67,'Netvolumenmål 2022'!C67)</f>
        <v>24.677949235584862</v>
      </c>
      <c r="D67" s="116">
        <f>AVERAGE('Netvolumenmål 2021'!D67,'Netvolumenmål 2022'!D67)</f>
        <v>4.3478260869565227E-3</v>
      </c>
      <c r="E67" s="117">
        <f>AVERAGE('Netvolumenmål 2021'!E67,'Netvolumenmål 2022'!E67)</f>
        <v>13793191.120554242</v>
      </c>
      <c r="F67" s="118">
        <f t="shared" si="0"/>
        <v>12549255.960209964</v>
      </c>
      <c r="G67" s="117">
        <f>VLOOKUP(B67,'Costdrivere gns.'!B:AP,39,0)+VLOOKUP(B67,'Costdrivere gns.'!B:AP,40,0)+VLOOKUP(B67,'Costdrivere gns.'!B:AP,41,0)</f>
        <v>7999965.6205138303</v>
      </c>
      <c r="H67" s="118">
        <f t="shared" si="1"/>
        <v>5998911.1654275544</v>
      </c>
      <c r="I67" s="88">
        <f>AVERAGE('Netvolumenmål 2021'!G67,'Netvolumenmål 2022'!G67)</f>
        <v>12648345.688900001</v>
      </c>
      <c r="J67" s="5">
        <f>AVERAGE('Netvolumenmål 2021'!H67,'Netvolumenmål 2022'!H67)</f>
        <v>3202080.2765066661</v>
      </c>
      <c r="K67" s="119">
        <f>AVERAGE('Netvolumenmål 2021'!I67,'Netvolumenmål 2022'!I67)</f>
        <v>646006.5</v>
      </c>
      <c r="L67" s="119">
        <f>AVERAGE('Netvolumenmål 2021'!J67,'Netvolumenmål 2022'!J67)</f>
        <v>5133921.1643800437</v>
      </c>
      <c r="M67" s="58">
        <f>AVERAGE(VLOOKUP(B67,'Netvolumenmål 2021'!B:R,10,0),VLOOKUP(B67,'Netvolumenmål 2022'!B:R,10,0))</f>
        <v>8982007.9408867098</v>
      </c>
      <c r="N67" s="88">
        <f>AVERAGE(VLOOKUP(B67,'Netvolumenmål 2021'!B:R,11,0),VLOOKUP(B67,'Netvolumenmål 2022'!B:R,11,0))</f>
        <v>21630353.629786711</v>
      </c>
      <c r="O67" s="88">
        <f>AVERAGE(VLOOKUP(B67,'Netvolumenmål 2021'!B:R,12,0),VLOOKUP(B67,'Netvolumenmål 2022'!B:R,12,0))</f>
        <v>0</v>
      </c>
      <c r="P67" s="98">
        <f>AVERAGE(VLOOKUP(B67,'Netvolumenmål 2021'!B:R,13,0),VLOOKUP(B67,'Netvolumenmål 2022'!B:R,13,0))</f>
        <v>0</v>
      </c>
      <c r="Q67" s="98">
        <f>AVERAGE(VLOOKUP(B67,'Netvolumenmål 2021'!B:R,14,0),VLOOKUP(B67,'Netvolumenmål 2022'!B:R,14,0))</f>
        <v>0</v>
      </c>
      <c r="R67" s="121">
        <f>AVERAGE(VLOOKUP(B67,'Netvolumenmål 2021'!B:R,15,0),VLOOKUP(B67,'Netvolumenmål 2022'!B:R,15,0))</f>
        <v>12648345.688900001</v>
      </c>
      <c r="S67" s="225">
        <f>AVERAGE(VLOOKUP(B67,'Netvolumenmål 2021'!B:R,16,0),VLOOKUP(B67,'Netvolumenmål 2022'!B:R,16,0))</f>
        <v>8982007.9408867098</v>
      </c>
      <c r="T67" s="18">
        <f>AVERAGE(VLOOKUP(B67,'Netvolumenmål 2021'!B:R,17,0),VLOOKUP(B67,'Netvolumenmål 2022'!B:R,17,0))</f>
        <v>21630353.629786711</v>
      </c>
      <c r="U67" s="98"/>
      <c r="V67" s="98"/>
      <c r="W67" s="120">
        <v>24.677949235584862</v>
      </c>
      <c r="X67" s="120">
        <v>4.3478260869565227E-3</v>
      </c>
      <c r="Y67" s="121">
        <v>13793191.120554242</v>
      </c>
      <c r="Z67" s="121">
        <v>12549255.960209964</v>
      </c>
      <c r="AA67" s="121">
        <v>7908052.1870041639</v>
      </c>
      <c r="AB67" s="121">
        <v>5929988.3039192436</v>
      </c>
      <c r="AC67" s="121">
        <v>12648345.688900001</v>
      </c>
      <c r="AD67" s="122">
        <v>8982007.9408867098</v>
      </c>
      <c r="AE67" s="122">
        <v>21630353.629786711</v>
      </c>
      <c r="AF67" s="226"/>
      <c r="AG67" s="226"/>
      <c r="AH67" s="226"/>
      <c r="AI67" s="203"/>
    </row>
    <row r="68" spans="1:35" x14ac:dyDescent="0.25">
      <c r="A68" s="49" t="s">
        <v>149</v>
      </c>
      <c r="B68" s="202" t="s">
        <v>150</v>
      </c>
      <c r="C68" s="116">
        <f>AVERAGE('Netvolumenmål 2021'!C68,'Netvolumenmål 2022'!C68)</f>
        <v>35.120221053119408</v>
      </c>
      <c r="D68" s="116">
        <f>AVERAGE('Netvolumenmål 2021'!D68,'Netvolumenmål 2022'!D68)</f>
        <v>2.5254069098173258E-2</v>
      </c>
      <c r="E68" s="117">
        <f>AVERAGE('Netvolumenmål 2021'!E68,'Netvolumenmål 2022'!E68)</f>
        <v>26602500.897213474</v>
      </c>
      <c r="F68" s="118">
        <f t="shared" si="0"/>
        <v>26951783.241765227</v>
      </c>
      <c r="G68" s="117">
        <f>VLOOKUP(B68,'Costdrivere gns.'!B:AP,39,0)+VLOOKUP(B68,'Costdrivere gns.'!B:AP,40,0)+VLOOKUP(B68,'Costdrivere gns.'!B:AP,41,0)</f>
        <v>60933455.889959067</v>
      </c>
      <c r="H68" s="118">
        <f t="shared" si="1"/>
        <v>42635137.13380193</v>
      </c>
      <c r="I68" s="88">
        <f>AVERAGE('Netvolumenmål 2021'!G68,'Netvolumenmål 2022'!G68)</f>
        <v>25881431.18995</v>
      </c>
      <c r="J68" s="5">
        <f>AVERAGE('Netvolumenmål 2021'!H68,'Netvolumenmål 2022'!H68)</f>
        <v>31706173.817777947</v>
      </c>
      <c r="K68" s="119">
        <f>AVERAGE('Netvolumenmål 2021'!I68,'Netvolumenmål 2022'!I68)</f>
        <v>234401.02660000001</v>
      </c>
      <c r="L68" s="119">
        <f>AVERAGE('Netvolumenmål 2021'!J68,'Netvolumenmål 2022'!J68)</f>
        <v>9414214.7173649464</v>
      </c>
      <c r="M68" s="58">
        <f>AVERAGE(VLOOKUP(B68,'Netvolumenmål 2021'!B:R,10,0),VLOOKUP(B68,'Netvolumenmål 2022'!B:R,10,0))</f>
        <v>41354789.561742894</v>
      </c>
      <c r="N68" s="88">
        <f>AVERAGE(VLOOKUP(B68,'Netvolumenmål 2021'!B:R,11,0),VLOOKUP(B68,'Netvolumenmål 2022'!B:R,11,0))</f>
        <v>67236220.751692891</v>
      </c>
      <c r="O68" s="88">
        <f>AVERAGE(VLOOKUP(B68,'Netvolumenmål 2021'!B:R,12,0),VLOOKUP(B68,'Netvolumenmål 2022'!B:R,12,0))</f>
        <v>0</v>
      </c>
      <c r="P68" s="98">
        <f>AVERAGE(VLOOKUP(B68,'Netvolumenmål 2021'!B:R,13,0),VLOOKUP(B68,'Netvolumenmål 2022'!B:R,13,0))</f>
        <v>0</v>
      </c>
      <c r="Q68" s="98">
        <f>AVERAGE(VLOOKUP(B68,'Netvolumenmål 2021'!B:R,14,0),VLOOKUP(B68,'Netvolumenmål 2022'!B:R,14,0))</f>
        <v>0</v>
      </c>
      <c r="R68" s="121">
        <f>AVERAGE(VLOOKUP(B68,'Netvolumenmål 2021'!B:R,15,0),VLOOKUP(B68,'Netvolumenmål 2022'!B:R,15,0))</f>
        <v>25881431.18995</v>
      </c>
      <c r="S68" s="225">
        <f>AVERAGE(VLOOKUP(B68,'Netvolumenmål 2021'!B:R,16,0),VLOOKUP(B68,'Netvolumenmål 2022'!B:R,16,0))</f>
        <v>41354789.561742894</v>
      </c>
      <c r="T68" s="18">
        <f>AVERAGE(VLOOKUP(B68,'Netvolumenmål 2021'!B:R,17,0),VLOOKUP(B68,'Netvolumenmål 2022'!B:R,17,0))</f>
        <v>67236220.751692891</v>
      </c>
      <c r="U68" s="98"/>
      <c r="V68" s="98"/>
      <c r="W68" s="120">
        <v>35.120221053119408</v>
      </c>
      <c r="X68" s="120">
        <v>2.5254069098173258E-2</v>
      </c>
      <c r="Y68" s="121">
        <v>26602500.897213474</v>
      </c>
      <c r="Z68" s="121">
        <v>26951783.241765227</v>
      </c>
      <c r="AA68" s="121">
        <v>60933455.889959067</v>
      </c>
      <c r="AB68" s="121">
        <v>42635137.13380193</v>
      </c>
      <c r="AC68" s="121">
        <v>25881431.18995</v>
      </c>
      <c r="AD68" s="122">
        <v>41354789.561742894</v>
      </c>
      <c r="AE68" s="122">
        <v>67236220.751692891</v>
      </c>
      <c r="AF68" s="226"/>
      <c r="AG68" s="226"/>
      <c r="AH68" s="226"/>
      <c r="AI68" s="203"/>
    </row>
    <row r="69" spans="1:35" x14ac:dyDescent="0.25">
      <c r="A69" s="49" t="s">
        <v>151</v>
      </c>
      <c r="B69" s="202" t="s">
        <v>152</v>
      </c>
      <c r="C69" s="116">
        <f>AVERAGE('Netvolumenmål 2021'!C69,'Netvolumenmål 2022'!C69)</f>
        <v>33.5928682341533</v>
      </c>
      <c r="D69" s="116">
        <f>AVERAGE('Netvolumenmål 2021'!D69,'Netvolumenmål 2022'!D69)</f>
        <v>5.387129469641791E-2</v>
      </c>
      <c r="E69" s="117">
        <f>AVERAGE('Netvolumenmål 2021'!E69,'Netvolumenmål 2022'!E69)</f>
        <v>45208415.844125584</v>
      </c>
      <c r="F69" s="118">
        <f t="shared" ref="F69:F104" si="2">($F$106+$F$107*C69+$F$108*D69)*E69</f>
        <v>48194290.864775732</v>
      </c>
      <c r="G69" s="117">
        <f>VLOOKUP(B69,'Costdrivere gns.'!B:AP,39,0)+VLOOKUP(B69,'Costdrivere gns.'!B:AP,40,0)+VLOOKUP(B69,'Costdrivere gns.'!B:AP,41,0)</f>
        <v>174199991.56506306</v>
      </c>
      <c r="H69" s="118">
        <f t="shared" ref="H69:H104" si="3">($H$106+$H$107*C69+$H$108*D69)*G69</f>
        <v>124697670.64593598</v>
      </c>
      <c r="I69" s="88">
        <f>AVERAGE('Netvolumenmål 2021'!G69,'Netvolumenmål 2022'!G69)</f>
        <v>44743723.364112496</v>
      </c>
      <c r="J69" s="5">
        <f>AVERAGE('Netvolumenmål 2021'!H69,'Netvolumenmål 2022'!H69)</f>
        <v>80421588.768210515</v>
      </c>
      <c r="K69" s="119">
        <f>AVERAGE('Netvolumenmål 2021'!I69,'Netvolumenmål 2022'!I69)</f>
        <v>3901792.8333940003</v>
      </c>
      <c r="L69" s="119">
        <f>AVERAGE('Netvolumenmål 2021'!J69,'Netvolumenmål 2022'!J69)</f>
        <v>33195478.91436822</v>
      </c>
      <c r="M69" s="58">
        <f>AVERAGE(VLOOKUP(B69,'Netvolumenmål 2021'!B:R,10,0),VLOOKUP(B69,'Netvolumenmål 2022'!B:R,10,0))</f>
        <v>117518860.51597273</v>
      </c>
      <c r="N69" s="88">
        <f>AVERAGE(VLOOKUP(B69,'Netvolumenmål 2021'!B:R,11,0),VLOOKUP(B69,'Netvolumenmål 2022'!B:R,11,0))</f>
        <v>162262583.88008523</v>
      </c>
      <c r="O69" s="88">
        <f>AVERAGE(VLOOKUP(B69,'Netvolumenmål 2021'!B:R,12,0),VLOOKUP(B69,'Netvolumenmål 2022'!B:R,12,0))</f>
        <v>0</v>
      </c>
      <c r="P69" s="98">
        <f>AVERAGE(VLOOKUP(B69,'Netvolumenmål 2021'!B:R,13,0),VLOOKUP(B69,'Netvolumenmål 2022'!B:R,13,0))</f>
        <v>0</v>
      </c>
      <c r="Q69" s="98">
        <f>AVERAGE(VLOOKUP(B69,'Netvolumenmål 2021'!B:R,14,0),VLOOKUP(B69,'Netvolumenmål 2022'!B:R,14,0))</f>
        <v>0</v>
      </c>
      <c r="R69" s="121">
        <f>AVERAGE(VLOOKUP(B69,'Netvolumenmål 2021'!B:R,15,0),VLOOKUP(B69,'Netvolumenmål 2022'!B:R,15,0))</f>
        <v>44743723.364112496</v>
      </c>
      <c r="S69" s="225">
        <f>AVERAGE(VLOOKUP(B69,'Netvolumenmål 2021'!B:R,16,0),VLOOKUP(B69,'Netvolumenmål 2022'!B:R,16,0))</f>
        <v>117518860.51597273</v>
      </c>
      <c r="T69" s="18">
        <f>AVERAGE(VLOOKUP(B69,'Netvolumenmål 2021'!B:R,17,0),VLOOKUP(B69,'Netvolumenmål 2022'!B:R,17,0))</f>
        <v>162262583.88008523</v>
      </c>
      <c r="U69" s="98"/>
      <c r="V69" s="98"/>
      <c r="W69" s="120">
        <v>33.5928682341533</v>
      </c>
      <c r="X69" s="120">
        <v>5.387129469641791E-2</v>
      </c>
      <c r="Y69" s="121">
        <v>45208415.844125584</v>
      </c>
      <c r="Z69" s="121">
        <v>48194290.864775732</v>
      </c>
      <c r="AA69" s="121">
        <v>170073410.77514356</v>
      </c>
      <c r="AB69" s="121">
        <v>121743738.1708989</v>
      </c>
      <c r="AC69" s="121">
        <v>44743723.364112496</v>
      </c>
      <c r="AD69" s="122">
        <v>117518860.51597273</v>
      </c>
      <c r="AE69" s="122">
        <v>162262583.88008523</v>
      </c>
      <c r="AF69" s="226"/>
      <c r="AG69" s="226"/>
      <c r="AH69" s="226"/>
      <c r="AI69" s="203"/>
    </row>
    <row r="70" spans="1:35" x14ac:dyDescent="0.25">
      <c r="A70" s="49" t="s">
        <v>153</v>
      </c>
      <c r="B70" s="202" t="s">
        <v>154</v>
      </c>
      <c r="C70" s="116">
        <f>AVERAGE('Netvolumenmål 2021'!C70,'Netvolumenmål 2022'!C70)</f>
        <v>34.359344694701917</v>
      </c>
      <c r="D70" s="116">
        <f>AVERAGE('Netvolumenmål 2021'!D70,'Netvolumenmål 2022'!D70)</f>
        <v>3.4554660564650744E-2</v>
      </c>
      <c r="E70" s="117">
        <f>AVERAGE('Netvolumenmål 2021'!E70,'Netvolumenmål 2022'!E70)</f>
        <v>12408171.284202762</v>
      </c>
      <c r="F70" s="118">
        <f t="shared" si="2"/>
        <v>12766124.923285743</v>
      </c>
      <c r="G70" s="117">
        <f>VLOOKUP(B70,'Costdrivere gns.'!B:AP,39,0)+VLOOKUP(B70,'Costdrivere gns.'!B:AP,40,0)+VLOOKUP(B70,'Costdrivere gns.'!B:AP,41,0)</f>
        <v>34692732.281891257</v>
      </c>
      <c r="H70" s="118">
        <f t="shared" si="3"/>
        <v>24505559.912444826</v>
      </c>
      <c r="I70" s="88">
        <f>AVERAGE('Netvolumenmål 2021'!G70,'Netvolumenmål 2022'!G70)</f>
        <v>11388014.85785</v>
      </c>
      <c r="J70" s="5">
        <f>AVERAGE('Netvolumenmål 2021'!H70,'Netvolumenmål 2022'!H70)</f>
        <v>18490958.089627899</v>
      </c>
      <c r="K70" s="119">
        <f>AVERAGE('Netvolumenmål 2021'!I70,'Netvolumenmål 2022'!I70)</f>
        <v>1227341.7264</v>
      </c>
      <c r="L70" s="119">
        <f>AVERAGE('Netvolumenmål 2021'!J70,'Netvolumenmål 2022'!J70)</f>
        <v>6316266.3649870958</v>
      </c>
      <c r="M70" s="58">
        <f>AVERAGE(VLOOKUP(B70,'Netvolumenmål 2021'!B:R,10,0),VLOOKUP(B70,'Netvolumenmål 2022'!B:R,10,0))</f>
        <v>26034566.181015</v>
      </c>
      <c r="N70" s="88">
        <f>AVERAGE(VLOOKUP(B70,'Netvolumenmål 2021'!B:R,11,0),VLOOKUP(B70,'Netvolumenmål 2022'!B:R,11,0))</f>
        <v>37422581.038865</v>
      </c>
      <c r="O70" s="88">
        <f>AVERAGE(VLOOKUP(B70,'Netvolumenmål 2021'!B:R,12,0),VLOOKUP(B70,'Netvolumenmål 2022'!B:R,12,0))</f>
        <v>0</v>
      </c>
      <c r="P70" s="98">
        <f>AVERAGE(VLOOKUP(B70,'Netvolumenmål 2021'!B:R,13,0),VLOOKUP(B70,'Netvolumenmål 2022'!B:R,13,0))</f>
        <v>0</v>
      </c>
      <c r="Q70" s="98">
        <f>AVERAGE(VLOOKUP(B70,'Netvolumenmål 2021'!B:R,14,0),VLOOKUP(B70,'Netvolumenmål 2022'!B:R,14,0))</f>
        <v>0</v>
      </c>
      <c r="R70" s="121">
        <f>AVERAGE(VLOOKUP(B70,'Netvolumenmål 2021'!B:R,15,0),VLOOKUP(B70,'Netvolumenmål 2022'!B:R,15,0))</f>
        <v>11388014.85785</v>
      </c>
      <c r="S70" s="225">
        <f>AVERAGE(VLOOKUP(B70,'Netvolumenmål 2021'!B:R,16,0),VLOOKUP(B70,'Netvolumenmål 2022'!B:R,16,0))</f>
        <v>26034566.181015</v>
      </c>
      <c r="T70" s="18">
        <f>AVERAGE(VLOOKUP(B70,'Netvolumenmål 2021'!B:R,17,0),VLOOKUP(B70,'Netvolumenmål 2022'!B:R,17,0))</f>
        <v>37422581.038865</v>
      </c>
      <c r="U70" s="98"/>
      <c r="V70" s="98"/>
      <c r="W70" s="120">
        <v>34.359344694701917</v>
      </c>
      <c r="X70" s="120">
        <v>3.4554660564650744E-2</v>
      </c>
      <c r="Y70" s="121">
        <v>12408171.284202762</v>
      </c>
      <c r="Z70" s="121">
        <v>12766124.923285743</v>
      </c>
      <c r="AA70" s="121">
        <v>34692732.281891257</v>
      </c>
      <c r="AB70" s="121">
        <v>24505559.912444826</v>
      </c>
      <c r="AC70" s="121">
        <v>11388014.85785</v>
      </c>
      <c r="AD70" s="122">
        <v>26034566.181015</v>
      </c>
      <c r="AE70" s="122">
        <v>37422581.038865</v>
      </c>
      <c r="AF70" s="226"/>
      <c r="AG70" s="226"/>
      <c r="AH70" s="226"/>
      <c r="AI70" s="203"/>
    </row>
    <row r="71" spans="1:35" x14ac:dyDescent="0.25">
      <c r="A71" s="49" t="s">
        <v>155</v>
      </c>
      <c r="B71" s="202" t="s">
        <v>156</v>
      </c>
      <c r="C71" s="116">
        <f>AVERAGE('Netvolumenmål 2021'!C71,'Netvolumenmål 2022'!C71)</f>
        <v>31.224789576480063</v>
      </c>
      <c r="D71" s="116">
        <f>AVERAGE('Netvolumenmål 2021'!D71,'Netvolumenmål 2022'!D71)</f>
        <v>1.9967240491462545E-2</v>
      </c>
      <c r="E71" s="117">
        <f>AVERAGE('Netvolumenmål 2021'!E71,'Netvolumenmål 2022'!E71)</f>
        <v>19351965.885373421</v>
      </c>
      <c r="F71" s="118">
        <f t="shared" si="2"/>
        <v>18964619.167383987</v>
      </c>
      <c r="G71" s="117">
        <f>VLOOKUP(B71,'Costdrivere gns.'!B:AP,39,0)+VLOOKUP(B71,'Costdrivere gns.'!B:AP,40,0)+VLOOKUP(B71,'Costdrivere gns.'!B:AP,41,0)</f>
        <v>66364286.890928827</v>
      </c>
      <c r="H71" s="118">
        <f t="shared" si="3"/>
        <v>47723348.044064678</v>
      </c>
      <c r="I71" s="88">
        <f>AVERAGE('Netvolumenmål 2021'!G71,'Netvolumenmål 2022'!G71)</f>
        <v>22961733.660850003</v>
      </c>
      <c r="J71" s="5">
        <f>AVERAGE('Netvolumenmål 2021'!H71,'Netvolumenmål 2022'!H71)</f>
        <v>31575838.115788586</v>
      </c>
      <c r="K71" s="119">
        <f>AVERAGE('Netvolumenmål 2021'!I71,'Netvolumenmål 2022'!I71)</f>
        <v>3357221.81415</v>
      </c>
      <c r="L71" s="119">
        <f>AVERAGE('Netvolumenmål 2021'!J71,'Netvolumenmål 2022'!J71)</f>
        <v>14378895.734780468</v>
      </c>
      <c r="M71" s="58">
        <f>AVERAGE(VLOOKUP(B71,'Netvolumenmål 2021'!B:R,10,0),VLOOKUP(B71,'Netvolumenmål 2022'!B:R,10,0))</f>
        <v>49311955.66471906</v>
      </c>
      <c r="N71" s="88">
        <f>AVERAGE(VLOOKUP(B71,'Netvolumenmål 2021'!B:R,11,0),VLOOKUP(B71,'Netvolumenmål 2022'!B:R,11,0))</f>
        <v>72273689.325569063</v>
      </c>
      <c r="O71" s="88">
        <f>AVERAGE(VLOOKUP(B71,'Netvolumenmål 2021'!B:R,12,0),VLOOKUP(B71,'Netvolumenmål 2022'!B:R,12,0))</f>
        <v>0</v>
      </c>
      <c r="P71" s="98">
        <f>AVERAGE(VLOOKUP(B71,'Netvolumenmål 2021'!B:R,13,0),VLOOKUP(B71,'Netvolumenmål 2022'!B:R,13,0))</f>
        <v>0</v>
      </c>
      <c r="Q71" s="98">
        <f>AVERAGE(VLOOKUP(B71,'Netvolumenmål 2021'!B:R,14,0),VLOOKUP(B71,'Netvolumenmål 2022'!B:R,14,0))</f>
        <v>0</v>
      </c>
      <c r="R71" s="121">
        <f>AVERAGE(VLOOKUP(B71,'Netvolumenmål 2021'!B:R,15,0),VLOOKUP(B71,'Netvolumenmål 2022'!B:R,15,0))</f>
        <v>22961733.660850003</v>
      </c>
      <c r="S71" s="225">
        <f>AVERAGE(VLOOKUP(B71,'Netvolumenmål 2021'!B:R,16,0),VLOOKUP(B71,'Netvolumenmål 2022'!B:R,16,0))</f>
        <v>49311955.66471906</v>
      </c>
      <c r="T71" s="18">
        <f>AVERAGE(VLOOKUP(B71,'Netvolumenmål 2021'!B:R,17,0),VLOOKUP(B71,'Netvolumenmål 2022'!B:R,17,0))</f>
        <v>72273689.325569063</v>
      </c>
      <c r="U71" s="98"/>
      <c r="V71" s="98"/>
      <c r="W71" s="120">
        <v>31.224789576480063</v>
      </c>
      <c r="X71" s="120">
        <v>1.9967240491462545E-2</v>
      </c>
      <c r="Y71" s="121">
        <v>19351965.885373421</v>
      </c>
      <c r="Z71" s="121">
        <v>18964619.167383987</v>
      </c>
      <c r="AA71" s="121">
        <v>64410018.440619648</v>
      </c>
      <c r="AB71" s="121">
        <v>46318010.357261509</v>
      </c>
      <c r="AC71" s="121">
        <v>22961733.660850003</v>
      </c>
      <c r="AD71" s="122">
        <v>49311955.66471906</v>
      </c>
      <c r="AE71" s="122">
        <v>72273689.325569063</v>
      </c>
      <c r="AF71" s="226"/>
      <c r="AG71" s="226"/>
      <c r="AH71" s="226"/>
      <c r="AI71" s="203"/>
    </row>
    <row r="72" spans="1:35" x14ac:dyDescent="0.25">
      <c r="A72" s="49" t="s">
        <v>157</v>
      </c>
      <c r="B72" s="202" t="s">
        <v>158</v>
      </c>
      <c r="C72" s="116">
        <f>AVERAGE('Netvolumenmål 2021'!C72,'Netvolumenmål 2022'!C72)</f>
        <v>33.39765230597439</v>
      </c>
      <c r="D72" s="116">
        <f>AVERAGE('Netvolumenmål 2021'!D72,'Netvolumenmål 2022'!D72)</f>
        <v>3.884912819691233E-2</v>
      </c>
      <c r="E72" s="117">
        <f>AVERAGE('Netvolumenmål 2021'!E72,'Netvolumenmål 2022'!E72)</f>
        <v>52583930.431516752</v>
      </c>
      <c r="F72" s="118">
        <f t="shared" si="2"/>
        <v>54302990.593807556</v>
      </c>
      <c r="G72" s="117">
        <f>VLOOKUP(B72,'Costdrivere gns.'!B:AP,39,0)+VLOOKUP(B72,'Costdrivere gns.'!B:AP,40,0)+VLOOKUP(B72,'Costdrivere gns.'!B:AP,41,0)</f>
        <v>198118710.93784523</v>
      </c>
      <c r="H72" s="118">
        <f t="shared" si="3"/>
        <v>141200558.37350193</v>
      </c>
      <c r="I72" s="88">
        <f>AVERAGE('Netvolumenmål 2021'!G72,'Netvolumenmål 2022'!G72)</f>
        <v>46944589.217131004</v>
      </c>
      <c r="J72" s="5">
        <f>AVERAGE('Netvolumenmål 2021'!H72,'Netvolumenmål 2022'!H72)</f>
        <v>92559707.099142268</v>
      </c>
      <c r="K72" s="119">
        <f>AVERAGE('Netvolumenmål 2021'!I72,'Netvolumenmål 2022'!I72)</f>
        <v>3001360.0826920001</v>
      </c>
      <c r="L72" s="119">
        <f>AVERAGE('Netvolumenmål 2021'!J72,'Netvolumenmål 2022'!J72)</f>
        <v>29860981.832699463</v>
      </c>
      <c r="M72" s="58">
        <f>AVERAGE(VLOOKUP(B72,'Netvolumenmål 2021'!B:R,10,0),VLOOKUP(B72,'Netvolumenmål 2022'!B:R,10,0))</f>
        <v>125422049.01453373</v>
      </c>
      <c r="N72" s="88">
        <f>AVERAGE(VLOOKUP(B72,'Netvolumenmål 2021'!B:R,11,0),VLOOKUP(B72,'Netvolumenmål 2022'!B:R,11,0))</f>
        <v>172366638.23166475</v>
      </c>
      <c r="O72" s="88">
        <f>AVERAGE(VLOOKUP(B72,'Netvolumenmål 2021'!B:R,12,0),VLOOKUP(B72,'Netvolumenmål 2022'!B:R,12,0))</f>
        <v>0</v>
      </c>
      <c r="P72" s="98">
        <f>AVERAGE(VLOOKUP(B72,'Netvolumenmål 2021'!B:R,13,0),VLOOKUP(B72,'Netvolumenmål 2022'!B:R,13,0))</f>
        <v>0</v>
      </c>
      <c r="Q72" s="98">
        <f>AVERAGE(VLOOKUP(B72,'Netvolumenmål 2021'!B:R,14,0),VLOOKUP(B72,'Netvolumenmål 2022'!B:R,14,0))</f>
        <v>0</v>
      </c>
      <c r="R72" s="121">
        <f>AVERAGE(VLOOKUP(B72,'Netvolumenmål 2021'!B:R,15,0),VLOOKUP(B72,'Netvolumenmål 2022'!B:R,15,0))</f>
        <v>46944589.217131004</v>
      </c>
      <c r="S72" s="225">
        <f>AVERAGE(VLOOKUP(B72,'Netvolumenmål 2021'!B:R,16,0),VLOOKUP(B72,'Netvolumenmål 2022'!B:R,16,0))</f>
        <v>125422049.01453373</v>
      </c>
      <c r="T72" s="18">
        <f>AVERAGE(VLOOKUP(B72,'Netvolumenmål 2021'!B:R,17,0),VLOOKUP(B72,'Netvolumenmål 2022'!B:R,17,0))</f>
        <v>172366638.23166475</v>
      </c>
      <c r="U72" s="98"/>
      <c r="V72" s="98"/>
      <c r="W72" s="120">
        <v>33.39765230597439</v>
      </c>
      <c r="X72" s="120">
        <v>3.884912819691233E-2</v>
      </c>
      <c r="Y72" s="121">
        <v>52583930.431516752</v>
      </c>
      <c r="Z72" s="121">
        <v>54302990.593807556</v>
      </c>
      <c r="AA72" s="121">
        <v>198118710.93784523</v>
      </c>
      <c r="AB72" s="121">
        <v>141200558.37350193</v>
      </c>
      <c r="AC72" s="121">
        <v>46944589.217131004</v>
      </c>
      <c r="AD72" s="122">
        <v>125422049.01453373</v>
      </c>
      <c r="AE72" s="122">
        <v>172366638.23166475</v>
      </c>
      <c r="AF72" s="226"/>
      <c r="AG72" s="226"/>
      <c r="AH72" s="226"/>
      <c r="AI72" s="203"/>
    </row>
    <row r="73" spans="1:35" x14ac:dyDescent="0.25">
      <c r="A73" s="49" t="s">
        <v>159</v>
      </c>
      <c r="B73" s="202" t="s">
        <v>160</v>
      </c>
      <c r="C73" s="116">
        <f>AVERAGE('Netvolumenmål 2021'!C73,'Netvolumenmål 2022'!C73)</f>
        <v>35.402464682187521</v>
      </c>
      <c r="D73" s="116">
        <f>AVERAGE('Netvolumenmål 2021'!D73,'Netvolumenmål 2022'!D73)</f>
        <v>2.5081575738787727E-2</v>
      </c>
      <c r="E73" s="117">
        <f>AVERAGE('Netvolumenmål 2021'!E73,'Netvolumenmål 2022'!E73)</f>
        <v>12814112.939950626</v>
      </c>
      <c r="F73" s="118">
        <f t="shared" si="2"/>
        <v>12997842.814393885</v>
      </c>
      <c r="G73" s="117">
        <f>VLOOKUP(B73,'Costdrivere gns.'!B:AP,39,0)+VLOOKUP(B73,'Costdrivere gns.'!B:AP,40,0)+VLOOKUP(B73,'Costdrivere gns.'!B:AP,41,0)</f>
        <v>64835406.268047377</v>
      </c>
      <c r="H73" s="118">
        <f t="shared" si="3"/>
        <v>45264142.499152213</v>
      </c>
      <c r="I73" s="88">
        <f>AVERAGE('Netvolumenmål 2021'!G73,'Netvolumenmål 2022'!G73)</f>
        <v>13702933.539431002</v>
      </c>
      <c r="J73" s="5">
        <f>AVERAGE('Netvolumenmål 2021'!H73,'Netvolumenmål 2022'!H73)</f>
        <v>36245928.077602208</v>
      </c>
      <c r="K73" s="119">
        <f>AVERAGE('Netvolumenmål 2021'!I73,'Netvolumenmål 2022'!I73)</f>
        <v>1162661.55</v>
      </c>
      <c r="L73" s="119">
        <f>AVERAGE('Netvolumenmål 2021'!J73,'Netvolumenmål 2022'!J73)</f>
        <v>7682502.2125367383</v>
      </c>
      <c r="M73" s="58">
        <f>AVERAGE(VLOOKUP(B73,'Netvolumenmål 2021'!B:R,10,0),VLOOKUP(B73,'Netvolumenmål 2022'!B:R,10,0))</f>
        <v>45091091.840138942</v>
      </c>
      <c r="N73" s="88">
        <f>AVERAGE(VLOOKUP(B73,'Netvolumenmål 2021'!B:R,11,0),VLOOKUP(B73,'Netvolumenmål 2022'!B:R,11,0))</f>
        <v>58794025.379569948</v>
      </c>
      <c r="O73" s="88">
        <f>AVERAGE(VLOOKUP(B73,'Netvolumenmål 2021'!B:R,12,0),VLOOKUP(B73,'Netvolumenmål 2022'!B:R,12,0))</f>
        <v>0</v>
      </c>
      <c r="P73" s="98">
        <f>AVERAGE(VLOOKUP(B73,'Netvolumenmål 2021'!B:R,13,0),VLOOKUP(B73,'Netvolumenmål 2022'!B:R,13,0))</f>
        <v>0</v>
      </c>
      <c r="Q73" s="98">
        <f>AVERAGE(VLOOKUP(B73,'Netvolumenmål 2021'!B:R,14,0),VLOOKUP(B73,'Netvolumenmål 2022'!B:R,14,0))</f>
        <v>0</v>
      </c>
      <c r="R73" s="121">
        <f>AVERAGE(VLOOKUP(B73,'Netvolumenmål 2021'!B:R,15,0),VLOOKUP(B73,'Netvolumenmål 2022'!B:R,15,0))</f>
        <v>13702933.539431002</v>
      </c>
      <c r="S73" s="225">
        <f>AVERAGE(VLOOKUP(B73,'Netvolumenmål 2021'!B:R,16,0),VLOOKUP(B73,'Netvolumenmål 2022'!B:R,16,0))</f>
        <v>45091091.840138942</v>
      </c>
      <c r="T73" s="18">
        <f>AVERAGE(VLOOKUP(B73,'Netvolumenmål 2021'!B:R,17,0),VLOOKUP(B73,'Netvolumenmål 2022'!B:R,17,0))</f>
        <v>58794025.379569948</v>
      </c>
      <c r="U73" s="98"/>
      <c r="V73" s="98"/>
      <c r="W73" s="120">
        <v>35.402464682187521</v>
      </c>
      <c r="X73" s="120">
        <v>2.5081575738787727E-2</v>
      </c>
      <c r="Y73" s="121">
        <v>12814112.939950626</v>
      </c>
      <c r="Z73" s="121">
        <v>12997842.814393885</v>
      </c>
      <c r="AA73" s="121">
        <v>64835406.268047377</v>
      </c>
      <c r="AB73" s="121">
        <v>45264142.499152213</v>
      </c>
      <c r="AC73" s="121">
        <v>13702933.539431002</v>
      </c>
      <c r="AD73" s="122">
        <v>45091091.840138942</v>
      </c>
      <c r="AE73" s="122">
        <v>58794025.379569948</v>
      </c>
      <c r="AF73" s="226"/>
      <c r="AG73" s="226"/>
      <c r="AH73" s="226"/>
      <c r="AI73" s="203"/>
    </row>
    <row r="74" spans="1:35" x14ac:dyDescent="0.25">
      <c r="A74" s="49" t="s">
        <v>161</v>
      </c>
      <c r="B74" s="202" t="s">
        <v>162</v>
      </c>
      <c r="C74" s="116">
        <f>AVERAGE('Netvolumenmål 2021'!C74,'Netvolumenmål 2022'!C74)</f>
        <v>34.03605766947728</v>
      </c>
      <c r="D74" s="116">
        <f>AVERAGE('Netvolumenmål 2021'!D74,'Netvolumenmål 2022'!D74)</f>
        <v>2.6176270348661598E-2</v>
      </c>
      <c r="E74" s="117">
        <f>AVERAGE('Netvolumenmål 2021'!E74,'Netvolumenmål 2022'!E74)</f>
        <v>16739410.23016756</v>
      </c>
      <c r="F74" s="118">
        <f t="shared" si="2"/>
        <v>16890826.271307774</v>
      </c>
      <c r="G74" s="117">
        <f>VLOOKUP(B74,'Costdrivere gns.'!B:AP,39,0)+VLOOKUP(B74,'Costdrivere gns.'!B:AP,40,0)+VLOOKUP(B74,'Costdrivere gns.'!B:AP,41,0)</f>
        <v>100762273.13333331</v>
      </c>
      <c r="H74" s="118">
        <f t="shared" si="3"/>
        <v>71114695.314358518</v>
      </c>
      <c r="I74" s="88">
        <f>AVERAGE('Netvolumenmål 2021'!G74,'Netvolumenmål 2022'!G74)</f>
        <v>15737618.277249999</v>
      </c>
      <c r="J74" s="5">
        <f>AVERAGE('Netvolumenmål 2021'!H74,'Netvolumenmål 2022'!H74)</f>
        <v>54637458.527507566</v>
      </c>
      <c r="K74" s="119">
        <f>AVERAGE('Netvolumenmål 2021'!I74,'Netvolumenmål 2022'!I74)</f>
        <v>1234429.21875</v>
      </c>
      <c r="L74" s="119">
        <f>AVERAGE('Netvolumenmål 2021'!J74,'Netvolumenmål 2022'!J74)</f>
        <v>13813749.681867693</v>
      </c>
      <c r="M74" s="58">
        <f>AVERAGE(VLOOKUP(B74,'Netvolumenmål 2021'!B:R,10,0),VLOOKUP(B74,'Netvolumenmål 2022'!B:R,10,0))</f>
        <v>69685637.428125262</v>
      </c>
      <c r="N74" s="88">
        <f>AVERAGE(VLOOKUP(B74,'Netvolumenmål 2021'!B:R,11,0),VLOOKUP(B74,'Netvolumenmål 2022'!B:R,11,0))</f>
        <v>85423255.705375254</v>
      </c>
      <c r="O74" s="88">
        <f>AVERAGE(VLOOKUP(B74,'Netvolumenmål 2021'!B:R,12,0),VLOOKUP(B74,'Netvolumenmål 2022'!B:R,12,0))</f>
        <v>0</v>
      </c>
      <c r="P74" s="98">
        <f>AVERAGE(VLOOKUP(B74,'Netvolumenmål 2021'!B:R,13,0),VLOOKUP(B74,'Netvolumenmål 2022'!B:R,13,0))</f>
        <v>0</v>
      </c>
      <c r="Q74" s="98">
        <f>AVERAGE(VLOOKUP(B74,'Netvolumenmål 2021'!B:R,14,0),VLOOKUP(B74,'Netvolumenmål 2022'!B:R,14,0))</f>
        <v>0</v>
      </c>
      <c r="R74" s="121">
        <f>AVERAGE(VLOOKUP(B74,'Netvolumenmål 2021'!B:R,15,0),VLOOKUP(B74,'Netvolumenmål 2022'!B:R,15,0))</f>
        <v>15737618.277249999</v>
      </c>
      <c r="S74" s="225">
        <f>AVERAGE(VLOOKUP(B74,'Netvolumenmål 2021'!B:R,16,0),VLOOKUP(B74,'Netvolumenmål 2022'!B:R,16,0))</f>
        <v>69685637.428125262</v>
      </c>
      <c r="T74" s="18">
        <f>AVERAGE(VLOOKUP(B74,'Netvolumenmål 2021'!B:R,17,0),VLOOKUP(B74,'Netvolumenmål 2022'!B:R,17,0))</f>
        <v>85423255.705375254</v>
      </c>
      <c r="U74" s="98"/>
      <c r="V74" s="98"/>
      <c r="W74" s="120">
        <v>34.03605766947728</v>
      </c>
      <c r="X74" s="120">
        <v>2.6176270348661598E-2</v>
      </c>
      <c r="Y74" s="121">
        <v>16739410.23016756</v>
      </c>
      <c r="Z74" s="121">
        <v>16890826.271307774</v>
      </c>
      <c r="AA74" s="121">
        <v>100762273.13333331</v>
      </c>
      <c r="AB74" s="121">
        <v>71114695.314358518</v>
      </c>
      <c r="AC74" s="121">
        <v>15737618.277249999</v>
      </c>
      <c r="AD74" s="122">
        <v>69685637.428125262</v>
      </c>
      <c r="AE74" s="122">
        <v>85423255.705375254</v>
      </c>
      <c r="AF74" s="226"/>
      <c r="AG74" s="226"/>
      <c r="AH74" s="226"/>
      <c r="AI74" s="203"/>
    </row>
    <row r="75" spans="1:35" x14ac:dyDescent="0.25">
      <c r="A75" s="49" t="s">
        <v>163</v>
      </c>
      <c r="B75" s="202" t="s">
        <v>164</v>
      </c>
      <c r="C75" s="116">
        <f>AVERAGE('Netvolumenmål 2021'!C75,'Netvolumenmål 2022'!C75)</f>
        <v>30.428026963043685</v>
      </c>
      <c r="D75" s="116">
        <f>AVERAGE('Netvolumenmål 2021'!D75,'Netvolumenmål 2022'!D75)</f>
        <v>0</v>
      </c>
      <c r="E75" s="117">
        <f>AVERAGE('Netvolumenmål 2021'!E75,'Netvolumenmål 2022'!E75)</f>
        <v>15201116.125072617</v>
      </c>
      <c r="F75" s="118">
        <f t="shared" si="2"/>
        <v>14177220.365698637</v>
      </c>
      <c r="G75" s="117">
        <f>VLOOKUP(B75,'Costdrivere gns.'!B:AP,39,0)+VLOOKUP(B75,'Costdrivere gns.'!B:AP,40,0)+VLOOKUP(B75,'Costdrivere gns.'!B:AP,41,0)</f>
        <v>12720440.84552216</v>
      </c>
      <c r="H75" s="118">
        <f t="shared" si="3"/>
        <v>9131238.4005318992</v>
      </c>
      <c r="I75" s="88">
        <f>AVERAGE('Netvolumenmål 2021'!G75,'Netvolumenmål 2022'!G75)</f>
        <v>13085387.621200001</v>
      </c>
      <c r="J75" s="5">
        <f>AVERAGE('Netvolumenmål 2021'!H75,'Netvolumenmål 2022'!H75)</f>
        <v>2687179.7880954971</v>
      </c>
      <c r="K75" s="119">
        <f>AVERAGE('Netvolumenmål 2021'!I75,'Netvolumenmål 2022'!I75)</f>
        <v>63740.461250000008</v>
      </c>
      <c r="L75" s="119">
        <f>AVERAGE('Netvolumenmål 2021'!J75,'Netvolumenmål 2022'!J75)</f>
        <v>2461345.22147753</v>
      </c>
      <c r="M75" s="58">
        <f>AVERAGE(VLOOKUP(B75,'Netvolumenmål 2021'!B:R,10,0),VLOOKUP(B75,'Netvolumenmål 2022'!B:R,10,0))</f>
        <v>5212265.4708230263</v>
      </c>
      <c r="N75" s="88">
        <f>AVERAGE(VLOOKUP(B75,'Netvolumenmål 2021'!B:R,11,0),VLOOKUP(B75,'Netvolumenmål 2022'!B:R,11,0))</f>
        <v>18297653.092023026</v>
      </c>
      <c r="O75" s="88">
        <f>AVERAGE(VLOOKUP(B75,'Netvolumenmål 2021'!B:R,12,0),VLOOKUP(B75,'Netvolumenmål 2022'!B:R,12,0))</f>
        <v>0</v>
      </c>
      <c r="P75" s="98">
        <f>AVERAGE(VLOOKUP(B75,'Netvolumenmål 2021'!B:R,13,0),VLOOKUP(B75,'Netvolumenmål 2022'!B:R,13,0))</f>
        <v>1525918.7571080001</v>
      </c>
      <c r="Q75" s="98">
        <f>AVERAGE(VLOOKUP(B75,'Netvolumenmål 2021'!B:R,14,0),VLOOKUP(B75,'Netvolumenmål 2022'!B:R,14,0))</f>
        <v>0</v>
      </c>
      <c r="R75" s="121">
        <f>AVERAGE(VLOOKUP(B75,'Netvolumenmål 2021'!B:R,15,0),VLOOKUP(B75,'Netvolumenmål 2022'!B:R,15,0))</f>
        <v>11559468.864092</v>
      </c>
      <c r="S75" s="225">
        <f>AVERAGE(VLOOKUP(B75,'Netvolumenmål 2021'!B:R,16,0),VLOOKUP(B75,'Netvolumenmål 2022'!B:R,16,0))</f>
        <v>5212265.4708230263</v>
      </c>
      <c r="T75" s="18">
        <f>AVERAGE(VLOOKUP(B75,'Netvolumenmål 2021'!B:R,17,0),VLOOKUP(B75,'Netvolumenmål 2022'!B:R,17,0))</f>
        <v>16771734.334915027</v>
      </c>
      <c r="U75" s="98"/>
      <c r="V75" s="98"/>
      <c r="W75" s="120">
        <v>30.428026963043685</v>
      </c>
      <c r="X75" s="120">
        <v>0</v>
      </c>
      <c r="Y75" s="121">
        <v>15201116.125072617</v>
      </c>
      <c r="Z75" s="121">
        <v>14177220.365698637</v>
      </c>
      <c r="AA75" s="121">
        <v>12591128.430180669</v>
      </c>
      <c r="AB75" s="121">
        <v>9038412.8053366356</v>
      </c>
      <c r="AC75" s="121">
        <v>11559468.864092</v>
      </c>
      <c r="AD75" s="122">
        <v>5212265.4708230263</v>
      </c>
      <c r="AE75" s="122">
        <v>16771734.334915027</v>
      </c>
      <c r="AF75" s="226"/>
      <c r="AG75" s="226"/>
      <c r="AH75" s="226"/>
      <c r="AI75" s="203"/>
    </row>
    <row r="76" spans="1:35" x14ac:dyDescent="0.25">
      <c r="A76" s="49" t="s">
        <v>165</v>
      </c>
      <c r="B76" s="202" t="s">
        <v>166</v>
      </c>
      <c r="C76" s="116">
        <f>AVERAGE('Netvolumenmål 2021'!C76,'Netvolumenmål 2022'!C76)</f>
        <v>30.267384484062276</v>
      </c>
      <c r="D76" s="116">
        <f>AVERAGE('Netvolumenmål 2021'!D76,'Netvolumenmål 2022'!D76)</f>
        <v>2.2961686659571989E-2</v>
      </c>
      <c r="E76" s="117">
        <f>AVERAGE('Netvolumenmål 2021'!E76,'Netvolumenmål 2022'!E76)</f>
        <v>18168679.760736857</v>
      </c>
      <c r="F76" s="118">
        <f t="shared" si="2"/>
        <v>17824557.030763295</v>
      </c>
      <c r="G76" s="117">
        <f>VLOOKUP(B76,'Costdrivere gns.'!B:AP,39,0)+VLOOKUP(B76,'Costdrivere gns.'!B:AP,40,0)+VLOOKUP(B76,'Costdrivere gns.'!B:AP,41,0)</f>
        <v>68745487.672855273</v>
      </c>
      <c r="H76" s="118">
        <f t="shared" si="3"/>
        <v>49845622.282405071</v>
      </c>
      <c r="I76" s="88">
        <f>AVERAGE('Netvolumenmål 2021'!G76,'Netvolumenmål 2022'!G76)</f>
        <v>22398049.58475</v>
      </c>
      <c r="J76" s="5">
        <f>AVERAGE('Netvolumenmål 2021'!H76,'Netvolumenmål 2022'!H76)</f>
        <v>29459916.20890481</v>
      </c>
      <c r="K76" s="119">
        <f>AVERAGE('Netvolumenmål 2021'!I76,'Netvolumenmål 2022'!I76)</f>
        <v>4257014.7448500004</v>
      </c>
      <c r="L76" s="119">
        <f>AVERAGE('Netvolumenmål 2021'!J76,'Netvolumenmål 2022'!J76)</f>
        <v>14565870.072874194</v>
      </c>
      <c r="M76" s="58">
        <f>AVERAGE(VLOOKUP(B76,'Netvolumenmål 2021'!B:R,10,0),VLOOKUP(B76,'Netvolumenmål 2022'!B:R,10,0))</f>
        <v>48282801.026629001</v>
      </c>
      <c r="N76" s="88">
        <f>AVERAGE(VLOOKUP(B76,'Netvolumenmål 2021'!B:R,11,0),VLOOKUP(B76,'Netvolumenmål 2022'!B:R,11,0))</f>
        <v>70680850.611378998</v>
      </c>
      <c r="O76" s="88">
        <f>AVERAGE(VLOOKUP(B76,'Netvolumenmål 2021'!B:R,12,0),VLOOKUP(B76,'Netvolumenmål 2022'!B:R,12,0))</f>
        <v>0</v>
      </c>
      <c r="P76" s="98">
        <f>AVERAGE(VLOOKUP(B76,'Netvolumenmål 2021'!B:R,13,0),VLOOKUP(B76,'Netvolumenmål 2022'!B:R,13,0))</f>
        <v>0</v>
      </c>
      <c r="Q76" s="98">
        <f>AVERAGE(VLOOKUP(B76,'Netvolumenmål 2021'!B:R,14,0),VLOOKUP(B76,'Netvolumenmål 2022'!B:R,14,0))</f>
        <v>0</v>
      </c>
      <c r="R76" s="121">
        <f>AVERAGE(VLOOKUP(B76,'Netvolumenmål 2021'!B:R,15,0),VLOOKUP(B76,'Netvolumenmål 2022'!B:R,15,0))</f>
        <v>22398049.58475</v>
      </c>
      <c r="S76" s="225">
        <f>AVERAGE(VLOOKUP(B76,'Netvolumenmål 2021'!B:R,16,0),VLOOKUP(B76,'Netvolumenmål 2022'!B:R,16,0))</f>
        <v>48282801.026629001</v>
      </c>
      <c r="T76" s="18">
        <f>AVERAGE(VLOOKUP(B76,'Netvolumenmål 2021'!B:R,17,0),VLOOKUP(B76,'Netvolumenmål 2022'!B:R,17,0))</f>
        <v>70680850.611378998</v>
      </c>
      <c r="U76" s="98"/>
      <c r="V76" s="98"/>
      <c r="W76" s="120">
        <v>30.267384484062276</v>
      </c>
      <c r="X76" s="120">
        <v>2.2961686659571989E-2</v>
      </c>
      <c r="Y76" s="121">
        <v>18168679.760736857</v>
      </c>
      <c r="Z76" s="121">
        <v>17824557.030763295</v>
      </c>
      <c r="AA76" s="121">
        <v>66821186.915632002</v>
      </c>
      <c r="AB76" s="121">
        <v>48450360.252135538</v>
      </c>
      <c r="AC76" s="121">
        <v>22398049.58475</v>
      </c>
      <c r="AD76" s="122">
        <v>48282801.026629001</v>
      </c>
      <c r="AE76" s="122">
        <v>70680850.611378998</v>
      </c>
      <c r="AF76" s="226"/>
      <c r="AG76" s="226"/>
      <c r="AH76" s="226"/>
      <c r="AI76" s="203"/>
    </row>
    <row r="77" spans="1:35" x14ac:dyDescent="0.25">
      <c r="A77" s="49" t="s">
        <v>167</v>
      </c>
      <c r="B77" s="202" t="s">
        <v>168</v>
      </c>
      <c r="C77" s="116">
        <f>AVERAGE('Netvolumenmål 2021'!C77,'Netvolumenmål 2022'!C77)</f>
        <v>36.146339015660885</v>
      </c>
      <c r="D77" s="116">
        <f>AVERAGE('Netvolumenmål 2021'!D77,'Netvolumenmål 2022'!D77)</f>
        <v>4.7167099084331206E-2</v>
      </c>
      <c r="E77" s="117">
        <f>AVERAGE('Netvolumenmål 2021'!E77,'Netvolumenmål 2022'!E77)</f>
        <v>41577708.217970252</v>
      </c>
      <c r="F77" s="118">
        <f t="shared" si="2"/>
        <v>44319026.272231787</v>
      </c>
      <c r="G77" s="117">
        <f>VLOOKUP(B77,'Costdrivere gns.'!B:AP,39,0)+VLOOKUP(B77,'Costdrivere gns.'!B:AP,40,0)+VLOOKUP(B77,'Costdrivere gns.'!B:AP,41,0)</f>
        <v>124669547.23134571</v>
      </c>
      <c r="H77" s="118">
        <f t="shared" si="3"/>
        <v>87303949.510178849</v>
      </c>
      <c r="I77" s="88">
        <f>AVERAGE('Netvolumenmål 2021'!G77,'Netvolumenmål 2022'!G77)</f>
        <v>71266304.438600004</v>
      </c>
      <c r="J77" s="5">
        <f>AVERAGE('Netvolumenmål 2021'!H77,'Netvolumenmål 2022'!H77)</f>
        <v>64824601.314151198</v>
      </c>
      <c r="K77" s="119">
        <f>AVERAGE('Netvolumenmål 2021'!I77,'Netvolumenmål 2022'!I77)</f>
        <v>3704262.1143000005</v>
      </c>
      <c r="L77" s="119">
        <f>AVERAGE('Netvolumenmål 2021'!J77,'Netvolumenmål 2022'!J77)</f>
        <v>18517205.898655683</v>
      </c>
      <c r="M77" s="58">
        <f>AVERAGE(VLOOKUP(B77,'Netvolumenmål 2021'!B:R,10,0),VLOOKUP(B77,'Netvolumenmål 2022'!B:R,10,0))</f>
        <v>87046069.327106878</v>
      </c>
      <c r="N77" s="88">
        <f>AVERAGE(VLOOKUP(B77,'Netvolumenmål 2021'!B:R,11,0),VLOOKUP(B77,'Netvolumenmål 2022'!B:R,11,0))</f>
        <v>158312373.7657069</v>
      </c>
      <c r="O77" s="88">
        <f>AVERAGE(VLOOKUP(B77,'Netvolumenmål 2021'!B:R,12,0),VLOOKUP(B77,'Netvolumenmål 2022'!B:R,12,0))</f>
        <v>0</v>
      </c>
      <c r="P77" s="98">
        <f>AVERAGE(VLOOKUP(B77,'Netvolumenmål 2021'!B:R,13,0),VLOOKUP(B77,'Netvolumenmål 2022'!B:R,13,0))</f>
        <v>0</v>
      </c>
      <c r="Q77" s="98">
        <f>AVERAGE(VLOOKUP(B77,'Netvolumenmål 2021'!B:R,14,0),VLOOKUP(B77,'Netvolumenmål 2022'!B:R,14,0))</f>
        <v>0</v>
      </c>
      <c r="R77" s="121">
        <f>AVERAGE(VLOOKUP(B77,'Netvolumenmål 2021'!B:R,15,0),VLOOKUP(B77,'Netvolumenmål 2022'!B:R,15,0))</f>
        <v>71266304.438600004</v>
      </c>
      <c r="S77" s="225">
        <f>AVERAGE(VLOOKUP(B77,'Netvolumenmål 2021'!B:R,16,0),VLOOKUP(B77,'Netvolumenmål 2022'!B:R,16,0))</f>
        <v>87046069.327106878</v>
      </c>
      <c r="T77" s="18">
        <f>AVERAGE(VLOOKUP(B77,'Netvolumenmål 2021'!B:R,17,0),VLOOKUP(B77,'Netvolumenmål 2022'!B:R,17,0))</f>
        <v>158312373.7657069</v>
      </c>
      <c r="U77" s="98"/>
      <c r="V77" s="98"/>
      <c r="W77" s="120">
        <v>36.146339015660885</v>
      </c>
      <c r="X77" s="120">
        <v>4.7167099084331206E-2</v>
      </c>
      <c r="Y77" s="121">
        <v>41577708.217970252</v>
      </c>
      <c r="Z77" s="121">
        <v>44319026.272231787</v>
      </c>
      <c r="AA77" s="121">
        <v>121600160.70940003</v>
      </c>
      <c r="AB77" s="121">
        <v>85154510.678561807</v>
      </c>
      <c r="AC77" s="121">
        <v>71266304.438600004</v>
      </c>
      <c r="AD77" s="122">
        <v>87046069.327106878</v>
      </c>
      <c r="AE77" s="122">
        <v>158312373.7657069</v>
      </c>
      <c r="AF77" s="226"/>
      <c r="AG77" s="226"/>
      <c r="AH77" s="226"/>
      <c r="AI77" s="203"/>
    </row>
    <row r="78" spans="1:35" x14ac:dyDescent="0.25">
      <c r="A78" s="49" t="s">
        <v>169</v>
      </c>
      <c r="B78" s="202" t="s">
        <v>170</v>
      </c>
      <c r="C78" s="116">
        <f>AVERAGE('Netvolumenmål 2021'!C78,'Netvolumenmål 2022'!C78)</f>
        <v>43.312835213114688</v>
      </c>
      <c r="D78" s="116">
        <f>AVERAGE('Netvolumenmål 2021'!D78,'Netvolumenmål 2022'!D78)</f>
        <v>6.6372601592825972E-2</v>
      </c>
      <c r="E78" s="117">
        <f>AVERAGE('Netvolumenmål 2021'!E78,'Netvolumenmål 2022'!E78)</f>
        <v>19472676.423187457</v>
      </c>
      <c r="F78" s="118">
        <f t="shared" si="2"/>
        <v>22340406.509573728</v>
      </c>
      <c r="G78" s="117">
        <f>VLOOKUP(B78,'Costdrivere gns.'!B:AP,39,0)+VLOOKUP(B78,'Costdrivere gns.'!B:AP,40,0)+VLOOKUP(B78,'Costdrivere gns.'!B:AP,41,0)</f>
        <v>69084025.747262642</v>
      </c>
      <c r="H78" s="118">
        <f t="shared" si="3"/>
        <v>46092984.45430354</v>
      </c>
      <c r="I78" s="88">
        <f>AVERAGE('Netvolumenmål 2021'!G78,'Netvolumenmål 2022'!G78)</f>
        <v>21188937.395950001</v>
      </c>
      <c r="J78" s="5">
        <f>AVERAGE('Netvolumenmål 2021'!H78,'Netvolumenmål 2022'!H78)</f>
        <v>29189319.2638308</v>
      </c>
      <c r="K78" s="119">
        <f>AVERAGE('Netvolumenmål 2021'!I78,'Netvolumenmål 2022'!I78)</f>
        <v>1716645</v>
      </c>
      <c r="L78" s="119">
        <f>AVERAGE('Netvolumenmål 2021'!J78,'Netvolumenmål 2022'!J78)</f>
        <v>11180684.905368902</v>
      </c>
      <c r="M78" s="58">
        <f>AVERAGE(VLOOKUP(B78,'Netvolumenmål 2021'!B:R,10,0),VLOOKUP(B78,'Netvolumenmål 2022'!B:R,10,0))</f>
        <v>42086649.169199705</v>
      </c>
      <c r="N78" s="88">
        <f>AVERAGE(VLOOKUP(B78,'Netvolumenmål 2021'!B:R,11,0),VLOOKUP(B78,'Netvolumenmål 2022'!B:R,11,0))</f>
        <v>63275586.565149702</v>
      </c>
      <c r="O78" s="88">
        <f>AVERAGE(VLOOKUP(B78,'Netvolumenmål 2021'!B:R,12,0),VLOOKUP(B78,'Netvolumenmål 2022'!B:R,12,0))</f>
        <v>0</v>
      </c>
      <c r="P78" s="98">
        <f>AVERAGE(VLOOKUP(B78,'Netvolumenmål 2021'!B:R,13,0),VLOOKUP(B78,'Netvolumenmål 2022'!B:R,13,0))</f>
        <v>707277.5</v>
      </c>
      <c r="Q78" s="98">
        <f>AVERAGE(VLOOKUP(B78,'Netvolumenmål 2021'!B:R,14,0),VLOOKUP(B78,'Netvolumenmål 2022'!B:R,14,0))</f>
        <v>0</v>
      </c>
      <c r="R78" s="121">
        <f>AVERAGE(VLOOKUP(B78,'Netvolumenmål 2021'!B:R,15,0),VLOOKUP(B78,'Netvolumenmål 2022'!B:R,15,0))</f>
        <v>20481659.895950001</v>
      </c>
      <c r="S78" s="225">
        <f>AVERAGE(VLOOKUP(B78,'Netvolumenmål 2021'!B:R,16,0),VLOOKUP(B78,'Netvolumenmål 2022'!B:R,16,0))</f>
        <v>42086649.169199705</v>
      </c>
      <c r="T78" s="18">
        <f>AVERAGE(VLOOKUP(B78,'Netvolumenmål 2021'!B:R,17,0),VLOOKUP(B78,'Netvolumenmål 2022'!B:R,17,0))</f>
        <v>62568309.065149702</v>
      </c>
      <c r="U78" s="98"/>
      <c r="V78" s="98"/>
      <c r="W78" s="120">
        <v>43.312835213114688</v>
      </c>
      <c r="X78" s="120">
        <v>6.6372601592825972E-2</v>
      </c>
      <c r="Y78" s="121">
        <v>19472676.423187457</v>
      </c>
      <c r="Z78" s="121">
        <v>22340406.509573728</v>
      </c>
      <c r="AA78" s="121">
        <v>67257974.350913838</v>
      </c>
      <c r="AB78" s="121">
        <v>44874639.725341365</v>
      </c>
      <c r="AC78" s="121">
        <v>20481659.895950001</v>
      </c>
      <c r="AD78" s="122">
        <v>42086649.169199705</v>
      </c>
      <c r="AE78" s="122">
        <v>62568309.065149702</v>
      </c>
      <c r="AF78" s="226"/>
      <c r="AG78" s="226"/>
      <c r="AH78" s="226"/>
      <c r="AI78" s="203"/>
    </row>
    <row r="79" spans="1:35" x14ac:dyDescent="0.25">
      <c r="A79" s="49" t="s">
        <v>171</v>
      </c>
      <c r="B79" s="202" t="s">
        <v>172</v>
      </c>
      <c r="C79" s="116">
        <f>AVERAGE('Netvolumenmål 2021'!C79,'Netvolumenmål 2022'!C79)</f>
        <v>34.222878229381578</v>
      </c>
      <c r="D79" s="116">
        <f>AVERAGE('Netvolumenmål 2021'!D79,'Netvolumenmål 2022'!D79)</f>
        <v>5.5762800074991813E-2</v>
      </c>
      <c r="E79" s="117">
        <f>AVERAGE('Netvolumenmål 2021'!E79,'Netvolumenmål 2022'!E79)</f>
        <v>45197279.417744547</v>
      </c>
      <c r="F79" s="118">
        <f t="shared" si="2"/>
        <v>48525315.395061605</v>
      </c>
      <c r="G79" s="117">
        <f>VLOOKUP(B79,'Costdrivere gns.'!B:AP,39,0)+VLOOKUP(B79,'Costdrivere gns.'!B:AP,40,0)+VLOOKUP(B79,'Costdrivere gns.'!B:AP,41,0)</f>
        <v>185457769.62411243</v>
      </c>
      <c r="H79" s="118">
        <f t="shared" si="3"/>
        <v>132227446.10338986</v>
      </c>
      <c r="I79" s="88">
        <f>AVERAGE('Netvolumenmål 2021'!G79,'Netvolumenmål 2022'!G79)</f>
        <v>55395395.299999997</v>
      </c>
      <c r="J79" s="5">
        <f>AVERAGE('Netvolumenmål 2021'!H79,'Netvolumenmål 2022'!H79)</f>
        <v>87868021.326385468</v>
      </c>
      <c r="K79" s="119">
        <f>AVERAGE('Netvolumenmål 2021'!I79,'Netvolumenmål 2022'!I79)</f>
        <v>8929.6</v>
      </c>
      <c r="L79" s="119">
        <f>AVERAGE('Netvolumenmål 2021'!J79,'Netvolumenmål 2022'!J79)</f>
        <v>19189251.060857765</v>
      </c>
      <c r="M79" s="58">
        <f>AVERAGE(VLOOKUP(B79,'Netvolumenmål 2021'!B:R,10,0),VLOOKUP(B79,'Netvolumenmål 2022'!B:R,10,0))</f>
        <v>107066201.98724324</v>
      </c>
      <c r="N79" s="88">
        <f>AVERAGE(VLOOKUP(B79,'Netvolumenmål 2021'!B:R,11,0),VLOOKUP(B79,'Netvolumenmål 2022'!B:R,11,0))</f>
        <v>162461597.28724325</v>
      </c>
      <c r="O79" s="88">
        <f>AVERAGE(VLOOKUP(B79,'Netvolumenmål 2021'!B:R,12,0),VLOOKUP(B79,'Netvolumenmål 2022'!B:R,12,0))</f>
        <v>0</v>
      </c>
      <c r="P79" s="98">
        <f>AVERAGE(VLOOKUP(B79,'Netvolumenmål 2021'!B:R,13,0),VLOOKUP(B79,'Netvolumenmål 2022'!B:R,13,0))</f>
        <v>0</v>
      </c>
      <c r="Q79" s="98">
        <f>AVERAGE(VLOOKUP(B79,'Netvolumenmål 2021'!B:R,14,0),VLOOKUP(B79,'Netvolumenmål 2022'!B:R,14,0))</f>
        <v>0</v>
      </c>
      <c r="R79" s="121">
        <f>AVERAGE(VLOOKUP(B79,'Netvolumenmål 2021'!B:R,15,0),VLOOKUP(B79,'Netvolumenmål 2022'!B:R,15,0))</f>
        <v>55395395.299999997</v>
      </c>
      <c r="S79" s="225">
        <f>AVERAGE(VLOOKUP(B79,'Netvolumenmål 2021'!B:R,16,0),VLOOKUP(B79,'Netvolumenmål 2022'!B:R,16,0))</f>
        <v>107066201.98724324</v>
      </c>
      <c r="T79" s="18">
        <f>AVERAGE(VLOOKUP(B79,'Netvolumenmål 2021'!B:R,17,0),VLOOKUP(B79,'Netvolumenmål 2022'!B:R,17,0))</f>
        <v>162461597.28724325</v>
      </c>
      <c r="U79" s="98"/>
      <c r="V79" s="98"/>
      <c r="W79" s="120">
        <v>34.222878229381578</v>
      </c>
      <c r="X79" s="120">
        <v>5.5762800074991813E-2</v>
      </c>
      <c r="Y79" s="121">
        <v>45197279.417744547</v>
      </c>
      <c r="Z79" s="121">
        <v>48525315.395061605</v>
      </c>
      <c r="AA79" s="121">
        <v>185457769.62411243</v>
      </c>
      <c r="AB79" s="121">
        <v>132227446.10338986</v>
      </c>
      <c r="AC79" s="121">
        <v>55395395.299999997</v>
      </c>
      <c r="AD79" s="122">
        <v>107066201.98724324</v>
      </c>
      <c r="AE79" s="122">
        <v>162461597.28724325</v>
      </c>
      <c r="AF79" s="226"/>
      <c r="AG79" s="226"/>
      <c r="AH79" s="226"/>
      <c r="AI79" s="203"/>
    </row>
    <row r="80" spans="1:35" x14ac:dyDescent="0.25">
      <c r="A80" s="49" t="s">
        <v>173</v>
      </c>
      <c r="B80" s="202" t="s">
        <v>174</v>
      </c>
      <c r="C80" s="116">
        <f>AVERAGE('Netvolumenmål 2021'!C80,'Netvolumenmål 2022'!C80)</f>
        <v>35.295910150749087</v>
      </c>
      <c r="D80" s="116">
        <f>AVERAGE('Netvolumenmål 2021'!D80,'Netvolumenmål 2022'!D80)</f>
        <v>3.6036760694490938E-2</v>
      </c>
      <c r="E80" s="117">
        <f>AVERAGE('Netvolumenmål 2021'!E80,'Netvolumenmål 2022'!E80)</f>
        <v>52292951.218866721</v>
      </c>
      <c r="F80" s="118">
        <f t="shared" si="2"/>
        <v>54241934.210158743</v>
      </c>
      <c r="G80" s="117">
        <f>VLOOKUP(B80,'Costdrivere gns.'!B:AP,39,0)+VLOOKUP(B80,'Costdrivere gns.'!B:AP,40,0)+VLOOKUP(B80,'Costdrivere gns.'!B:AP,41,0)</f>
        <v>187289036.18706313</v>
      </c>
      <c r="H80" s="118">
        <f t="shared" si="3"/>
        <v>131430357.22768606</v>
      </c>
      <c r="I80" s="88">
        <f>AVERAGE('Netvolumenmål 2021'!G80,'Netvolumenmål 2022'!G80)</f>
        <v>62382062.411500007</v>
      </c>
      <c r="J80" s="5">
        <f>AVERAGE('Netvolumenmål 2021'!H80,'Netvolumenmål 2022'!H80)</f>
        <v>59496652.25302051</v>
      </c>
      <c r="K80" s="119">
        <f>AVERAGE('Netvolumenmål 2021'!I80,'Netvolumenmål 2022'!I80)</f>
        <v>4942088.6021500006</v>
      </c>
      <c r="L80" s="119">
        <f>AVERAGE('Netvolumenmål 2021'!J80,'Netvolumenmål 2022'!J80)</f>
        <v>28918192.265218288</v>
      </c>
      <c r="M80" s="58">
        <f>AVERAGE(VLOOKUP(B80,'Netvolumenmål 2021'!B:R,10,0),VLOOKUP(B80,'Netvolumenmål 2022'!B:R,10,0))</f>
        <v>93356933.120388806</v>
      </c>
      <c r="N80" s="88">
        <f>AVERAGE(VLOOKUP(B80,'Netvolumenmål 2021'!B:R,11,0),VLOOKUP(B80,'Netvolumenmål 2022'!B:R,11,0))</f>
        <v>155738995.53188881</v>
      </c>
      <c r="O80" s="88">
        <f>AVERAGE(VLOOKUP(B80,'Netvolumenmål 2021'!B:R,12,0),VLOOKUP(B80,'Netvolumenmål 2022'!B:R,12,0))</f>
        <v>0</v>
      </c>
      <c r="P80" s="98">
        <f>AVERAGE(VLOOKUP(B80,'Netvolumenmål 2021'!B:R,13,0),VLOOKUP(B80,'Netvolumenmål 2022'!B:R,13,0))</f>
        <v>0</v>
      </c>
      <c r="Q80" s="98">
        <f>AVERAGE(VLOOKUP(B80,'Netvolumenmål 2021'!B:R,14,0),VLOOKUP(B80,'Netvolumenmål 2022'!B:R,14,0))</f>
        <v>0</v>
      </c>
      <c r="R80" s="121">
        <f>AVERAGE(VLOOKUP(B80,'Netvolumenmål 2021'!B:R,15,0),VLOOKUP(B80,'Netvolumenmål 2022'!B:R,15,0))</f>
        <v>62382062.411500007</v>
      </c>
      <c r="S80" s="225">
        <f>AVERAGE(VLOOKUP(B80,'Netvolumenmål 2021'!B:R,16,0),VLOOKUP(B80,'Netvolumenmål 2022'!B:R,16,0))</f>
        <v>93356933.120388806</v>
      </c>
      <c r="T80" s="18">
        <f>AVERAGE(VLOOKUP(B80,'Netvolumenmål 2021'!B:R,17,0),VLOOKUP(B80,'Netvolumenmål 2022'!B:R,17,0))</f>
        <v>155738995.53188881</v>
      </c>
      <c r="U80" s="98"/>
      <c r="V80" s="98"/>
      <c r="W80" s="120">
        <v>35.295910150749087</v>
      </c>
      <c r="X80" s="120">
        <v>3.6036760694490938E-2</v>
      </c>
      <c r="Y80" s="121">
        <v>52292951.218866721</v>
      </c>
      <c r="Z80" s="121">
        <v>54241934.210158743</v>
      </c>
      <c r="AA80" s="121">
        <v>183212361.03947899</v>
      </c>
      <c r="AB80" s="121">
        <v>128569544.43342799</v>
      </c>
      <c r="AC80" s="121">
        <v>62382062.411500007</v>
      </c>
      <c r="AD80" s="122">
        <v>93356933.120388806</v>
      </c>
      <c r="AE80" s="122">
        <v>155738995.53188881</v>
      </c>
      <c r="AF80" s="226"/>
      <c r="AG80" s="226"/>
      <c r="AH80" s="226"/>
      <c r="AI80" s="203"/>
    </row>
    <row r="81" spans="1:35" x14ac:dyDescent="0.25">
      <c r="A81" s="49" t="s">
        <v>175</v>
      </c>
      <c r="B81" s="202" t="s">
        <v>176</v>
      </c>
      <c r="C81" s="116">
        <f>AVERAGE('Netvolumenmål 2021'!C81,'Netvolumenmål 2022'!C81)</f>
        <v>31.936205644806655</v>
      </c>
      <c r="D81" s="116">
        <f>AVERAGE('Netvolumenmål 2021'!D81,'Netvolumenmål 2022'!D81)</f>
        <v>3.8049559722525272E-2</v>
      </c>
      <c r="E81" s="117">
        <f>AVERAGE('Netvolumenmål 2021'!E81,'Netvolumenmål 2022'!E81)</f>
        <v>31085282.414935052</v>
      </c>
      <c r="F81" s="118">
        <f t="shared" si="2"/>
        <v>31794001.171121255</v>
      </c>
      <c r="G81" s="117">
        <f>VLOOKUP(B81,'Costdrivere gns.'!B:AP,39,0)+VLOOKUP(B81,'Costdrivere gns.'!B:AP,40,0)+VLOOKUP(B81,'Costdrivere gns.'!B:AP,41,0)</f>
        <v>104761069.5070176</v>
      </c>
      <c r="H81" s="118">
        <f t="shared" si="3"/>
        <v>75461308.073867381</v>
      </c>
      <c r="I81" s="88">
        <f>AVERAGE('Netvolumenmål 2021'!G81,'Netvolumenmål 2022'!G81)</f>
        <v>43109765.884850003</v>
      </c>
      <c r="J81" s="5">
        <f>AVERAGE('Netvolumenmål 2021'!H81,'Netvolumenmål 2022'!H81)</f>
        <v>55916210.502239667</v>
      </c>
      <c r="K81" s="119">
        <f>AVERAGE('Netvolumenmål 2021'!I81,'Netvolumenmål 2022'!I81)</f>
        <v>1562534.7406000001</v>
      </c>
      <c r="L81" s="119">
        <f>AVERAGE('Netvolumenmål 2021'!J81,'Netvolumenmål 2022'!J81)</f>
        <v>21541643.850029044</v>
      </c>
      <c r="M81" s="58">
        <f>AVERAGE(VLOOKUP(B81,'Netvolumenmål 2021'!B:R,10,0),VLOOKUP(B81,'Netvolumenmål 2022'!B:R,10,0))</f>
        <v>79020389.092868716</v>
      </c>
      <c r="N81" s="88">
        <f>AVERAGE(VLOOKUP(B81,'Netvolumenmål 2021'!B:R,11,0),VLOOKUP(B81,'Netvolumenmål 2022'!B:R,11,0))</f>
        <v>122130154.97771871</v>
      </c>
      <c r="O81" s="88">
        <f>AVERAGE(VLOOKUP(B81,'Netvolumenmål 2021'!B:R,12,0),VLOOKUP(B81,'Netvolumenmål 2022'!B:R,12,0))</f>
        <v>0</v>
      </c>
      <c r="P81" s="98">
        <f>AVERAGE(VLOOKUP(B81,'Netvolumenmål 2021'!B:R,13,0),VLOOKUP(B81,'Netvolumenmål 2022'!B:R,13,0))</f>
        <v>0</v>
      </c>
      <c r="Q81" s="98">
        <f>AVERAGE(VLOOKUP(B81,'Netvolumenmål 2021'!B:R,14,0),VLOOKUP(B81,'Netvolumenmål 2022'!B:R,14,0))</f>
        <v>0</v>
      </c>
      <c r="R81" s="121">
        <f>AVERAGE(VLOOKUP(B81,'Netvolumenmål 2021'!B:R,15,0),VLOOKUP(B81,'Netvolumenmål 2022'!B:R,15,0))</f>
        <v>43109765.884850003</v>
      </c>
      <c r="S81" s="225">
        <f>AVERAGE(VLOOKUP(B81,'Netvolumenmål 2021'!B:R,16,0),VLOOKUP(B81,'Netvolumenmål 2022'!B:R,16,0))</f>
        <v>79020389.092868716</v>
      </c>
      <c r="T81" s="18">
        <f>AVERAGE(VLOOKUP(B81,'Netvolumenmål 2021'!B:R,17,0),VLOOKUP(B81,'Netvolumenmål 2022'!B:R,17,0))</f>
        <v>122130154.97771871</v>
      </c>
      <c r="U81" s="98"/>
      <c r="V81" s="98"/>
      <c r="W81" s="120">
        <v>31.936205644806655</v>
      </c>
      <c r="X81" s="120">
        <v>3.8049559722525272E-2</v>
      </c>
      <c r="Y81" s="121">
        <v>31085282.414935052</v>
      </c>
      <c r="Z81" s="121">
        <v>31794001.171121255</v>
      </c>
      <c r="AA81" s="121">
        <v>104761069.5070176</v>
      </c>
      <c r="AB81" s="121">
        <v>75461308.073867381</v>
      </c>
      <c r="AC81" s="121">
        <v>45633981.884850003</v>
      </c>
      <c r="AD81" s="122">
        <v>79020389.092868716</v>
      </c>
      <c r="AE81" s="122">
        <v>124654370.97771871</v>
      </c>
      <c r="AF81" s="226"/>
      <c r="AG81" s="226"/>
      <c r="AH81" s="226"/>
      <c r="AI81" s="203"/>
    </row>
    <row r="82" spans="1:35" x14ac:dyDescent="0.25">
      <c r="A82" s="49" t="s">
        <v>177</v>
      </c>
      <c r="B82" s="202" t="s">
        <v>178</v>
      </c>
      <c r="C82" s="116">
        <f>AVERAGE('Netvolumenmål 2021'!C82,'Netvolumenmål 2022'!C82)</f>
        <v>36.746611258082666</v>
      </c>
      <c r="D82" s="116">
        <f>AVERAGE('Netvolumenmål 2021'!D82,'Netvolumenmål 2022'!D82)</f>
        <v>1.9095725747794383E-2</v>
      </c>
      <c r="E82" s="117">
        <f>AVERAGE('Netvolumenmål 2021'!E82,'Netvolumenmål 2022'!E82)</f>
        <v>24123220.574192926</v>
      </c>
      <c r="F82" s="118">
        <f t="shared" si="2"/>
        <v>24340364.14159558</v>
      </c>
      <c r="G82" s="117">
        <f>VLOOKUP(B82,'Costdrivere gns.'!B:AP,39,0)+VLOOKUP(B82,'Costdrivere gns.'!B:AP,40,0)+VLOOKUP(B82,'Costdrivere gns.'!B:AP,41,0)</f>
        <v>99435731.839804351</v>
      </c>
      <c r="H82" s="118">
        <f t="shared" si="3"/>
        <v>68538365.535886824</v>
      </c>
      <c r="I82" s="88">
        <f>AVERAGE('Netvolumenmål 2021'!G82,'Netvolumenmål 2022'!G82)</f>
        <v>28249279.155850001</v>
      </c>
      <c r="J82" s="5">
        <f>AVERAGE('Netvolumenmål 2021'!H82,'Netvolumenmål 2022'!H82)</f>
        <v>48786034.996567369</v>
      </c>
      <c r="K82" s="119">
        <f>AVERAGE('Netvolumenmål 2021'!I82,'Netvolumenmål 2022'!I82)</f>
        <v>1493973.0153000001</v>
      </c>
      <c r="L82" s="119">
        <f>AVERAGE('Netvolumenmål 2021'!J82,'Netvolumenmål 2022'!J82)</f>
        <v>13227138.023880508</v>
      </c>
      <c r="M82" s="58">
        <f>AVERAGE(VLOOKUP(B82,'Netvolumenmål 2021'!B:R,10,0),VLOOKUP(B82,'Netvolumenmål 2022'!B:R,10,0))</f>
        <v>63507146.035747878</v>
      </c>
      <c r="N82" s="88">
        <f>AVERAGE(VLOOKUP(B82,'Netvolumenmål 2021'!B:R,11,0),VLOOKUP(B82,'Netvolumenmål 2022'!B:R,11,0))</f>
        <v>91756425.191597879</v>
      </c>
      <c r="O82" s="88">
        <f>AVERAGE(VLOOKUP(B82,'Netvolumenmål 2021'!B:R,12,0),VLOOKUP(B82,'Netvolumenmål 2022'!B:R,12,0))</f>
        <v>0</v>
      </c>
      <c r="P82" s="98">
        <f>AVERAGE(VLOOKUP(B82,'Netvolumenmål 2021'!B:R,13,0),VLOOKUP(B82,'Netvolumenmål 2022'!B:R,13,0))</f>
        <v>0</v>
      </c>
      <c r="Q82" s="98">
        <f>AVERAGE(VLOOKUP(B82,'Netvolumenmål 2021'!B:R,14,0),VLOOKUP(B82,'Netvolumenmål 2022'!B:R,14,0))</f>
        <v>0</v>
      </c>
      <c r="R82" s="121">
        <f>AVERAGE(VLOOKUP(B82,'Netvolumenmål 2021'!B:R,15,0),VLOOKUP(B82,'Netvolumenmål 2022'!B:R,15,0))</f>
        <v>28249279.155850001</v>
      </c>
      <c r="S82" s="225">
        <f>AVERAGE(VLOOKUP(B82,'Netvolumenmål 2021'!B:R,16,0),VLOOKUP(B82,'Netvolumenmål 2022'!B:R,16,0))</f>
        <v>63507146.035747878</v>
      </c>
      <c r="T82" s="18">
        <f>AVERAGE(VLOOKUP(B82,'Netvolumenmål 2021'!B:R,17,0),VLOOKUP(B82,'Netvolumenmål 2022'!B:R,17,0))</f>
        <v>91756425.191597879</v>
      </c>
      <c r="U82" s="98"/>
      <c r="V82" s="98"/>
      <c r="W82" s="120">
        <v>36.746611258082666</v>
      </c>
      <c r="X82" s="120">
        <v>1.9095725747794383E-2</v>
      </c>
      <c r="Y82" s="121">
        <v>24123220.574192926</v>
      </c>
      <c r="Z82" s="121">
        <v>24340364.14159558</v>
      </c>
      <c r="AA82" s="121">
        <v>99435731.839804351</v>
      </c>
      <c r="AB82" s="121">
        <v>68538365.535886824</v>
      </c>
      <c r="AC82" s="121">
        <v>28249279.155850001</v>
      </c>
      <c r="AD82" s="122">
        <v>63507146.035747878</v>
      </c>
      <c r="AE82" s="122">
        <v>91756425.191597879</v>
      </c>
      <c r="AF82" s="226"/>
      <c r="AG82" s="226"/>
      <c r="AH82" s="226"/>
      <c r="AI82" s="203"/>
    </row>
    <row r="83" spans="1:35" x14ac:dyDescent="0.25">
      <c r="A83" s="49" t="s">
        <v>179</v>
      </c>
      <c r="B83" s="202" t="s">
        <v>180</v>
      </c>
      <c r="C83" s="116">
        <f>AVERAGE('Netvolumenmål 2021'!C83,'Netvolumenmål 2022'!C83)</f>
        <v>40.760946663001569</v>
      </c>
      <c r="D83" s="116">
        <f>AVERAGE('Netvolumenmål 2021'!D83,'Netvolumenmål 2022'!D83)</f>
        <v>4.1044926537630394E-2</v>
      </c>
      <c r="E83" s="117">
        <f>AVERAGE('Netvolumenmål 2021'!E83,'Netvolumenmål 2022'!E83)</f>
        <v>11673747.374622621</v>
      </c>
      <c r="F83" s="118">
        <f t="shared" si="2"/>
        <v>12591279.687744103</v>
      </c>
      <c r="G83" s="117">
        <f>VLOOKUP(B83,'Costdrivere gns.'!B:AP,39,0)+VLOOKUP(B83,'Costdrivere gns.'!B:AP,40,0)+VLOOKUP(B83,'Costdrivere gns.'!B:AP,41,0)</f>
        <v>31696116.512298454</v>
      </c>
      <c r="H83" s="118">
        <f t="shared" si="3"/>
        <v>21358399.907931831</v>
      </c>
      <c r="I83" s="88">
        <f>AVERAGE('Netvolumenmål 2021'!G83,'Netvolumenmål 2022'!G83)</f>
        <v>11831685.670000002</v>
      </c>
      <c r="J83" s="5">
        <f>AVERAGE('Netvolumenmål 2021'!H83,'Netvolumenmål 2022'!H83)</f>
        <v>17273901.61680536</v>
      </c>
      <c r="K83" s="119">
        <f>AVERAGE('Netvolumenmål 2021'!I83,'Netvolumenmål 2022'!I83)</f>
        <v>1026694.4167500001</v>
      </c>
      <c r="L83" s="119">
        <f>AVERAGE('Netvolumenmål 2021'!J83,'Netvolumenmål 2022'!J83)</f>
        <v>5423089.0328749958</v>
      </c>
      <c r="M83" s="58">
        <f>AVERAGE(VLOOKUP(B83,'Netvolumenmål 2021'!B:R,10,0),VLOOKUP(B83,'Netvolumenmål 2022'!B:R,10,0))</f>
        <v>23723685.066430356</v>
      </c>
      <c r="N83" s="88">
        <f>AVERAGE(VLOOKUP(B83,'Netvolumenmål 2021'!B:R,11,0),VLOOKUP(B83,'Netvolumenmål 2022'!B:R,11,0))</f>
        <v>35555370.736430354</v>
      </c>
      <c r="O83" s="88">
        <f>AVERAGE(VLOOKUP(B83,'Netvolumenmål 2021'!B:R,12,0),VLOOKUP(B83,'Netvolumenmål 2022'!B:R,12,0))</f>
        <v>0</v>
      </c>
      <c r="P83" s="98">
        <f>AVERAGE(VLOOKUP(B83,'Netvolumenmål 2021'!B:R,13,0),VLOOKUP(B83,'Netvolumenmål 2022'!B:R,13,0))</f>
        <v>0</v>
      </c>
      <c r="Q83" s="98">
        <f>AVERAGE(VLOOKUP(B83,'Netvolumenmål 2021'!B:R,14,0),VLOOKUP(B83,'Netvolumenmål 2022'!B:R,14,0))</f>
        <v>0</v>
      </c>
      <c r="R83" s="121">
        <f>AVERAGE(VLOOKUP(B83,'Netvolumenmål 2021'!B:R,15,0),VLOOKUP(B83,'Netvolumenmål 2022'!B:R,15,0))</f>
        <v>11831685.670000002</v>
      </c>
      <c r="S83" s="225">
        <f>AVERAGE(VLOOKUP(B83,'Netvolumenmål 2021'!B:R,16,0),VLOOKUP(B83,'Netvolumenmål 2022'!B:R,16,0))</f>
        <v>23723685.066430356</v>
      </c>
      <c r="T83" s="18">
        <f>AVERAGE(VLOOKUP(B83,'Netvolumenmål 2021'!B:R,17,0),VLOOKUP(B83,'Netvolumenmål 2022'!B:R,17,0))</f>
        <v>35555370.736430354</v>
      </c>
      <c r="U83" s="98"/>
      <c r="V83" s="98"/>
      <c r="W83" s="120">
        <v>40.760946663001569</v>
      </c>
      <c r="X83" s="120">
        <v>4.1044926537630394E-2</v>
      </c>
      <c r="Y83" s="121">
        <v>11673747.374622621</v>
      </c>
      <c r="Z83" s="121">
        <v>12591279.687744103</v>
      </c>
      <c r="AA83" s="121">
        <v>30755242.770868644</v>
      </c>
      <c r="AB83" s="121">
        <v>20724392.974478874</v>
      </c>
      <c r="AC83" s="121">
        <v>11831685.670000002</v>
      </c>
      <c r="AD83" s="122">
        <v>23723685.066430356</v>
      </c>
      <c r="AE83" s="122">
        <v>35555370.736430354</v>
      </c>
      <c r="AF83" s="226"/>
      <c r="AG83" s="226"/>
      <c r="AH83" s="226"/>
      <c r="AI83" s="203"/>
    </row>
    <row r="84" spans="1:35" x14ac:dyDescent="0.25">
      <c r="A84" s="49" t="s">
        <v>181</v>
      </c>
      <c r="B84" s="202" t="s">
        <v>182</v>
      </c>
      <c r="C84" s="123">
        <f>AVERAGE('Netvolumenmål 2021'!C84,'Netvolumenmål 2022'!C84)</f>
        <v>31.617443156366484</v>
      </c>
      <c r="D84" s="123">
        <f>AVERAGE('Netvolumenmål 2021'!D84,'Netvolumenmål 2022'!D84)</f>
        <v>0</v>
      </c>
      <c r="E84" s="124">
        <f>AVERAGE('Netvolumenmål 2021'!E84,'Netvolumenmål 2022'!E84)</f>
        <v>1915495.2779754915</v>
      </c>
      <c r="F84" s="125">
        <f t="shared" si="2"/>
        <v>1799218.9240921696</v>
      </c>
      <c r="G84" s="124" t="e">
        <f>VLOOKUP(B84,'Costdrivere gns.'!B:AP,39,0)+VLOOKUP(B84,'Costdrivere gns.'!B:AP,40,0)+VLOOKUP(B84,'Costdrivere gns.'!B:AP,41,0)</f>
        <v>#N/A</v>
      </c>
      <c r="H84" s="125" t="e">
        <f t="shared" si="3"/>
        <v>#N/A</v>
      </c>
      <c r="I84" s="88">
        <f>AVERAGE('Netvolumenmål 2021'!G84,'Netvolumenmål 2022'!G84)</f>
        <v>17012460.292800002</v>
      </c>
      <c r="J84" s="5">
        <f>AVERAGE('Netvolumenmål 2021'!H84,'Netvolumenmål 2022'!H84)</f>
        <v>28956712.321653645</v>
      </c>
      <c r="K84" s="119">
        <f>AVERAGE('Netvolumenmål 2021'!I84,'Netvolumenmål 2022'!I84)</f>
        <v>3005231.8964499999</v>
      </c>
      <c r="L84" s="119">
        <f>AVERAGE('Netvolumenmål 2021'!J84,'Netvolumenmål 2022'!J84)</f>
        <v>8439696.9079445321</v>
      </c>
      <c r="M84" s="58">
        <f>AVERAGE(VLOOKUP(B84,'Netvolumenmål 2021'!B:R,10,0),VLOOKUP(B84,'Netvolumenmål 2022'!B:R,10,0))</f>
        <v>40401641.126048177</v>
      </c>
      <c r="N84" s="88">
        <f>AVERAGE(VLOOKUP(B84,'Netvolumenmål 2021'!B:R,11,0),VLOOKUP(B84,'Netvolumenmål 2022'!B:R,11,0))</f>
        <v>57414101.418848179</v>
      </c>
      <c r="O84" s="88">
        <f>AVERAGE(VLOOKUP(B84,'Netvolumenmål 2021'!B:R,12,0),VLOOKUP(B84,'Netvolumenmål 2022'!B:R,12,0))</f>
        <v>0</v>
      </c>
      <c r="P84" s="98">
        <f>AVERAGE(VLOOKUP(B84,'Netvolumenmål 2021'!B:R,13,0),VLOOKUP(B84,'Netvolumenmål 2022'!B:R,13,0))</f>
        <v>0</v>
      </c>
      <c r="Q84" s="98">
        <f>AVERAGE(VLOOKUP(B84,'Netvolumenmål 2021'!B:R,14,0),VLOOKUP(B84,'Netvolumenmål 2022'!B:R,14,0))</f>
        <v>0</v>
      </c>
      <c r="R84" s="121">
        <f>AVERAGE(VLOOKUP(B84,'Netvolumenmål 2021'!B:R,15,0),VLOOKUP(B84,'Netvolumenmål 2022'!B:R,15,0))</f>
        <v>17012460.292800002</v>
      </c>
      <c r="S84" s="225">
        <f>AVERAGE(VLOOKUP(B84,'Netvolumenmål 2021'!B:R,16,0),VLOOKUP(B84,'Netvolumenmål 2022'!B:R,16,0))</f>
        <v>40401641.126048177</v>
      </c>
      <c r="T84" s="18">
        <f>AVERAGE(VLOOKUP(B84,'Netvolumenmål 2021'!B:R,17,0),VLOOKUP(B84,'Netvolumenmål 2022'!B:R,17,0))</f>
        <v>57414101.418848179</v>
      </c>
      <c r="U84" s="98"/>
      <c r="V84" s="98"/>
      <c r="W84" s="120">
        <v>31.617443156366484</v>
      </c>
      <c r="X84" s="120">
        <v>0</v>
      </c>
      <c r="Y84" s="121">
        <v>1915495.2779754915</v>
      </c>
      <c r="Z84" s="121">
        <v>1799218.9240921696</v>
      </c>
      <c r="AA84" s="121" t="e">
        <v>#N/A</v>
      </c>
      <c r="AB84" s="121" t="e">
        <v>#N/A</v>
      </c>
      <c r="AC84" s="121">
        <v>17012460.292800002</v>
      </c>
      <c r="AD84" s="122">
        <v>40401641.126048177</v>
      </c>
      <c r="AE84" s="122">
        <v>57414101.418848179</v>
      </c>
      <c r="AF84" s="226"/>
      <c r="AG84" s="226"/>
      <c r="AH84" s="226"/>
      <c r="AI84" s="203"/>
    </row>
    <row r="85" spans="1:35" x14ac:dyDescent="0.25">
      <c r="A85" s="49" t="s">
        <v>183</v>
      </c>
      <c r="B85" s="202" t="s">
        <v>184</v>
      </c>
      <c r="C85" s="116">
        <f>AVERAGE('Netvolumenmål 2021'!C85,'Netvolumenmål 2022'!C85)</f>
        <v>29.983504580508686</v>
      </c>
      <c r="D85" s="116">
        <f>AVERAGE('Netvolumenmål 2021'!D85,'Netvolumenmål 2022'!D85)</f>
        <v>1.9571968550716697E-2</v>
      </c>
      <c r="E85" s="117">
        <f>AVERAGE('Netvolumenmål 2021'!E85,'Netvolumenmål 2022'!E85)</f>
        <v>16732611.404633749</v>
      </c>
      <c r="F85" s="118">
        <f t="shared" si="2"/>
        <v>16267301.601191221</v>
      </c>
      <c r="G85" s="117">
        <f>VLOOKUP(B85,'Costdrivere gns.'!B:AP,39,0)+VLOOKUP(B85,'Costdrivere gns.'!B:AP,40,0)+VLOOKUP(B85,'Costdrivere gns.'!B:AP,41,0)</f>
        <v>48103292.624805428</v>
      </c>
      <c r="H85" s="118">
        <f t="shared" si="3"/>
        <v>34906416.788738951</v>
      </c>
      <c r="I85" s="88">
        <f>AVERAGE('Netvolumenmål 2021'!G85,'Netvolumenmål 2022'!G85)</f>
        <v>14794835.59565</v>
      </c>
      <c r="J85" s="5">
        <f>AVERAGE('Netvolumenmål 2021'!H85,'Netvolumenmål 2022'!H85)</f>
        <v>30983490.444982395</v>
      </c>
      <c r="K85" s="119">
        <f>AVERAGE('Netvolumenmål 2021'!I85,'Netvolumenmål 2022'!I85)</f>
        <v>1080618.1783</v>
      </c>
      <c r="L85" s="119">
        <f>AVERAGE('Netvolumenmål 2021'!J85,'Netvolumenmål 2022'!J85)</f>
        <v>9356094.9951572269</v>
      </c>
      <c r="M85" s="58">
        <f>AVERAGE(VLOOKUP(B85,'Netvolumenmål 2021'!B:R,10,0),VLOOKUP(B85,'Netvolumenmål 2022'!B:R,10,0))</f>
        <v>41420203.618439622</v>
      </c>
      <c r="N85" s="88">
        <f>AVERAGE(VLOOKUP(B85,'Netvolumenmål 2021'!B:R,11,0),VLOOKUP(B85,'Netvolumenmål 2022'!B:R,11,0))</f>
        <v>56215039.214089625</v>
      </c>
      <c r="O85" s="88">
        <f>AVERAGE(VLOOKUP(B85,'Netvolumenmål 2021'!B:R,12,0),VLOOKUP(B85,'Netvolumenmål 2022'!B:R,12,0))</f>
        <v>0</v>
      </c>
      <c r="P85" s="98">
        <f>AVERAGE(VLOOKUP(B85,'Netvolumenmål 2021'!B:R,13,0),VLOOKUP(B85,'Netvolumenmål 2022'!B:R,13,0))</f>
        <v>0</v>
      </c>
      <c r="Q85" s="98">
        <f>AVERAGE(VLOOKUP(B85,'Netvolumenmål 2021'!B:R,14,0),VLOOKUP(B85,'Netvolumenmål 2022'!B:R,14,0))</f>
        <v>0</v>
      </c>
      <c r="R85" s="121">
        <f>AVERAGE(VLOOKUP(B85,'Netvolumenmål 2021'!B:R,15,0),VLOOKUP(B85,'Netvolumenmål 2022'!B:R,15,0))</f>
        <v>14794835.59565</v>
      </c>
      <c r="S85" s="225">
        <f>AVERAGE(VLOOKUP(B85,'Netvolumenmål 2021'!B:R,16,0),VLOOKUP(B85,'Netvolumenmål 2022'!B:R,16,0))</f>
        <v>41420203.618439622</v>
      </c>
      <c r="T85" s="18">
        <f>AVERAGE(VLOOKUP(B85,'Netvolumenmål 2021'!B:R,17,0),VLOOKUP(B85,'Netvolumenmål 2022'!B:R,17,0))</f>
        <v>56215039.214089625</v>
      </c>
      <c r="U85" s="98"/>
      <c r="V85" s="98"/>
      <c r="W85" s="120">
        <v>29.983504580508686</v>
      </c>
      <c r="X85" s="120">
        <v>1.9571968550716697E-2</v>
      </c>
      <c r="Y85" s="121">
        <v>16729656.00564529</v>
      </c>
      <c r="Z85" s="121">
        <v>16264428.387588482</v>
      </c>
      <c r="AA85" s="121">
        <v>46800658.554019168</v>
      </c>
      <c r="AB85" s="121">
        <v>33961153.266910315</v>
      </c>
      <c r="AC85" s="121">
        <v>14794835.59565</v>
      </c>
      <c r="AD85" s="122">
        <v>41420203.618439622</v>
      </c>
      <c r="AE85" s="122">
        <v>56215039.214089625</v>
      </c>
      <c r="AF85" s="226"/>
      <c r="AG85" s="226"/>
      <c r="AH85" s="226"/>
      <c r="AI85" s="203"/>
    </row>
    <row r="86" spans="1:35" x14ac:dyDescent="0.25">
      <c r="A86" s="49" t="s">
        <v>185</v>
      </c>
      <c r="B86" s="202" t="s">
        <v>186</v>
      </c>
      <c r="C86" s="116">
        <f>AVERAGE('Netvolumenmål 2021'!C86,'Netvolumenmål 2022'!C86)</f>
        <v>38.981153912413362</v>
      </c>
      <c r="D86" s="116">
        <f>AVERAGE('Netvolumenmål 2021'!D86,'Netvolumenmål 2022'!D86)</f>
        <v>3.0337229816611157E-2</v>
      </c>
      <c r="E86" s="117">
        <f>AVERAGE('Netvolumenmål 2021'!E86,'Netvolumenmål 2022'!E86)</f>
        <v>14725987.675497992</v>
      </c>
      <c r="F86" s="118">
        <f t="shared" si="2"/>
        <v>15398153.07778676</v>
      </c>
      <c r="G86" s="117">
        <f>VLOOKUP(B86,'Costdrivere gns.'!B:AP,39,0)+VLOOKUP(B86,'Costdrivere gns.'!B:AP,40,0)+VLOOKUP(B86,'Costdrivere gns.'!B:AP,41,0)</f>
        <v>38645129.285110429</v>
      </c>
      <c r="H86" s="118">
        <f t="shared" si="3"/>
        <v>26294780.42841221</v>
      </c>
      <c r="I86" s="88">
        <f>AVERAGE('Netvolumenmål 2021'!G86,'Netvolumenmål 2022'!G86)</f>
        <v>14208500.332699999</v>
      </c>
      <c r="J86" s="5">
        <f>AVERAGE('Netvolumenmål 2021'!H86,'Netvolumenmål 2022'!H86)</f>
        <v>20299098.920485497</v>
      </c>
      <c r="K86" s="119">
        <f>AVERAGE('Netvolumenmål 2021'!I86,'Netvolumenmål 2022'!I86)</f>
        <v>662702.3432</v>
      </c>
      <c r="L86" s="119">
        <f>AVERAGE('Netvolumenmål 2021'!J86,'Netvolumenmål 2022'!J86)</f>
        <v>3975675.0870306995</v>
      </c>
      <c r="M86" s="58">
        <f>AVERAGE(VLOOKUP(B86,'Netvolumenmål 2021'!B:R,10,0),VLOOKUP(B86,'Netvolumenmål 2022'!B:R,10,0))</f>
        <v>24937476.350716196</v>
      </c>
      <c r="N86" s="88">
        <f>AVERAGE(VLOOKUP(B86,'Netvolumenmål 2021'!B:R,11,0),VLOOKUP(B86,'Netvolumenmål 2022'!B:R,11,0))</f>
        <v>39145976.683416203</v>
      </c>
      <c r="O86" s="88">
        <f>AVERAGE(VLOOKUP(B86,'Netvolumenmål 2021'!B:R,12,0),VLOOKUP(B86,'Netvolumenmål 2022'!B:R,12,0))</f>
        <v>0</v>
      </c>
      <c r="P86" s="98">
        <f>AVERAGE(VLOOKUP(B86,'Netvolumenmål 2021'!B:R,13,0),VLOOKUP(B86,'Netvolumenmål 2022'!B:R,13,0))</f>
        <v>0</v>
      </c>
      <c r="Q86" s="98">
        <f>AVERAGE(VLOOKUP(B86,'Netvolumenmål 2021'!B:R,14,0),VLOOKUP(B86,'Netvolumenmål 2022'!B:R,14,0))</f>
        <v>0</v>
      </c>
      <c r="R86" s="121">
        <f>AVERAGE(VLOOKUP(B86,'Netvolumenmål 2021'!B:R,15,0),VLOOKUP(B86,'Netvolumenmål 2022'!B:R,15,0))</f>
        <v>14208500.332699999</v>
      </c>
      <c r="S86" s="225">
        <f>AVERAGE(VLOOKUP(B86,'Netvolumenmål 2021'!B:R,16,0),VLOOKUP(B86,'Netvolumenmål 2022'!B:R,16,0))</f>
        <v>24937476.350716196</v>
      </c>
      <c r="T86" s="18">
        <f>AVERAGE(VLOOKUP(B86,'Netvolumenmål 2021'!B:R,17,0),VLOOKUP(B86,'Netvolumenmål 2022'!B:R,17,0))</f>
        <v>39145976.683416203</v>
      </c>
      <c r="U86" s="98"/>
      <c r="V86" s="98"/>
      <c r="W86" s="120">
        <v>38.981153912413362</v>
      </c>
      <c r="X86" s="120">
        <v>3.0337229816611157E-2</v>
      </c>
      <c r="Y86" s="121">
        <v>14725987.675497992</v>
      </c>
      <c r="Z86" s="121">
        <v>15398153.07778676</v>
      </c>
      <c r="AA86" s="121">
        <v>38645129.285110429</v>
      </c>
      <c r="AB86" s="121">
        <v>26294780.42841221</v>
      </c>
      <c r="AC86" s="121">
        <v>14208500.332699999</v>
      </c>
      <c r="AD86" s="122">
        <v>24937476.350716196</v>
      </c>
      <c r="AE86" s="122">
        <v>39145976.683416203</v>
      </c>
      <c r="AF86" s="226"/>
      <c r="AG86" s="226"/>
      <c r="AH86" s="226"/>
      <c r="AI86" s="203"/>
    </row>
    <row r="87" spans="1:35" x14ac:dyDescent="0.25">
      <c r="A87" s="49" t="s">
        <v>187</v>
      </c>
      <c r="B87" s="202" t="s">
        <v>188</v>
      </c>
      <c r="C87" s="116">
        <f>AVERAGE('Netvolumenmål 2021'!C87,'Netvolumenmål 2022'!C87)</f>
        <v>31.597699641974909</v>
      </c>
      <c r="D87" s="116">
        <f>AVERAGE('Netvolumenmål 2021'!D87,'Netvolumenmål 2022'!D87)</f>
        <v>3.4893829426857731E-2</v>
      </c>
      <c r="E87" s="117">
        <f>AVERAGE('Netvolumenmål 2021'!E87,'Netvolumenmål 2022'!E87)</f>
        <v>35259849.761732504</v>
      </c>
      <c r="F87" s="118">
        <f t="shared" si="2"/>
        <v>35758001.24557621</v>
      </c>
      <c r="G87" s="117">
        <f>VLOOKUP(B87,'Costdrivere gns.'!B:AP,39,0)+VLOOKUP(B87,'Costdrivere gns.'!B:AP,40,0)+VLOOKUP(B87,'Costdrivere gns.'!B:AP,41,0)</f>
        <v>108865446.65691477</v>
      </c>
      <c r="H87" s="118">
        <f>($H$106+$H$107*C87+$H$108*D87)*G87</f>
        <v>78519923.297047749</v>
      </c>
      <c r="I87" s="88">
        <f>AVERAGE('Netvolumenmål 2021'!G87,'Netvolumenmål 2022'!G87)</f>
        <v>37217139.207550004</v>
      </c>
      <c r="J87" s="5">
        <f>AVERAGE('Netvolumenmål 2021'!H87,'Netvolumenmål 2022'!H87)</f>
        <v>59017902.74113676</v>
      </c>
      <c r="K87" s="119">
        <f>AVERAGE('Netvolumenmål 2021'!I87,'Netvolumenmål 2022'!I87)</f>
        <v>9489524.75</v>
      </c>
      <c r="L87" s="119">
        <f>AVERAGE('Netvolumenmål 2021'!J87,'Netvolumenmål 2022'!J87)</f>
        <v>15829996.648624528</v>
      </c>
      <c r="M87" s="58">
        <f>AVERAGE(VLOOKUP(B87,'Netvolumenmål 2021'!B:R,10,0),VLOOKUP(B87,'Netvolumenmål 2022'!B:R,10,0))</f>
        <v>84337424.139761299</v>
      </c>
      <c r="N87" s="88">
        <f>AVERAGE(VLOOKUP(B87,'Netvolumenmål 2021'!B:R,11,0),VLOOKUP(B87,'Netvolumenmål 2022'!B:R,11,0))</f>
        <v>121554563.34731129</v>
      </c>
      <c r="O87" s="88">
        <f>AVERAGE(VLOOKUP(B87,'Netvolumenmål 2021'!B:R,12,0),VLOOKUP(B87,'Netvolumenmål 2022'!B:R,12,0))</f>
        <v>0</v>
      </c>
      <c r="P87" s="98">
        <f>AVERAGE(VLOOKUP(B87,'Netvolumenmål 2021'!B:R,13,0),VLOOKUP(B87,'Netvolumenmål 2022'!B:R,13,0))</f>
        <v>0</v>
      </c>
      <c r="Q87" s="98">
        <f>AVERAGE(VLOOKUP(B87,'Netvolumenmål 2021'!B:R,14,0),VLOOKUP(B87,'Netvolumenmål 2022'!B:R,14,0))</f>
        <v>0</v>
      </c>
      <c r="R87" s="121">
        <f>AVERAGE(VLOOKUP(B87,'Netvolumenmål 2021'!B:R,15,0),VLOOKUP(B87,'Netvolumenmål 2022'!B:R,15,0))</f>
        <v>37217139.207550004</v>
      </c>
      <c r="S87" s="225">
        <f>AVERAGE(VLOOKUP(B87,'Netvolumenmål 2021'!B:R,16,0),VLOOKUP(B87,'Netvolumenmål 2022'!B:R,16,0))</f>
        <v>84337424.139761299</v>
      </c>
      <c r="T87" s="18">
        <f>AVERAGE(VLOOKUP(B87,'Netvolumenmål 2021'!B:R,17,0),VLOOKUP(B87,'Netvolumenmål 2022'!B:R,17,0))</f>
        <v>121554563.34731129</v>
      </c>
      <c r="U87" s="98"/>
      <c r="V87" s="98"/>
      <c r="W87" s="120">
        <v>31.597699641974909</v>
      </c>
      <c r="X87" s="120">
        <v>3.4893829426857731E-2</v>
      </c>
      <c r="Y87" s="121">
        <v>35259849.761732504</v>
      </c>
      <c r="Z87" s="121">
        <v>35758001.24557621</v>
      </c>
      <c r="AA87" s="121">
        <v>108865446.65691477</v>
      </c>
      <c r="AB87" s="121">
        <v>78519923.297047749</v>
      </c>
      <c r="AC87" s="121">
        <v>37217139.207550004</v>
      </c>
      <c r="AD87" s="122">
        <v>84337424.139761299</v>
      </c>
      <c r="AE87" s="122">
        <v>121554563.34731129</v>
      </c>
      <c r="AF87" s="226"/>
      <c r="AG87" s="226"/>
      <c r="AH87" s="226"/>
      <c r="AI87" s="203"/>
    </row>
    <row r="88" spans="1:35" x14ac:dyDescent="0.25">
      <c r="A88" s="49" t="s">
        <v>189</v>
      </c>
      <c r="B88" s="202" t="s">
        <v>190</v>
      </c>
      <c r="C88" s="116">
        <f>AVERAGE('Netvolumenmål 2021'!C88,'Netvolumenmål 2022'!C88)</f>
        <v>28.412790424895935</v>
      </c>
      <c r="D88" s="116">
        <f>AVERAGE('Netvolumenmål 2021'!D88,'Netvolumenmål 2022'!D88)</f>
        <v>2.5929372150487757E-2</v>
      </c>
      <c r="E88" s="117">
        <f>AVERAGE('Netvolumenmål 2021'!E88,'Netvolumenmål 2022'!E88)</f>
        <v>25254320.112320781</v>
      </c>
      <c r="F88" s="118">
        <f t="shared" si="2"/>
        <v>24674952.223827593</v>
      </c>
      <c r="G88" s="117">
        <f>VLOOKUP(B88,'Costdrivere gns.'!B:AP,39,0)+VLOOKUP(B88,'Costdrivere gns.'!B:AP,40,0)+VLOOKUP(B88,'Costdrivere gns.'!B:AP,41,0)</f>
        <v>80970553.077254176</v>
      </c>
      <c r="H88" s="118">
        <f t="shared" si="3"/>
        <v>59581311.495889358</v>
      </c>
      <c r="I88" s="88">
        <f>AVERAGE('Netvolumenmål 2021'!G88,'Netvolumenmål 2022'!G88)</f>
        <v>25539386.684789497</v>
      </c>
      <c r="J88" s="5">
        <f>AVERAGE('Netvolumenmål 2021'!H88,'Netvolumenmål 2022'!H88)</f>
        <v>39497617.76218994</v>
      </c>
      <c r="K88" s="119">
        <f>AVERAGE('Netvolumenmål 2021'!I88,'Netvolumenmål 2022'!I88)</f>
        <v>1701372.9649999999</v>
      </c>
      <c r="L88" s="119">
        <f>AVERAGE('Netvolumenmål 2021'!J88,'Netvolumenmål 2022'!J88)</f>
        <v>13746709.625243127</v>
      </c>
      <c r="M88" s="58">
        <f>AVERAGE(VLOOKUP(B88,'Netvolumenmål 2021'!B:R,10,0),VLOOKUP(B88,'Netvolumenmål 2022'!B:R,10,0))</f>
        <v>54945700.352433071</v>
      </c>
      <c r="N88" s="88">
        <f>AVERAGE(VLOOKUP(B88,'Netvolumenmål 2021'!B:R,11,0),VLOOKUP(B88,'Netvolumenmål 2022'!B:R,11,0))</f>
        <v>80485087.037222564</v>
      </c>
      <c r="O88" s="88">
        <f>AVERAGE(VLOOKUP(B88,'Netvolumenmål 2021'!B:R,12,0),VLOOKUP(B88,'Netvolumenmål 2022'!B:R,12,0))</f>
        <v>0</v>
      </c>
      <c r="P88" s="98">
        <f>AVERAGE(VLOOKUP(B88,'Netvolumenmål 2021'!B:R,13,0),VLOOKUP(B88,'Netvolumenmål 2022'!B:R,13,0))</f>
        <v>0</v>
      </c>
      <c r="Q88" s="98">
        <f>AVERAGE(VLOOKUP(B88,'Netvolumenmål 2021'!B:R,14,0),VLOOKUP(B88,'Netvolumenmål 2022'!B:R,14,0))</f>
        <v>0</v>
      </c>
      <c r="R88" s="121">
        <f>AVERAGE(VLOOKUP(B88,'Netvolumenmål 2021'!B:R,15,0),VLOOKUP(B88,'Netvolumenmål 2022'!B:R,15,0))</f>
        <v>25539386.684789497</v>
      </c>
      <c r="S88" s="225">
        <f>AVERAGE(VLOOKUP(B88,'Netvolumenmål 2021'!B:R,16,0),VLOOKUP(B88,'Netvolumenmål 2022'!B:R,16,0))</f>
        <v>54945700.352433071</v>
      </c>
      <c r="T88" s="18">
        <f>AVERAGE(VLOOKUP(B88,'Netvolumenmål 2021'!B:R,17,0),VLOOKUP(B88,'Netvolumenmål 2022'!B:R,17,0))</f>
        <v>80485087.037222564</v>
      </c>
      <c r="U88" s="98"/>
      <c r="V88" s="98"/>
      <c r="W88" s="120">
        <v>28.412790424895935</v>
      </c>
      <c r="X88" s="120">
        <v>2.5929372150487757E-2</v>
      </c>
      <c r="Y88" s="121">
        <v>25254320.112320781</v>
      </c>
      <c r="Z88" s="121">
        <v>24674952.223827593</v>
      </c>
      <c r="AA88" s="121">
        <v>80970553.077254176</v>
      </c>
      <c r="AB88" s="121">
        <v>59581311.495889358</v>
      </c>
      <c r="AC88" s="121">
        <v>25539386.684789497</v>
      </c>
      <c r="AD88" s="122">
        <v>54945700.352433071</v>
      </c>
      <c r="AE88" s="122">
        <v>80485087.037222564</v>
      </c>
      <c r="AF88" s="226"/>
      <c r="AG88" s="226"/>
      <c r="AH88" s="226"/>
      <c r="AI88" s="203"/>
    </row>
    <row r="89" spans="1:35" x14ac:dyDescent="0.25">
      <c r="A89" s="49" t="s">
        <v>191</v>
      </c>
      <c r="B89" s="202" t="s">
        <v>192</v>
      </c>
      <c r="C89" s="116">
        <f>AVERAGE('Netvolumenmål 2021'!C89,'Netvolumenmål 2022'!C89)</f>
        <v>33.175113112783642</v>
      </c>
      <c r="D89" s="116">
        <f>AVERAGE('Netvolumenmål 2021'!D89,'Netvolumenmål 2022'!D89)</f>
        <v>3.0696359224440705E-2</v>
      </c>
      <c r="E89" s="117">
        <f>AVERAGE('Netvolumenmål 2021'!E89,'Netvolumenmål 2022'!E89)</f>
        <v>53864271.461992651</v>
      </c>
      <c r="F89" s="118">
        <f t="shared" si="2"/>
        <v>54614986.079328761</v>
      </c>
      <c r="G89" s="117">
        <f>VLOOKUP(B89,'Costdrivere gns.'!B:AP,39,0)+VLOOKUP(B89,'Costdrivere gns.'!B:AP,40,0)+VLOOKUP(B89,'Costdrivere gns.'!B:AP,41,0)</f>
        <v>141649565.03842518</v>
      </c>
      <c r="H89" s="118">
        <f t="shared" si="3"/>
        <v>100802999.01357295</v>
      </c>
      <c r="I89" s="88">
        <f>AVERAGE('Netvolumenmål 2021'!G89,'Netvolumenmål 2022'!G89)</f>
        <v>47352084.076729</v>
      </c>
      <c r="J89" s="5">
        <f>AVERAGE('Netvolumenmål 2021'!H89,'Netvolumenmål 2022'!H89)</f>
        <v>86721832.276420802</v>
      </c>
      <c r="K89" s="119">
        <f>AVERAGE('Netvolumenmål 2021'!I89,'Netvolumenmål 2022'!I89)</f>
        <v>4046918.5</v>
      </c>
      <c r="L89" s="119">
        <f>AVERAGE('Netvolumenmål 2021'!J89,'Netvolumenmål 2022'!J89)</f>
        <v>26467355.058774732</v>
      </c>
      <c r="M89" s="58">
        <f>AVERAGE(VLOOKUP(B89,'Netvolumenmål 2021'!B:R,10,0),VLOOKUP(B89,'Netvolumenmål 2022'!B:R,10,0))</f>
        <v>117236105.83519553</v>
      </c>
      <c r="N89" s="88">
        <f>AVERAGE(VLOOKUP(B89,'Netvolumenmål 2021'!B:R,11,0),VLOOKUP(B89,'Netvolumenmål 2022'!B:R,11,0))</f>
        <v>164588189.91192454</v>
      </c>
      <c r="O89" s="88">
        <f>AVERAGE(VLOOKUP(B89,'Netvolumenmål 2021'!B:R,12,0),VLOOKUP(B89,'Netvolumenmål 2022'!B:R,12,0))</f>
        <v>0</v>
      </c>
      <c r="P89" s="98">
        <f>AVERAGE(VLOOKUP(B89,'Netvolumenmål 2021'!B:R,13,0),VLOOKUP(B89,'Netvolumenmål 2022'!B:R,13,0))</f>
        <v>0</v>
      </c>
      <c r="Q89" s="98">
        <f>AVERAGE(VLOOKUP(B89,'Netvolumenmål 2021'!B:R,14,0),VLOOKUP(B89,'Netvolumenmål 2022'!B:R,14,0))</f>
        <v>0</v>
      </c>
      <c r="R89" s="121">
        <f>AVERAGE(VLOOKUP(B89,'Netvolumenmål 2021'!B:R,15,0),VLOOKUP(B89,'Netvolumenmål 2022'!B:R,15,0))</f>
        <v>47352084.076729</v>
      </c>
      <c r="S89" s="225">
        <f>AVERAGE(VLOOKUP(B89,'Netvolumenmål 2021'!B:R,16,0),VLOOKUP(B89,'Netvolumenmål 2022'!B:R,16,0))</f>
        <v>117236105.83519553</v>
      </c>
      <c r="T89" s="18">
        <f>AVERAGE(VLOOKUP(B89,'Netvolumenmål 2021'!B:R,17,0),VLOOKUP(B89,'Netvolumenmål 2022'!B:R,17,0))</f>
        <v>164588189.91192454</v>
      </c>
      <c r="U89" s="98"/>
      <c r="V89" s="98"/>
      <c r="W89" s="120">
        <v>33.175113112783642</v>
      </c>
      <c r="X89" s="120">
        <v>3.0696359224440705E-2</v>
      </c>
      <c r="Y89" s="121">
        <v>53864271.461992651</v>
      </c>
      <c r="Z89" s="121">
        <v>54614986.079328761</v>
      </c>
      <c r="AA89" s="121">
        <v>141649565.03842518</v>
      </c>
      <c r="AB89" s="121">
        <v>100802999.01357295</v>
      </c>
      <c r="AC89" s="121">
        <v>47352084.076729</v>
      </c>
      <c r="AD89" s="122">
        <v>117236105.83519553</v>
      </c>
      <c r="AE89" s="122">
        <v>164588189.91192454</v>
      </c>
      <c r="AF89" s="226"/>
      <c r="AG89" s="226"/>
      <c r="AH89" s="226"/>
      <c r="AI89" s="203"/>
    </row>
    <row r="90" spans="1:35" x14ac:dyDescent="0.25">
      <c r="A90" s="49" t="s">
        <v>193</v>
      </c>
      <c r="B90" s="202" t="s">
        <v>194</v>
      </c>
      <c r="C90" s="116">
        <f>AVERAGE('Netvolumenmål 2021'!C90,'Netvolumenmål 2022'!C90)</f>
        <v>22.599199342387713</v>
      </c>
      <c r="D90" s="116">
        <f>AVERAGE('Netvolumenmål 2021'!D90,'Netvolumenmål 2022'!D90)</f>
        <v>0</v>
      </c>
      <c r="E90" s="117">
        <f>AVERAGE('Netvolumenmål 2021'!E90,'Netvolumenmål 2022'!E90)</f>
        <v>27348532.817401577</v>
      </c>
      <c r="F90" s="118">
        <f t="shared" si="2"/>
        <v>24308713.888998318</v>
      </c>
      <c r="G90" s="117">
        <f>VLOOKUP(B90,'Costdrivere gns.'!B:AP,39,0)+VLOOKUP(B90,'Costdrivere gns.'!B:AP,40,0)+VLOOKUP(B90,'Costdrivere gns.'!B:AP,41,0)</f>
        <v>29308996.314856905</v>
      </c>
      <c r="H90" s="118">
        <f t="shared" si="3"/>
        <v>22269042.562320247</v>
      </c>
      <c r="I90" s="88">
        <f>AVERAGE('Netvolumenmål 2021'!G90,'Netvolumenmål 2022'!G90)</f>
        <v>21774125.377350003</v>
      </c>
      <c r="J90" s="5">
        <f>AVERAGE('Netvolumenmål 2021'!H90,'Netvolumenmål 2022'!H90)</f>
        <v>8718506.2259247843</v>
      </c>
      <c r="K90" s="119">
        <f>AVERAGE('Netvolumenmål 2021'!I90,'Netvolumenmål 2022'!I90)</f>
        <v>774518.12034999998</v>
      </c>
      <c r="L90" s="119">
        <f>AVERAGE('Netvolumenmål 2021'!J90,'Netvolumenmål 2022'!J90)</f>
        <v>5020024.5480619743</v>
      </c>
      <c r="M90" s="58">
        <f>AVERAGE(VLOOKUP(B90,'Netvolumenmål 2021'!B:R,10,0),VLOOKUP(B90,'Netvolumenmål 2022'!B:R,10,0))</f>
        <v>14513048.894336758</v>
      </c>
      <c r="N90" s="88">
        <f>AVERAGE(VLOOKUP(B90,'Netvolumenmål 2021'!B:R,11,0),VLOOKUP(B90,'Netvolumenmål 2022'!B:R,11,0))</f>
        <v>36287174.271686763</v>
      </c>
      <c r="O90" s="88">
        <f>AVERAGE(VLOOKUP(B90,'Netvolumenmål 2021'!B:R,12,0),VLOOKUP(B90,'Netvolumenmål 2022'!B:R,12,0))</f>
        <v>396967.51146647567</v>
      </c>
      <c r="P90" s="98">
        <f>AVERAGE(VLOOKUP(B90,'Netvolumenmål 2021'!B:R,13,0),VLOOKUP(B90,'Netvolumenmål 2022'!B:R,13,0))</f>
        <v>0</v>
      </c>
      <c r="Q90" s="98">
        <f>AVERAGE(VLOOKUP(B90,'Netvolumenmål 2021'!B:R,14,0),VLOOKUP(B90,'Netvolumenmål 2022'!B:R,14,0))</f>
        <v>0</v>
      </c>
      <c r="R90" s="121">
        <f>AVERAGE(VLOOKUP(B90,'Netvolumenmål 2021'!B:R,15,0),VLOOKUP(B90,'Netvolumenmål 2022'!B:R,15,0))</f>
        <v>21774125.377350003</v>
      </c>
      <c r="S90" s="225">
        <f>AVERAGE(VLOOKUP(B90,'Netvolumenmål 2021'!B:R,16,0),VLOOKUP(B90,'Netvolumenmål 2022'!B:R,16,0))</f>
        <v>14116081.382870283</v>
      </c>
      <c r="T90" s="18">
        <f>AVERAGE(VLOOKUP(B90,'Netvolumenmål 2021'!B:R,17,0),VLOOKUP(B90,'Netvolumenmål 2022'!B:R,17,0))</f>
        <v>35890206.760220289</v>
      </c>
      <c r="U90" s="98"/>
      <c r="V90" s="98"/>
      <c r="W90" s="120">
        <v>22.599199342387713</v>
      </c>
      <c r="X90" s="120">
        <v>0</v>
      </c>
      <c r="Y90" s="121">
        <v>27348532.817401577</v>
      </c>
      <c r="Z90" s="121">
        <v>24308713.888998318</v>
      </c>
      <c r="AA90" s="121">
        <v>29308996.314856905</v>
      </c>
      <c r="AB90" s="121">
        <v>22269042.562320247</v>
      </c>
      <c r="AC90" s="121">
        <v>21774125.377350003</v>
      </c>
      <c r="AD90" s="122">
        <v>14116081.382870283</v>
      </c>
      <c r="AE90" s="122">
        <v>35890206.760220289</v>
      </c>
      <c r="AF90" s="226"/>
      <c r="AG90" s="226"/>
      <c r="AH90" s="226"/>
      <c r="AI90" s="203"/>
    </row>
    <row r="91" spans="1:35" x14ac:dyDescent="0.25">
      <c r="A91" s="49" t="s">
        <v>195</v>
      </c>
      <c r="B91" s="202" t="s">
        <v>196</v>
      </c>
      <c r="C91" s="116">
        <f>AVERAGE('Netvolumenmål 2021'!C91,'Netvolumenmål 2022'!C91)</f>
        <v>35.471287810499824</v>
      </c>
      <c r="D91" s="116">
        <f>AVERAGE('Netvolumenmål 2021'!D91,'Netvolumenmål 2022'!D91)</f>
        <v>2.7107648808767277E-2</v>
      </c>
      <c r="E91" s="117">
        <f>AVERAGE('Netvolumenmål 2021'!E91,'Netvolumenmål 2022'!E91)</f>
        <v>13721781.015044609</v>
      </c>
      <c r="F91" s="118">
        <f t="shared" si="2"/>
        <v>13983516.871221846</v>
      </c>
      <c r="G91" s="117">
        <f>VLOOKUP(B91,'Costdrivere gns.'!B:AP,39,0)+VLOOKUP(B91,'Costdrivere gns.'!B:AP,40,0)+VLOOKUP(B91,'Costdrivere gns.'!B:AP,41,0)</f>
        <v>96278496.939999983</v>
      </c>
      <c r="H91" s="118">
        <f t="shared" si="3"/>
        <v>67234431.470948264</v>
      </c>
      <c r="I91" s="88">
        <f>AVERAGE('Netvolumenmål 2021'!G91,'Netvolumenmål 2022'!G91)</f>
        <v>16028078.65755</v>
      </c>
      <c r="J91" s="5">
        <f>AVERAGE('Netvolumenmål 2021'!H91,'Netvolumenmål 2022'!H91)</f>
        <v>42388670.62997169</v>
      </c>
      <c r="K91" s="119">
        <f>AVERAGE('Netvolumenmål 2021'!I91,'Netvolumenmål 2022'!I91)</f>
        <v>2738497.923</v>
      </c>
      <c r="L91" s="119">
        <f>AVERAGE('Netvolumenmål 2021'!J91,'Netvolumenmål 2022'!J91)</f>
        <v>7575527.0640911628</v>
      </c>
      <c r="M91" s="58">
        <f>AVERAGE(VLOOKUP(B91,'Netvolumenmål 2021'!B:R,10,0),VLOOKUP(B91,'Netvolumenmål 2022'!B:R,10,0))</f>
        <v>52702695.617062852</v>
      </c>
      <c r="N91" s="88">
        <f>AVERAGE(VLOOKUP(B91,'Netvolumenmål 2021'!B:R,11,0),VLOOKUP(B91,'Netvolumenmål 2022'!B:R,11,0))</f>
        <v>68730774.274612844</v>
      </c>
      <c r="O91" s="88">
        <f>AVERAGE(VLOOKUP(B91,'Netvolumenmål 2021'!B:R,12,0),VLOOKUP(B91,'Netvolumenmål 2022'!B:R,12,0))</f>
        <v>0</v>
      </c>
      <c r="P91" s="98">
        <f>AVERAGE(VLOOKUP(B91,'Netvolumenmål 2021'!B:R,13,0),VLOOKUP(B91,'Netvolumenmål 2022'!B:R,13,0))</f>
        <v>0</v>
      </c>
      <c r="Q91" s="98">
        <f>AVERAGE(VLOOKUP(B91,'Netvolumenmål 2021'!B:R,14,0),VLOOKUP(B91,'Netvolumenmål 2022'!B:R,14,0))</f>
        <v>0</v>
      </c>
      <c r="R91" s="121">
        <f>AVERAGE(VLOOKUP(B91,'Netvolumenmål 2021'!B:R,15,0),VLOOKUP(B91,'Netvolumenmål 2022'!B:R,15,0))</f>
        <v>16028078.65755</v>
      </c>
      <c r="S91" s="225">
        <f>AVERAGE(VLOOKUP(B91,'Netvolumenmål 2021'!B:R,16,0),VLOOKUP(B91,'Netvolumenmål 2022'!B:R,16,0))</f>
        <v>52702695.617062852</v>
      </c>
      <c r="T91" s="18">
        <f>AVERAGE(VLOOKUP(B91,'Netvolumenmål 2021'!B:R,17,0),VLOOKUP(B91,'Netvolumenmål 2022'!B:R,17,0))</f>
        <v>68730774.274612844</v>
      </c>
      <c r="U91" s="98"/>
      <c r="V91" s="98"/>
      <c r="W91" s="120">
        <v>35.471287810499824</v>
      </c>
      <c r="X91" s="120">
        <v>2.7107648808767277E-2</v>
      </c>
      <c r="Y91" s="121">
        <v>13721781.015044609</v>
      </c>
      <c r="Z91" s="121">
        <v>13983516.871221846</v>
      </c>
      <c r="AA91" s="121">
        <v>96278496.939999983</v>
      </c>
      <c r="AB91" s="121">
        <v>67234431.470948264</v>
      </c>
      <c r="AC91" s="121">
        <v>16028078.65755</v>
      </c>
      <c r="AD91" s="122">
        <v>52702695.617062852</v>
      </c>
      <c r="AE91" s="122">
        <v>68730774.274612844</v>
      </c>
      <c r="AF91" s="226"/>
      <c r="AG91" s="226"/>
      <c r="AH91" s="226"/>
      <c r="AI91" s="203"/>
    </row>
    <row r="92" spans="1:35" x14ac:dyDescent="0.25">
      <c r="A92" s="49" t="s">
        <v>197</v>
      </c>
      <c r="B92" s="202" t="s">
        <v>198</v>
      </c>
      <c r="C92" s="116">
        <f>AVERAGE('Netvolumenmål 2021'!C92,'Netvolumenmål 2022'!C92)</f>
        <v>36.080011003621706</v>
      </c>
      <c r="D92" s="116">
        <f>AVERAGE('Netvolumenmål 2021'!D92,'Netvolumenmål 2022'!D92)</f>
        <v>2.8720982509566645E-2</v>
      </c>
      <c r="E92" s="117">
        <f>AVERAGE('Netvolumenmål 2021'!E92,'Netvolumenmål 2022'!E92)</f>
        <v>28719522.236151107</v>
      </c>
      <c r="F92" s="118">
        <f t="shared" si="2"/>
        <v>29464639.777760513</v>
      </c>
      <c r="G92" s="117">
        <f>VLOOKUP(B92,'Costdrivere gns.'!B:AP,39,0)+VLOOKUP(B92,'Costdrivere gns.'!B:AP,40,0)+VLOOKUP(B92,'Costdrivere gns.'!B:AP,41,0)</f>
        <v>117120510.34659715</v>
      </c>
      <c r="H92" s="118">
        <f t="shared" si="3"/>
        <v>81459409.613400713</v>
      </c>
      <c r="I92" s="88">
        <f>AVERAGE('Netvolumenmål 2021'!G92,'Netvolumenmål 2022'!G92)</f>
        <v>33367089.479650002</v>
      </c>
      <c r="J92" s="5">
        <f>AVERAGE('Netvolumenmål 2021'!H92,'Netvolumenmål 2022'!H92)</f>
        <v>43734021.218640327</v>
      </c>
      <c r="K92" s="119">
        <f>AVERAGE('Netvolumenmål 2021'!I92,'Netvolumenmål 2022'!I92)</f>
        <v>2949188.5986500001</v>
      </c>
      <c r="L92" s="119">
        <f>AVERAGE('Netvolumenmål 2021'!J92,'Netvolumenmål 2022'!J92)</f>
        <v>8744525.7469055671</v>
      </c>
      <c r="M92" s="58">
        <f>AVERAGE(VLOOKUP(B92,'Netvolumenmål 2021'!B:R,10,0),VLOOKUP(B92,'Netvolumenmål 2022'!B:R,10,0))</f>
        <v>55427735.564195901</v>
      </c>
      <c r="N92" s="88">
        <f>AVERAGE(VLOOKUP(B92,'Netvolumenmål 2021'!B:R,11,0),VLOOKUP(B92,'Netvolumenmål 2022'!B:R,11,0))</f>
        <v>88794825.043845892</v>
      </c>
      <c r="O92" s="88">
        <f>AVERAGE(VLOOKUP(B92,'Netvolumenmål 2021'!B:R,12,0),VLOOKUP(B92,'Netvolumenmål 2022'!B:R,12,0))</f>
        <v>14930.115645660488</v>
      </c>
      <c r="P92" s="98">
        <f>AVERAGE(VLOOKUP(B92,'Netvolumenmål 2021'!B:R,13,0),VLOOKUP(B92,'Netvolumenmål 2022'!B:R,13,0))</f>
        <v>0</v>
      </c>
      <c r="Q92" s="98">
        <f>AVERAGE(VLOOKUP(B92,'Netvolumenmål 2021'!B:R,14,0),VLOOKUP(B92,'Netvolumenmål 2022'!B:R,14,0))</f>
        <v>0</v>
      </c>
      <c r="R92" s="121">
        <f>AVERAGE(VLOOKUP(B92,'Netvolumenmål 2021'!B:R,15,0),VLOOKUP(B92,'Netvolumenmål 2022'!B:R,15,0))</f>
        <v>33367089.479650002</v>
      </c>
      <c r="S92" s="225">
        <f>AVERAGE(VLOOKUP(B92,'Netvolumenmål 2021'!B:R,16,0),VLOOKUP(B92,'Netvolumenmål 2022'!B:R,16,0))</f>
        <v>55412805.448550239</v>
      </c>
      <c r="T92" s="18">
        <f>AVERAGE(VLOOKUP(B92,'Netvolumenmål 2021'!B:R,17,0),VLOOKUP(B92,'Netvolumenmål 2022'!B:R,17,0))</f>
        <v>88779894.928200245</v>
      </c>
      <c r="U92" s="98"/>
      <c r="V92" s="98"/>
      <c r="W92" s="120">
        <v>36.080011003621706</v>
      </c>
      <c r="X92" s="120">
        <v>2.8720982509566645E-2</v>
      </c>
      <c r="Y92" s="121">
        <v>28719522.236151107</v>
      </c>
      <c r="Z92" s="121">
        <v>29464639.777760513</v>
      </c>
      <c r="AA92" s="121">
        <v>117120510.34659715</v>
      </c>
      <c r="AB92" s="121">
        <v>81459409.613400713</v>
      </c>
      <c r="AC92" s="121">
        <v>33367089.479650002</v>
      </c>
      <c r="AD92" s="122">
        <v>55412805.448550239</v>
      </c>
      <c r="AE92" s="122">
        <v>88779894.928200245</v>
      </c>
      <c r="AF92" s="226"/>
      <c r="AG92" s="226"/>
      <c r="AH92" s="226"/>
      <c r="AI92" s="203"/>
    </row>
    <row r="93" spans="1:35" x14ac:dyDescent="0.25">
      <c r="A93" s="49" t="s">
        <v>199</v>
      </c>
      <c r="B93" s="202" t="s">
        <v>200</v>
      </c>
      <c r="C93" s="116">
        <f>AVERAGE('Netvolumenmål 2021'!C93,'Netvolumenmål 2022'!C93)</f>
        <v>35.949571017211987</v>
      </c>
      <c r="D93" s="116">
        <f>AVERAGE('Netvolumenmål 2021'!D93,'Netvolumenmål 2022'!D93)</f>
        <v>5.632549019607843E-2</v>
      </c>
      <c r="E93" s="117">
        <f>AVERAGE('Netvolumenmål 2021'!E93,'Netvolumenmål 2022'!E93)</f>
        <v>19532678.125926577</v>
      </c>
      <c r="F93" s="118">
        <f t="shared" si="2"/>
        <v>21183211.998834882</v>
      </c>
      <c r="G93" s="117">
        <f>VLOOKUP(B93,'Costdrivere gns.'!B:AP,39,0)+VLOOKUP(B93,'Costdrivere gns.'!B:AP,40,0)+VLOOKUP(B93,'Costdrivere gns.'!B:AP,41,0)</f>
        <v>48335906.530651249</v>
      </c>
      <c r="H93" s="118">
        <f t="shared" si="3"/>
        <v>34022671.177245125</v>
      </c>
      <c r="I93" s="88">
        <f>AVERAGE('Netvolumenmål 2021'!G93,'Netvolumenmål 2022'!G93)</f>
        <v>22507532.125799999</v>
      </c>
      <c r="J93" s="5">
        <f>AVERAGE('Netvolumenmål 2021'!H93,'Netvolumenmål 2022'!H93)</f>
        <v>17565058.952619169</v>
      </c>
      <c r="K93" s="119">
        <f>AVERAGE('Netvolumenmål 2021'!I93,'Netvolumenmål 2022'!I93)</f>
        <v>2442171.9441</v>
      </c>
      <c r="L93" s="119">
        <f>AVERAGE('Netvolumenmål 2021'!J93,'Netvolumenmål 2022'!J93)</f>
        <v>12680612.613164933</v>
      </c>
      <c r="M93" s="58">
        <f>AVERAGE(VLOOKUP(B93,'Netvolumenmål 2021'!B:R,10,0),VLOOKUP(B93,'Netvolumenmål 2022'!B:R,10,0))</f>
        <v>32687843.509884104</v>
      </c>
      <c r="N93" s="88">
        <f>AVERAGE(VLOOKUP(B93,'Netvolumenmål 2021'!B:R,11,0),VLOOKUP(B93,'Netvolumenmål 2022'!B:R,11,0))</f>
        <v>55195375.635684103</v>
      </c>
      <c r="O93" s="88">
        <f>AVERAGE(VLOOKUP(B93,'Netvolumenmål 2021'!B:R,12,0),VLOOKUP(B93,'Netvolumenmål 2022'!B:R,12,0))</f>
        <v>0</v>
      </c>
      <c r="P93" s="98">
        <f>AVERAGE(VLOOKUP(B93,'Netvolumenmål 2021'!B:R,13,0),VLOOKUP(B93,'Netvolumenmål 2022'!B:R,13,0))</f>
        <v>0</v>
      </c>
      <c r="Q93" s="98">
        <f>AVERAGE(VLOOKUP(B93,'Netvolumenmål 2021'!B:R,14,0),VLOOKUP(B93,'Netvolumenmål 2022'!B:R,14,0))</f>
        <v>0</v>
      </c>
      <c r="R93" s="121">
        <f>AVERAGE(VLOOKUP(B93,'Netvolumenmål 2021'!B:R,15,0),VLOOKUP(B93,'Netvolumenmål 2022'!B:R,15,0))</f>
        <v>22507532.125799999</v>
      </c>
      <c r="S93" s="225">
        <f>AVERAGE(VLOOKUP(B93,'Netvolumenmål 2021'!B:R,16,0),VLOOKUP(B93,'Netvolumenmål 2022'!B:R,16,0))</f>
        <v>32687843.509884104</v>
      </c>
      <c r="T93" s="18">
        <f>AVERAGE(VLOOKUP(B93,'Netvolumenmål 2021'!B:R,17,0),VLOOKUP(B93,'Netvolumenmål 2022'!B:R,17,0))</f>
        <v>55195375.635684103</v>
      </c>
      <c r="U93" s="98"/>
      <c r="V93" s="98"/>
      <c r="W93" s="120">
        <v>35.949571017211987</v>
      </c>
      <c r="X93" s="120">
        <v>5.632549019607843E-2</v>
      </c>
      <c r="Y93" s="121">
        <v>19532678.125926577</v>
      </c>
      <c r="Z93" s="121">
        <v>21183211.998834882</v>
      </c>
      <c r="AA93" s="121">
        <v>47314426.173339061</v>
      </c>
      <c r="AB93" s="121">
        <v>33303671.725175075</v>
      </c>
      <c r="AC93" s="121">
        <v>22507532.125799999</v>
      </c>
      <c r="AD93" s="122">
        <v>32687843.509884104</v>
      </c>
      <c r="AE93" s="122">
        <v>55195375.635684103</v>
      </c>
      <c r="AF93" s="226"/>
      <c r="AG93" s="226"/>
      <c r="AH93" s="226"/>
      <c r="AI93" s="203"/>
    </row>
    <row r="94" spans="1:35" x14ac:dyDescent="0.25">
      <c r="A94" s="49" t="s">
        <v>201</v>
      </c>
      <c r="B94" s="202" t="s">
        <v>202</v>
      </c>
      <c r="C94" s="116">
        <f>AVERAGE('Netvolumenmål 2021'!C94,'Netvolumenmål 2022'!C94)</f>
        <v>33.837579336585819</v>
      </c>
      <c r="D94" s="116">
        <f>AVERAGE('Netvolumenmål 2021'!D94,'Netvolumenmål 2022'!D94)</f>
        <v>6.6049855029807397E-2</v>
      </c>
      <c r="E94" s="117">
        <f>AVERAGE('Netvolumenmål 2021'!E94,'Netvolumenmål 2022'!E94)</f>
        <v>117164706.3003753</v>
      </c>
      <c r="F94" s="118">
        <f t="shared" si="2"/>
        <v>128128006.16505593</v>
      </c>
      <c r="G94" s="117">
        <f>VLOOKUP(B94,'Costdrivere gns.'!B:AP,39,0)+VLOOKUP(B94,'Costdrivere gns.'!B:AP,40,0)+VLOOKUP(B94,'Costdrivere gns.'!B:AP,41,0)</f>
        <v>334974389.24164867</v>
      </c>
      <c r="H94" s="118">
        <f t="shared" si="3"/>
        <v>240477964.02271745</v>
      </c>
      <c r="I94" s="88">
        <f>AVERAGE('Netvolumenmål 2021'!G94,'Netvolumenmål 2022'!G94)</f>
        <v>120250994.19845</v>
      </c>
      <c r="J94" s="5">
        <f>AVERAGE('Netvolumenmål 2021'!H94,'Netvolumenmål 2022'!H94)</f>
        <v>164934406.78182906</v>
      </c>
      <c r="K94" s="119">
        <f>AVERAGE('Netvolumenmål 2021'!I94,'Netvolumenmål 2022'!I94)</f>
        <v>9625787.0351999998</v>
      </c>
      <c r="L94" s="119">
        <f>AVERAGE('Netvolumenmål 2021'!J94,'Netvolumenmål 2022'!J94)</f>
        <v>72256093.827598482</v>
      </c>
      <c r="M94" s="58">
        <f>AVERAGE(VLOOKUP(B94,'Netvolumenmål 2021'!B:R,10,0),VLOOKUP(B94,'Netvolumenmål 2022'!B:R,10,0))</f>
        <v>246816287.64462757</v>
      </c>
      <c r="N94" s="88">
        <f>AVERAGE(VLOOKUP(B94,'Netvolumenmål 2021'!B:R,11,0),VLOOKUP(B94,'Netvolumenmål 2022'!B:R,11,0))</f>
        <v>367067281.84307754</v>
      </c>
      <c r="O94" s="88">
        <f>AVERAGE(VLOOKUP(B94,'Netvolumenmål 2021'!B:R,12,0),VLOOKUP(B94,'Netvolumenmål 2022'!B:R,12,0))</f>
        <v>0</v>
      </c>
      <c r="P94" s="98">
        <f>AVERAGE(VLOOKUP(B94,'Netvolumenmål 2021'!B:R,13,0),VLOOKUP(B94,'Netvolumenmål 2022'!B:R,13,0))</f>
        <v>0</v>
      </c>
      <c r="Q94" s="98">
        <f>AVERAGE(VLOOKUP(B94,'Netvolumenmål 2021'!B:R,14,0),VLOOKUP(B94,'Netvolumenmål 2022'!B:R,14,0))</f>
        <v>0</v>
      </c>
      <c r="R94" s="121">
        <f>AVERAGE(VLOOKUP(B94,'Netvolumenmål 2021'!B:R,15,0),VLOOKUP(B94,'Netvolumenmål 2022'!B:R,15,0))</f>
        <v>120250994.19845</v>
      </c>
      <c r="S94" s="225">
        <f>AVERAGE(VLOOKUP(B94,'Netvolumenmål 2021'!B:R,16,0),VLOOKUP(B94,'Netvolumenmål 2022'!B:R,16,0))</f>
        <v>246816287.64462757</v>
      </c>
      <c r="T94" s="18">
        <f>AVERAGE(VLOOKUP(B94,'Netvolumenmål 2021'!B:R,17,0),VLOOKUP(B94,'Netvolumenmål 2022'!B:R,17,0))</f>
        <v>367067281.84307754</v>
      </c>
      <c r="U94" s="98"/>
      <c r="V94" s="98"/>
      <c r="W94" s="120">
        <v>33.837579336585819</v>
      </c>
      <c r="X94" s="120">
        <v>6.6049855029807397E-2</v>
      </c>
      <c r="Y94" s="121">
        <v>117164706.3003753</v>
      </c>
      <c r="Z94" s="121">
        <v>128128006.16505593</v>
      </c>
      <c r="AA94" s="121">
        <v>334974389.24164867</v>
      </c>
      <c r="AB94" s="121">
        <v>240477964.02271745</v>
      </c>
      <c r="AC94" s="121">
        <v>120250994.19845</v>
      </c>
      <c r="AD94" s="122">
        <v>246816287.64462757</v>
      </c>
      <c r="AE94" s="122">
        <v>367067281.84307754</v>
      </c>
      <c r="AF94" s="226"/>
      <c r="AG94" s="226"/>
      <c r="AH94" s="226"/>
      <c r="AI94" s="203"/>
    </row>
    <row r="95" spans="1:35" x14ac:dyDescent="0.25">
      <c r="A95" s="49" t="s">
        <v>203</v>
      </c>
      <c r="B95" s="202" t="s">
        <v>204</v>
      </c>
      <c r="C95" s="116">
        <f>AVERAGE('Netvolumenmål 2021'!C95,'Netvolumenmål 2022'!C95)</f>
        <v>18.774899043184668</v>
      </c>
      <c r="D95" s="116">
        <f>AVERAGE('Netvolumenmål 2021'!D95,'Netvolumenmål 2022'!D95)</f>
        <v>0</v>
      </c>
      <c r="E95" s="117">
        <f>AVERAGE('Netvolumenmål 2021'!E95,'Netvolumenmål 2022'!E95)</f>
        <v>14884325.955669602</v>
      </c>
      <c r="F95" s="118">
        <f t="shared" si="2"/>
        <v>12911494.659756238</v>
      </c>
      <c r="G95" s="117">
        <f>VLOOKUP(B95,'Costdrivere gns.'!B:AP,39,0)+VLOOKUP(B95,'Costdrivere gns.'!B:AP,40,0)+VLOOKUP(B95,'Costdrivere gns.'!B:AP,41,0)</f>
        <v>12254281.135074895</v>
      </c>
      <c r="H95" s="118">
        <f t="shared" si="3"/>
        <v>9562022.2008400802</v>
      </c>
      <c r="I95" s="88">
        <f>AVERAGE('Netvolumenmål 2021'!G95,'Netvolumenmål 2022'!G95)</f>
        <v>11703221.735800002</v>
      </c>
      <c r="J95" s="5">
        <f>AVERAGE('Netvolumenmål 2021'!H95,'Netvolumenmål 2022'!H95)</f>
        <v>4666990.1314122193</v>
      </c>
      <c r="K95" s="119">
        <f>AVERAGE('Netvolumenmål 2021'!I95,'Netvolumenmål 2022'!I95)</f>
        <v>574469.85089999996</v>
      </c>
      <c r="L95" s="119">
        <f>AVERAGE('Netvolumenmål 2021'!J95,'Netvolumenmål 2022'!J95)</f>
        <v>3709035.1127589582</v>
      </c>
      <c r="M95" s="58">
        <f>AVERAGE(VLOOKUP(B95,'Netvolumenmål 2021'!B:R,10,0),VLOOKUP(B95,'Netvolumenmål 2022'!B:R,10,0))</f>
        <v>8950495.0950711779</v>
      </c>
      <c r="N95" s="88">
        <f>AVERAGE(VLOOKUP(B95,'Netvolumenmål 2021'!B:R,11,0),VLOOKUP(B95,'Netvolumenmål 2022'!B:R,11,0))</f>
        <v>20653716.83087118</v>
      </c>
      <c r="O95" s="88">
        <f>AVERAGE(VLOOKUP(B95,'Netvolumenmål 2021'!B:R,12,0),VLOOKUP(B95,'Netvolumenmål 2022'!B:R,12,0))</f>
        <v>0</v>
      </c>
      <c r="P95" s="98">
        <f>AVERAGE(VLOOKUP(B95,'Netvolumenmål 2021'!B:R,13,0),VLOOKUP(B95,'Netvolumenmål 2022'!B:R,13,0))</f>
        <v>0</v>
      </c>
      <c r="Q95" s="98">
        <f>AVERAGE(VLOOKUP(B95,'Netvolumenmål 2021'!B:R,14,0),VLOOKUP(B95,'Netvolumenmål 2022'!B:R,14,0))</f>
        <v>0</v>
      </c>
      <c r="R95" s="121">
        <f>AVERAGE(VLOOKUP(B95,'Netvolumenmål 2021'!B:R,15,0),VLOOKUP(B95,'Netvolumenmål 2022'!B:R,15,0))</f>
        <v>11703221.735800002</v>
      </c>
      <c r="S95" s="225">
        <f>AVERAGE(VLOOKUP(B95,'Netvolumenmål 2021'!B:R,16,0),VLOOKUP(B95,'Netvolumenmål 2022'!B:R,16,0))</f>
        <v>8950495.0950711779</v>
      </c>
      <c r="T95" s="18">
        <f>AVERAGE(VLOOKUP(B95,'Netvolumenmål 2021'!B:R,17,0),VLOOKUP(B95,'Netvolumenmål 2022'!B:R,17,0))</f>
        <v>20653716.83087118</v>
      </c>
      <c r="U95" s="98"/>
      <c r="V95" s="98"/>
      <c r="W95" s="120">
        <v>18.774899043184668</v>
      </c>
      <c r="X95" s="120">
        <v>0</v>
      </c>
      <c r="Y95" s="121">
        <v>14884325.955669602</v>
      </c>
      <c r="Z95" s="121">
        <v>12911494.659756238</v>
      </c>
      <c r="AA95" s="121">
        <v>12254281.135074895</v>
      </c>
      <c r="AB95" s="121">
        <v>9562022.2008400802</v>
      </c>
      <c r="AC95" s="121">
        <v>11703221.735800002</v>
      </c>
      <c r="AD95" s="122">
        <v>8950495.0950711779</v>
      </c>
      <c r="AE95" s="122">
        <v>20653716.83087118</v>
      </c>
      <c r="AF95" s="226"/>
      <c r="AG95" s="226"/>
      <c r="AH95" s="226"/>
      <c r="AI95" s="203"/>
    </row>
    <row r="96" spans="1:35" x14ac:dyDescent="0.25">
      <c r="A96" s="49" t="s">
        <v>205</v>
      </c>
      <c r="B96" s="202" t="s">
        <v>206</v>
      </c>
      <c r="C96" s="116">
        <f>AVERAGE('Netvolumenmål 2021'!C96,'Netvolumenmål 2022'!C96)</f>
        <v>33.256627797516259</v>
      </c>
      <c r="D96" s="116">
        <f>AVERAGE('Netvolumenmål 2021'!D96,'Netvolumenmål 2022'!D96)</f>
        <v>2.667379668407148E-2</v>
      </c>
      <c r="E96" s="117">
        <f>AVERAGE('Netvolumenmål 2021'!E96,'Netvolumenmål 2022'!E96)</f>
        <v>10870415.091338992</v>
      </c>
      <c r="F96" s="118">
        <f t="shared" si="2"/>
        <v>10932962.253568146</v>
      </c>
      <c r="G96" s="117">
        <f>VLOOKUP(B96,'Costdrivere gns.'!B:AP,39,0)+VLOOKUP(B96,'Costdrivere gns.'!B:AP,40,0)+VLOOKUP(B96,'Costdrivere gns.'!B:AP,41,0)</f>
        <v>85622064.094047353</v>
      </c>
      <c r="H96" s="118">
        <f t="shared" si="3"/>
        <v>60798766.50829152</v>
      </c>
      <c r="I96" s="88">
        <f>AVERAGE('Netvolumenmål 2021'!G96,'Netvolumenmål 2022'!G96)</f>
        <v>12572779.45215</v>
      </c>
      <c r="J96" s="5">
        <f>AVERAGE('Netvolumenmål 2021'!H96,'Netvolumenmål 2022'!H96)</f>
        <v>49394874.996036656</v>
      </c>
      <c r="K96" s="119">
        <f>AVERAGE('Netvolumenmål 2021'!I96,'Netvolumenmål 2022'!I96)</f>
        <v>914469.26885000011</v>
      </c>
      <c r="L96" s="119">
        <f>AVERAGE('Netvolumenmål 2021'!J96,'Netvolumenmål 2022'!J96)</f>
        <v>11655476.823835859</v>
      </c>
      <c r="M96" s="58">
        <f>AVERAGE(VLOOKUP(B96,'Netvolumenmål 2021'!B:R,10,0),VLOOKUP(B96,'Netvolumenmål 2022'!B:R,10,0))</f>
        <v>61964821.088722512</v>
      </c>
      <c r="N96" s="88">
        <f>AVERAGE(VLOOKUP(B96,'Netvolumenmål 2021'!B:R,11,0),VLOOKUP(B96,'Netvolumenmål 2022'!B:R,11,0))</f>
        <v>74537600.540872514</v>
      </c>
      <c r="O96" s="88">
        <f>AVERAGE(VLOOKUP(B96,'Netvolumenmål 2021'!B:R,12,0),VLOOKUP(B96,'Netvolumenmål 2022'!B:R,12,0))</f>
        <v>0</v>
      </c>
      <c r="P96" s="98">
        <f>AVERAGE(VLOOKUP(B96,'Netvolumenmål 2021'!B:R,13,0),VLOOKUP(B96,'Netvolumenmål 2022'!B:R,13,0))</f>
        <v>0</v>
      </c>
      <c r="Q96" s="98">
        <f>AVERAGE(VLOOKUP(B96,'Netvolumenmål 2021'!B:R,14,0),VLOOKUP(B96,'Netvolumenmål 2022'!B:R,14,0))</f>
        <v>0</v>
      </c>
      <c r="R96" s="121">
        <f>AVERAGE(VLOOKUP(B96,'Netvolumenmål 2021'!B:R,15,0),VLOOKUP(B96,'Netvolumenmål 2022'!B:R,15,0))</f>
        <v>12572779.45215</v>
      </c>
      <c r="S96" s="225">
        <f>AVERAGE(VLOOKUP(B96,'Netvolumenmål 2021'!B:R,16,0),VLOOKUP(B96,'Netvolumenmål 2022'!B:R,16,0))</f>
        <v>61964821.088722512</v>
      </c>
      <c r="T96" s="18">
        <f>AVERAGE(VLOOKUP(B96,'Netvolumenmål 2021'!B:R,17,0),VLOOKUP(B96,'Netvolumenmål 2022'!B:R,17,0))</f>
        <v>74537600.540872514</v>
      </c>
      <c r="U96" s="98"/>
      <c r="V96" s="98"/>
      <c r="W96" s="120">
        <v>33.256627797516259</v>
      </c>
      <c r="X96" s="120">
        <v>2.667379668407148E-2</v>
      </c>
      <c r="Y96" s="121">
        <v>10870415.091338992</v>
      </c>
      <c r="Z96" s="121">
        <v>10932962.253568146</v>
      </c>
      <c r="AA96" s="121">
        <v>85622064.094047353</v>
      </c>
      <c r="AB96" s="121">
        <v>60798766.50829152</v>
      </c>
      <c r="AC96" s="121">
        <v>12572779.45215</v>
      </c>
      <c r="AD96" s="122">
        <v>61964821.088722512</v>
      </c>
      <c r="AE96" s="122">
        <v>74537600.540872514</v>
      </c>
      <c r="AF96" s="226"/>
      <c r="AG96" s="226"/>
      <c r="AH96" s="226"/>
      <c r="AI96" s="203"/>
    </row>
    <row r="97" spans="1:35" x14ac:dyDescent="0.25">
      <c r="A97" s="49" t="s">
        <v>207</v>
      </c>
      <c r="B97" s="202" t="s">
        <v>208</v>
      </c>
      <c r="C97" s="116">
        <f>AVERAGE('Netvolumenmål 2021'!C97,'Netvolumenmål 2022'!C97)</f>
        <v>34.51411053731033</v>
      </c>
      <c r="D97" s="116">
        <f>AVERAGE('Netvolumenmål 2021'!D97,'Netvolumenmål 2022'!D97)</f>
        <v>3.5579947742170506E-2</v>
      </c>
      <c r="E97" s="117">
        <f>AVERAGE('Netvolumenmål 2021'!E97,'Netvolumenmål 2022'!E97)</f>
        <v>61749203.689809501</v>
      </c>
      <c r="F97" s="118">
        <f t="shared" si="2"/>
        <v>63719990.5406726</v>
      </c>
      <c r="G97" s="117">
        <f>VLOOKUP(B97,'Costdrivere gns.'!B:AP,39,0)+VLOOKUP(B97,'Costdrivere gns.'!B:AP,40,0)+VLOOKUP(B97,'Costdrivere gns.'!B:AP,41,0)</f>
        <v>241360160.98584154</v>
      </c>
      <c r="H97" s="118">
        <f t="shared" si="3"/>
        <v>170355649.0473628</v>
      </c>
      <c r="I97" s="88">
        <f>AVERAGE('Netvolumenmål 2021'!G97,'Netvolumenmål 2022'!G97)</f>
        <v>62662365.826550007</v>
      </c>
      <c r="J97" s="5">
        <f>AVERAGE('Netvolumenmål 2021'!H97,'Netvolumenmål 2022'!H97)</f>
        <v>105526515.41168213</v>
      </c>
      <c r="K97" s="119">
        <f>AVERAGE('Netvolumenmål 2021'!I97,'Netvolumenmål 2022'!I97)</f>
        <v>6315421.4238999998</v>
      </c>
      <c r="L97" s="119">
        <f>AVERAGE('Netvolumenmål 2021'!J97,'Netvolumenmål 2022'!J97)</f>
        <v>31925770.307263218</v>
      </c>
      <c r="M97" s="58">
        <f>AVERAGE(VLOOKUP(B97,'Netvolumenmål 2021'!B:R,10,0),VLOOKUP(B97,'Netvolumenmål 2022'!B:R,10,0))</f>
        <v>143767707.14284533</v>
      </c>
      <c r="N97" s="88">
        <f>AVERAGE(VLOOKUP(B97,'Netvolumenmål 2021'!B:R,11,0),VLOOKUP(B97,'Netvolumenmål 2022'!B:R,11,0))</f>
        <v>206430072.96939534</v>
      </c>
      <c r="O97" s="88">
        <f>AVERAGE(VLOOKUP(B97,'Netvolumenmål 2021'!B:R,12,0),VLOOKUP(B97,'Netvolumenmål 2022'!B:R,12,0))</f>
        <v>75739.968333333323</v>
      </c>
      <c r="P97" s="98">
        <f>AVERAGE(VLOOKUP(B97,'Netvolumenmål 2021'!B:R,13,0),VLOOKUP(B97,'Netvolumenmål 2022'!B:R,13,0))</f>
        <v>0</v>
      </c>
      <c r="Q97" s="98">
        <f>AVERAGE(VLOOKUP(B97,'Netvolumenmål 2021'!B:R,14,0),VLOOKUP(B97,'Netvolumenmål 2022'!B:R,14,0))</f>
        <v>0</v>
      </c>
      <c r="R97" s="121">
        <f>AVERAGE(VLOOKUP(B97,'Netvolumenmål 2021'!B:R,15,0),VLOOKUP(B97,'Netvolumenmål 2022'!B:R,15,0))</f>
        <v>62662365.826550007</v>
      </c>
      <c r="S97" s="225">
        <f>AVERAGE(VLOOKUP(B97,'Netvolumenmål 2021'!B:R,16,0),VLOOKUP(B97,'Netvolumenmål 2022'!B:R,16,0))</f>
        <v>143691967.17451203</v>
      </c>
      <c r="T97" s="18">
        <f>AVERAGE(VLOOKUP(B97,'Netvolumenmål 2021'!B:R,17,0),VLOOKUP(B97,'Netvolumenmål 2022'!B:R,17,0))</f>
        <v>206354333.00106204</v>
      </c>
      <c r="U97" s="98"/>
      <c r="V97" s="98"/>
      <c r="W97" s="120">
        <v>34.51411053731033</v>
      </c>
      <c r="X97" s="120">
        <v>3.5579947742170506E-2</v>
      </c>
      <c r="Y97" s="121">
        <v>61749203.689809501</v>
      </c>
      <c r="Z97" s="121">
        <v>63719990.5406726</v>
      </c>
      <c r="AA97" s="121">
        <v>241360160.98584154</v>
      </c>
      <c r="AB97" s="121">
        <v>170355649.0473628</v>
      </c>
      <c r="AC97" s="121">
        <v>62662365.826550007</v>
      </c>
      <c r="AD97" s="122">
        <v>143691967.17451203</v>
      </c>
      <c r="AE97" s="122">
        <v>206354333.00106204</v>
      </c>
      <c r="AF97" s="226"/>
      <c r="AG97" s="226"/>
      <c r="AH97" s="226"/>
      <c r="AI97" s="203"/>
    </row>
    <row r="98" spans="1:35" x14ac:dyDescent="0.25">
      <c r="A98" s="49" t="s">
        <v>209</v>
      </c>
      <c r="B98" s="202" t="s">
        <v>210</v>
      </c>
      <c r="C98" s="116">
        <f>AVERAGE('Netvolumenmål 2021'!C98,'Netvolumenmål 2022'!C98)</f>
        <v>35.134416799962253</v>
      </c>
      <c r="D98" s="116">
        <f>AVERAGE('Netvolumenmål 2021'!D98,'Netvolumenmål 2022'!D98)</f>
        <v>2.430367327204204E-2</v>
      </c>
      <c r="E98" s="117">
        <f>AVERAGE('Netvolumenmål 2021'!E98,'Netvolumenmål 2022'!E98)</f>
        <v>48102094.688988753</v>
      </c>
      <c r="F98" s="118">
        <f t="shared" si="2"/>
        <v>48639295.354925267</v>
      </c>
      <c r="G98" s="117">
        <f>VLOOKUP(B98,'Costdrivere gns.'!B:AP,39,0)+VLOOKUP(B98,'Costdrivere gns.'!B:AP,40,0)+VLOOKUP(B98,'Costdrivere gns.'!B:AP,41,0)</f>
        <v>146643744.81515256</v>
      </c>
      <c r="H98" s="118">
        <f t="shared" si="3"/>
        <v>102556777.5165842</v>
      </c>
      <c r="I98" s="88">
        <f>AVERAGE('Netvolumenmål 2021'!G98,'Netvolumenmål 2022'!G98)</f>
        <v>51003546.710306503</v>
      </c>
      <c r="J98" s="5">
        <f>AVERAGE('Netvolumenmål 2021'!H98,'Netvolumenmål 2022'!H98)</f>
        <v>63604382.404884517</v>
      </c>
      <c r="K98" s="119">
        <f>AVERAGE('Netvolumenmål 2021'!I98,'Netvolumenmål 2022'!I98)</f>
        <v>637407.05819250003</v>
      </c>
      <c r="L98" s="119">
        <f>AVERAGE('Netvolumenmål 2021'!J98,'Netvolumenmål 2022'!J98)</f>
        <v>17536715.15386752</v>
      </c>
      <c r="M98" s="58">
        <f>AVERAGE(VLOOKUP(B98,'Netvolumenmål 2021'!B:R,10,0),VLOOKUP(B98,'Netvolumenmål 2022'!B:R,10,0))</f>
        <v>81778504.616944551</v>
      </c>
      <c r="N98" s="88">
        <f>AVERAGE(VLOOKUP(B98,'Netvolumenmål 2021'!B:R,11,0),VLOOKUP(B98,'Netvolumenmål 2022'!B:R,11,0))</f>
        <v>132782051.32725105</v>
      </c>
      <c r="O98" s="88">
        <f>AVERAGE(VLOOKUP(B98,'Netvolumenmål 2021'!B:R,12,0),VLOOKUP(B98,'Netvolumenmål 2022'!B:R,12,0))</f>
        <v>0</v>
      </c>
      <c r="P98" s="98">
        <f>AVERAGE(VLOOKUP(B98,'Netvolumenmål 2021'!B:R,13,0),VLOOKUP(B98,'Netvolumenmål 2022'!B:R,13,0))</f>
        <v>0</v>
      </c>
      <c r="Q98" s="98">
        <f>AVERAGE(VLOOKUP(B98,'Netvolumenmål 2021'!B:R,14,0),VLOOKUP(B98,'Netvolumenmål 2022'!B:R,14,0))</f>
        <v>0</v>
      </c>
      <c r="R98" s="121">
        <f>AVERAGE(VLOOKUP(B98,'Netvolumenmål 2021'!B:R,15,0),VLOOKUP(B98,'Netvolumenmål 2022'!B:R,15,0))</f>
        <v>51003546.710306503</v>
      </c>
      <c r="S98" s="225">
        <f>AVERAGE(VLOOKUP(B98,'Netvolumenmål 2021'!B:R,16,0),VLOOKUP(B98,'Netvolumenmål 2022'!B:R,16,0))</f>
        <v>81778504.616944551</v>
      </c>
      <c r="T98" s="18">
        <f>AVERAGE(VLOOKUP(B98,'Netvolumenmål 2021'!B:R,17,0),VLOOKUP(B98,'Netvolumenmål 2022'!B:R,17,0))</f>
        <v>132782051.32725105</v>
      </c>
      <c r="U98" s="98"/>
      <c r="V98" s="98"/>
      <c r="W98" s="120">
        <v>35.134416799962253</v>
      </c>
      <c r="X98" s="120">
        <v>2.430367327204204E-2</v>
      </c>
      <c r="Y98" s="121">
        <v>48102094.688988753</v>
      </c>
      <c r="Z98" s="121">
        <v>48639295.354925267</v>
      </c>
      <c r="AA98" s="121">
        <v>146643744.81515256</v>
      </c>
      <c r="AB98" s="121">
        <v>102556777.5165842</v>
      </c>
      <c r="AC98" s="121">
        <v>51003546.710306503</v>
      </c>
      <c r="AD98" s="122">
        <v>81778504.616944551</v>
      </c>
      <c r="AE98" s="122">
        <v>132782051.32725105</v>
      </c>
      <c r="AF98" s="226"/>
      <c r="AG98" s="226"/>
      <c r="AH98" s="226"/>
      <c r="AI98" s="203"/>
    </row>
    <row r="99" spans="1:35" x14ac:dyDescent="0.25">
      <c r="A99" s="49" t="s">
        <v>211</v>
      </c>
      <c r="B99" s="202" t="s">
        <v>212</v>
      </c>
      <c r="C99" s="116">
        <f>AVERAGE('Netvolumenmål 2021'!C99,'Netvolumenmål 2022'!C99)</f>
        <v>35.391955096553275</v>
      </c>
      <c r="D99" s="116">
        <f>AVERAGE('Netvolumenmål 2021'!D99,'Netvolumenmål 2022'!D99)</f>
        <v>3.2757349461973673E-2</v>
      </c>
      <c r="E99" s="117">
        <f>AVERAGE('Netvolumenmål 2021'!E99,'Netvolumenmål 2022'!E99)</f>
        <v>31302076.670209073</v>
      </c>
      <c r="F99" s="118">
        <f t="shared" si="2"/>
        <v>32265071.168659009</v>
      </c>
      <c r="G99" s="117">
        <f>VLOOKUP(B99,'Costdrivere gns.'!B:AP,39,0)+VLOOKUP(B99,'Costdrivere gns.'!B:AP,40,0)+VLOOKUP(B99,'Costdrivere gns.'!B:AP,41,0)</f>
        <v>102414211.10010791</v>
      </c>
      <c r="H99" s="118">
        <f t="shared" si="3"/>
        <v>71723368.762593672</v>
      </c>
      <c r="I99" s="88">
        <f>AVERAGE('Netvolumenmål 2021'!G99,'Netvolumenmål 2022'!G99)</f>
        <v>29000213.5251</v>
      </c>
      <c r="J99" s="5">
        <f>AVERAGE('Netvolumenmål 2021'!H99,'Netvolumenmål 2022'!H99)</f>
        <v>47538687.420188785</v>
      </c>
      <c r="K99" s="119">
        <f>AVERAGE('Netvolumenmål 2021'!I99,'Netvolumenmål 2022'!I99)</f>
        <v>983153.24930000002</v>
      </c>
      <c r="L99" s="119">
        <f>AVERAGE('Netvolumenmål 2021'!J99,'Netvolumenmål 2022'!J99)</f>
        <v>11543176.205167063</v>
      </c>
      <c r="M99" s="58">
        <f>AVERAGE(VLOOKUP(B99,'Netvolumenmål 2021'!B:R,10,0),VLOOKUP(B99,'Netvolumenmål 2022'!B:R,10,0))</f>
        <v>60065016.874655843</v>
      </c>
      <c r="N99" s="88">
        <f>AVERAGE(VLOOKUP(B99,'Netvolumenmål 2021'!B:R,11,0),VLOOKUP(B99,'Netvolumenmål 2022'!B:R,11,0))</f>
        <v>89065230.399755836</v>
      </c>
      <c r="O99" s="88">
        <f>AVERAGE(VLOOKUP(B99,'Netvolumenmål 2021'!B:R,12,0),VLOOKUP(B99,'Netvolumenmål 2022'!B:R,12,0))</f>
        <v>0</v>
      </c>
      <c r="P99" s="98">
        <f>AVERAGE(VLOOKUP(B99,'Netvolumenmål 2021'!B:R,13,0),VLOOKUP(B99,'Netvolumenmål 2022'!B:R,13,0))</f>
        <v>0</v>
      </c>
      <c r="Q99" s="98">
        <f>AVERAGE(VLOOKUP(B99,'Netvolumenmål 2021'!B:R,14,0),VLOOKUP(B99,'Netvolumenmål 2022'!B:R,14,0))</f>
        <v>0</v>
      </c>
      <c r="R99" s="121">
        <f>AVERAGE(VLOOKUP(B99,'Netvolumenmål 2021'!B:R,15,0),VLOOKUP(B99,'Netvolumenmål 2022'!B:R,15,0))</f>
        <v>29000213.5251</v>
      </c>
      <c r="S99" s="225">
        <f>AVERAGE(VLOOKUP(B99,'Netvolumenmål 2021'!B:R,16,0),VLOOKUP(B99,'Netvolumenmål 2022'!B:R,16,0))</f>
        <v>60065016.874655843</v>
      </c>
      <c r="T99" s="18">
        <f>AVERAGE(VLOOKUP(B99,'Netvolumenmål 2021'!B:R,17,0),VLOOKUP(B99,'Netvolumenmål 2022'!B:R,17,0))</f>
        <v>89065230.399755836</v>
      </c>
      <c r="U99" s="98"/>
      <c r="V99" s="98"/>
      <c r="W99" s="120">
        <v>35.391955096553275</v>
      </c>
      <c r="X99" s="120">
        <v>3.2757349461973673E-2</v>
      </c>
      <c r="Y99" s="121">
        <v>31302076.670209073</v>
      </c>
      <c r="Z99" s="121">
        <v>32265071.168659009</v>
      </c>
      <c r="AA99" s="121">
        <v>102414211.10010791</v>
      </c>
      <c r="AB99" s="121">
        <v>71723368.762593672</v>
      </c>
      <c r="AC99" s="121">
        <v>29000213.5251</v>
      </c>
      <c r="AD99" s="122">
        <v>60065016.874655843</v>
      </c>
      <c r="AE99" s="122">
        <v>89065230.399755836</v>
      </c>
      <c r="AF99" s="226"/>
      <c r="AG99" s="226"/>
      <c r="AH99" s="226"/>
      <c r="AI99" s="203"/>
    </row>
    <row r="100" spans="1:35" x14ac:dyDescent="0.25">
      <c r="A100" s="49" t="s">
        <v>213</v>
      </c>
      <c r="B100" s="202" t="s">
        <v>214</v>
      </c>
      <c r="C100" s="116">
        <f>AVERAGE('Netvolumenmål 2021'!C100,'Netvolumenmål 2022'!C100)</f>
        <v>34.990322570339778</v>
      </c>
      <c r="D100" s="116">
        <f>AVERAGE('Netvolumenmål 2021'!D100,'Netvolumenmål 2022'!D100)</f>
        <v>3.6431557526221979E-2</v>
      </c>
      <c r="E100" s="117">
        <f>AVERAGE('Netvolumenmål 2021'!E100,'Netvolumenmål 2022'!E100)</f>
        <v>37329279.500533968</v>
      </c>
      <c r="F100" s="118">
        <f t="shared" si="2"/>
        <v>38688398.272339404</v>
      </c>
      <c r="G100" s="117">
        <f>VLOOKUP(B100,'Costdrivere gns.'!B:AP,39,0)+VLOOKUP(B100,'Costdrivere gns.'!B:AP,40,0)+VLOOKUP(B100,'Costdrivere gns.'!B:AP,41,0)</f>
        <v>95638543.858747214</v>
      </c>
      <c r="H100" s="118">
        <f t="shared" si="3"/>
        <v>67281621.531817392</v>
      </c>
      <c r="I100" s="88">
        <f>AVERAGE('Netvolumenmål 2021'!G100,'Netvolumenmål 2022'!G100)</f>
        <v>33218863.581600003</v>
      </c>
      <c r="J100" s="5">
        <f>AVERAGE('Netvolumenmål 2021'!H100,'Netvolumenmål 2022'!H100)</f>
        <v>49848857.778951794</v>
      </c>
      <c r="K100" s="119">
        <f>AVERAGE('Netvolumenmål 2021'!I100,'Netvolumenmål 2022'!I100)</f>
        <v>2766337.39145</v>
      </c>
      <c r="L100" s="119">
        <f>AVERAGE('Netvolumenmål 2021'!J100,'Netvolumenmål 2022'!J100)</f>
        <v>12246129.27599586</v>
      </c>
      <c r="M100" s="58">
        <f>AVERAGE(VLOOKUP(B100,'Netvolumenmål 2021'!B:R,10,0),VLOOKUP(B100,'Netvolumenmål 2022'!B:R,10,0))</f>
        <v>64861324.446397662</v>
      </c>
      <c r="N100" s="88">
        <f>AVERAGE(VLOOKUP(B100,'Netvolumenmål 2021'!B:R,11,0),VLOOKUP(B100,'Netvolumenmål 2022'!B:R,11,0))</f>
        <v>98080188.027997658</v>
      </c>
      <c r="O100" s="88">
        <f>AVERAGE(VLOOKUP(B100,'Netvolumenmål 2021'!B:R,12,0),VLOOKUP(B100,'Netvolumenmål 2022'!B:R,12,0))</f>
        <v>0</v>
      </c>
      <c r="P100" s="98">
        <f>AVERAGE(VLOOKUP(B100,'Netvolumenmål 2021'!B:R,13,0),VLOOKUP(B100,'Netvolumenmål 2022'!B:R,13,0))</f>
        <v>0</v>
      </c>
      <c r="Q100" s="98">
        <f>AVERAGE(VLOOKUP(B100,'Netvolumenmål 2021'!B:R,14,0),VLOOKUP(B100,'Netvolumenmål 2022'!B:R,14,0))</f>
        <v>0</v>
      </c>
      <c r="R100" s="121">
        <f>AVERAGE(VLOOKUP(B100,'Netvolumenmål 2021'!B:R,15,0),VLOOKUP(B100,'Netvolumenmål 2022'!B:R,15,0))</f>
        <v>33218863.581600003</v>
      </c>
      <c r="S100" s="225">
        <f>AVERAGE(VLOOKUP(B100,'Netvolumenmål 2021'!B:R,16,0),VLOOKUP(B100,'Netvolumenmål 2022'!B:R,16,0))</f>
        <v>64861324.446397662</v>
      </c>
      <c r="T100" s="18">
        <f>AVERAGE(VLOOKUP(B100,'Netvolumenmål 2021'!B:R,17,0),VLOOKUP(B100,'Netvolumenmål 2022'!B:R,17,0))</f>
        <v>98080188.027997658</v>
      </c>
      <c r="U100" s="98"/>
      <c r="V100" s="98"/>
      <c r="W100" s="120">
        <v>34.990322570339778</v>
      </c>
      <c r="X100" s="120">
        <v>3.6431557526221979E-2</v>
      </c>
      <c r="Y100" s="121">
        <v>37329279.500533968</v>
      </c>
      <c r="Z100" s="121">
        <v>38688398.272339404</v>
      </c>
      <c r="AA100" s="121">
        <v>95638543.858747214</v>
      </c>
      <c r="AB100" s="121">
        <v>67281621.531817392</v>
      </c>
      <c r="AC100" s="121">
        <v>33218863.581600003</v>
      </c>
      <c r="AD100" s="122">
        <v>64861324.446397662</v>
      </c>
      <c r="AE100" s="122">
        <v>98080188.027997658</v>
      </c>
      <c r="AF100" s="226"/>
      <c r="AG100" s="226"/>
      <c r="AH100" s="226"/>
      <c r="AI100" s="203"/>
    </row>
    <row r="101" spans="1:35" x14ac:dyDescent="0.25">
      <c r="A101" s="49" t="s">
        <v>215</v>
      </c>
      <c r="B101" s="202" t="s">
        <v>216</v>
      </c>
      <c r="C101" s="116">
        <f>AVERAGE('Netvolumenmål 2021'!C101,'Netvolumenmål 2022'!C101)</f>
        <v>35.013272278411414</v>
      </c>
      <c r="D101" s="116">
        <f>AVERAGE('Netvolumenmål 2021'!D101,'Netvolumenmål 2022'!D101)</f>
        <v>8.3694952030221426E-2</v>
      </c>
      <c r="E101" s="117">
        <f>AVERAGE('Netvolumenmål 2021'!E101,'Netvolumenmål 2022'!E101)</f>
        <v>92857974.367848456</v>
      </c>
      <c r="F101" s="118">
        <f t="shared" si="2"/>
        <v>105676543.55943833</v>
      </c>
      <c r="G101" s="117">
        <f>VLOOKUP(B101,'Costdrivere gns.'!B:AP,39,0)+VLOOKUP(B101,'Costdrivere gns.'!B:AP,40,0)+VLOOKUP(B101,'Costdrivere gns.'!B:AP,41,0)</f>
        <v>248221377.68937969</v>
      </c>
      <c r="H101" s="118">
        <f t="shared" si="3"/>
        <v>177849622.5923169</v>
      </c>
      <c r="I101" s="88">
        <f>AVERAGE('Netvolumenmål 2021'!G101,'Netvolumenmål 2022'!G101)</f>
        <v>113657364.96940002</v>
      </c>
      <c r="J101" s="5">
        <f>AVERAGE('Netvolumenmål 2021'!H101,'Netvolumenmål 2022'!H101)</f>
        <v>136767560.13502645</v>
      </c>
      <c r="K101" s="119">
        <f>AVERAGE('Netvolumenmål 2021'!I101,'Netvolumenmål 2022'!I101)</f>
        <v>3119927.3775500003</v>
      </c>
      <c r="L101" s="119">
        <f>AVERAGE('Netvolumenmål 2021'!J101,'Netvolumenmål 2022'!J101)</f>
        <v>51039013.22435087</v>
      </c>
      <c r="M101" s="58">
        <f>AVERAGE(VLOOKUP(B101,'Netvolumenmål 2021'!B:R,10,0),VLOOKUP(B101,'Netvolumenmål 2022'!B:R,10,0))</f>
        <v>190926500.73692733</v>
      </c>
      <c r="N101" s="88">
        <f>AVERAGE(VLOOKUP(B101,'Netvolumenmål 2021'!B:R,11,0),VLOOKUP(B101,'Netvolumenmål 2022'!B:R,11,0))</f>
        <v>304583865.70632738</v>
      </c>
      <c r="O101" s="88">
        <f>AVERAGE(VLOOKUP(B101,'Netvolumenmål 2021'!B:R,12,0),VLOOKUP(B101,'Netvolumenmål 2022'!B:R,12,0))</f>
        <v>0</v>
      </c>
      <c r="P101" s="98">
        <f>AVERAGE(VLOOKUP(B101,'Netvolumenmål 2021'!B:R,13,0),VLOOKUP(B101,'Netvolumenmål 2022'!B:R,13,0))</f>
        <v>0</v>
      </c>
      <c r="Q101" s="98">
        <f>AVERAGE(VLOOKUP(B101,'Netvolumenmål 2021'!B:R,14,0),VLOOKUP(B101,'Netvolumenmål 2022'!B:R,14,0))</f>
        <v>0</v>
      </c>
      <c r="R101" s="121">
        <f>AVERAGE(VLOOKUP(B101,'Netvolumenmål 2021'!B:R,15,0),VLOOKUP(B101,'Netvolumenmål 2022'!B:R,15,0))</f>
        <v>113657364.96940002</v>
      </c>
      <c r="S101" s="225">
        <f>AVERAGE(VLOOKUP(B101,'Netvolumenmål 2021'!B:R,16,0),VLOOKUP(B101,'Netvolumenmål 2022'!B:R,16,0))</f>
        <v>190926500.73692733</v>
      </c>
      <c r="T101" s="18">
        <f>AVERAGE(VLOOKUP(B101,'Netvolumenmål 2021'!B:R,17,0),VLOOKUP(B101,'Netvolumenmål 2022'!B:R,17,0))</f>
        <v>304583865.70632738</v>
      </c>
      <c r="U101" s="98"/>
      <c r="V101" s="98"/>
      <c r="W101" s="120">
        <v>35.013272278411414</v>
      </c>
      <c r="X101" s="120">
        <v>8.3694952030221426E-2</v>
      </c>
      <c r="Y101" s="121">
        <v>92857974.367848456</v>
      </c>
      <c r="Z101" s="121">
        <v>105676543.55943833</v>
      </c>
      <c r="AA101" s="121">
        <v>248221377.68937969</v>
      </c>
      <c r="AB101" s="121">
        <v>177849622.5923169</v>
      </c>
      <c r="AC101" s="121">
        <v>113657364.96940002</v>
      </c>
      <c r="AD101" s="122">
        <v>190926500.73692733</v>
      </c>
      <c r="AE101" s="122">
        <v>304583865.70632738</v>
      </c>
      <c r="AF101" s="226"/>
      <c r="AG101" s="226"/>
      <c r="AH101" s="226"/>
      <c r="AI101" s="203"/>
    </row>
    <row r="102" spans="1:35" x14ac:dyDescent="0.25">
      <c r="A102" s="49" t="s">
        <v>217</v>
      </c>
      <c r="B102" s="202" t="s">
        <v>218</v>
      </c>
      <c r="C102" s="116">
        <f>AVERAGE('Netvolumenmål 2021'!C102,'Netvolumenmål 2022'!C102)</f>
        <v>34.384735629576056</v>
      </c>
      <c r="D102" s="116">
        <f>AVERAGE('Netvolumenmål 2021'!D102,'Netvolumenmål 2022'!D102)</f>
        <v>8.9082379518277188E-2</v>
      </c>
      <c r="E102" s="117">
        <f>AVERAGE('Netvolumenmål 2021'!E102,'Netvolumenmål 2022'!E102)</f>
        <v>125420438.06327665</v>
      </c>
      <c r="F102" s="118">
        <f t="shared" si="2"/>
        <v>143744293.52827489</v>
      </c>
      <c r="G102" s="117">
        <f>VLOOKUP(B102,'Costdrivere gns.'!B:AP,39,0)+VLOOKUP(B102,'Costdrivere gns.'!B:AP,40,0)+VLOOKUP(B102,'Costdrivere gns.'!B:AP,41,0)</f>
        <v>409202320.62590724</v>
      </c>
      <c r="H102" s="118">
        <f t="shared" si="3"/>
        <v>295182375.05944079</v>
      </c>
      <c r="I102" s="88">
        <f>AVERAGE('Netvolumenmål 2021'!G102,'Netvolumenmål 2022'!G102)</f>
        <v>130068897.80865</v>
      </c>
      <c r="J102" s="5">
        <f>AVERAGE('Netvolumenmål 2021'!H102,'Netvolumenmål 2022'!H102)</f>
        <v>185120756.63882577</v>
      </c>
      <c r="K102" s="119">
        <f>AVERAGE('Netvolumenmål 2021'!I102,'Netvolumenmål 2022'!I102)</f>
        <v>16454139.570700001</v>
      </c>
      <c r="L102" s="119">
        <f>AVERAGE('Netvolumenmål 2021'!J102,'Netvolumenmål 2022'!J102)</f>
        <v>88238877.597420245</v>
      </c>
      <c r="M102" s="58">
        <f>AVERAGE(VLOOKUP(B102,'Netvolumenmål 2021'!B:R,10,0),VLOOKUP(B102,'Netvolumenmål 2022'!B:R,10,0))</f>
        <v>289813773.80694604</v>
      </c>
      <c r="N102" s="88">
        <f>AVERAGE(VLOOKUP(B102,'Netvolumenmål 2021'!B:R,11,0),VLOOKUP(B102,'Netvolumenmål 2022'!B:R,11,0))</f>
        <v>419882671.615596</v>
      </c>
      <c r="O102" s="88">
        <f>AVERAGE(VLOOKUP(B102,'Netvolumenmål 2021'!B:R,12,0),VLOOKUP(B102,'Netvolumenmål 2022'!B:R,12,0))</f>
        <v>4061612.3022664045</v>
      </c>
      <c r="P102" s="98">
        <f>AVERAGE(VLOOKUP(B102,'Netvolumenmål 2021'!B:R,13,0),VLOOKUP(B102,'Netvolumenmål 2022'!B:R,13,0))</f>
        <v>0</v>
      </c>
      <c r="Q102" s="98">
        <f>AVERAGE(VLOOKUP(B102,'Netvolumenmål 2021'!B:R,14,0),VLOOKUP(B102,'Netvolumenmål 2022'!B:R,14,0))</f>
        <v>0</v>
      </c>
      <c r="R102" s="121">
        <f>AVERAGE(VLOOKUP(B102,'Netvolumenmål 2021'!B:R,15,0),VLOOKUP(B102,'Netvolumenmål 2022'!B:R,15,0))</f>
        <v>130068897.80865</v>
      </c>
      <c r="S102" s="225">
        <f>AVERAGE(VLOOKUP(B102,'Netvolumenmål 2021'!B:R,16,0),VLOOKUP(B102,'Netvolumenmål 2022'!B:R,16,0))</f>
        <v>285752161.50467962</v>
      </c>
      <c r="T102" s="18">
        <f>AVERAGE(VLOOKUP(B102,'Netvolumenmål 2021'!B:R,17,0),VLOOKUP(B102,'Netvolumenmål 2022'!B:R,17,0))</f>
        <v>415821059.31332958</v>
      </c>
      <c r="U102" s="98"/>
      <c r="V102" s="98"/>
      <c r="W102" s="120">
        <v>34.384735629576056</v>
      </c>
      <c r="X102" s="120">
        <v>8.9082379518277188E-2</v>
      </c>
      <c r="Y102" s="121">
        <v>125420438.06327665</v>
      </c>
      <c r="Z102" s="121">
        <v>143744293.52827489</v>
      </c>
      <c r="AA102" s="121">
        <v>409202320.62590724</v>
      </c>
      <c r="AB102" s="121">
        <v>295182375.05944079</v>
      </c>
      <c r="AC102" s="121">
        <v>130068897.80865</v>
      </c>
      <c r="AD102" s="122">
        <v>285752161.50467962</v>
      </c>
      <c r="AE102" s="122">
        <v>415821059.31332958</v>
      </c>
      <c r="AF102" s="226"/>
      <c r="AG102" s="226"/>
      <c r="AH102" s="226"/>
      <c r="AI102" s="203"/>
    </row>
    <row r="103" spans="1:35" x14ac:dyDescent="0.25">
      <c r="A103" s="49" t="s">
        <v>219</v>
      </c>
      <c r="B103" s="202" t="s">
        <v>220</v>
      </c>
      <c r="C103" s="116">
        <f>AVERAGE('Netvolumenmål 2021'!C103,'Netvolumenmål 2022'!C103)</f>
        <v>21.271561786505053</v>
      </c>
      <c r="D103" s="116">
        <f>AVERAGE('Netvolumenmål 2021'!D103,'Netvolumenmål 2022'!D103)</f>
        <v>0</v>
      </c>
      <c r="E103" s="117">
        <f>AVERAGE('Netvolumenmål 2021'!E103,'Netvolumenmål 2022'!E103)</f>
        <v>22884646.062756069</v>
      </c>
      <c r="F103" s="118">
        <f t="shared" si="2"/>
        <v>20171033.171047736</v>
      </c>
      <c r="G103" s="117">
        <f>VLOOKUP(B103,'Costdrivere gns.'!B:AP,39,0)+VLOOKUP(B103,'Costdrivere gns.'!B:AP,40,0)+VLOOKUP(B103,'Costdrivere gns.'!B:AP,41,0)</f>
        <v>14777824.133139642</v>
      </c>
      <c r="H103" s="118">
        <f t="shared" si="3"/>
        <v>11333385.665629763</v>
      </c>
      <c r="I103" s="88">
        <f>AVERAGE('Netvolumenmål 2021'!G103,'Netvolumenmål 2022'!G103)</f>
        <v>16925984.493950002</v>
      </c>
      <c r="J103" s="5">
        <f>AVERAGE('Netvolumenmål 2021'!H103,'Netvolumenmål 2022'!H103)</f>
        <v>6067500.2744868603</v>
      </c>
      <c r="K103" s="119">
        <f>AVERAGE('Netvolumenmål 2021'!I103,'Netvolumenmål 2022'!I103)</f>
        <v>608483.15725000005</v>
      </c>
      <c r="L103" s="119">
        <f>AVERAGE('Netvolumenmål 2021'!J103,'Netvolumenmål 2022'!J103)</f>
        <v>6658055.0741363615</v>
      </c>
      <c r="M103" s="58">
        <f>AVERAGE(VLOOKUP(B103,'Netvolumenmål 2021'!B:R,10,0),VLOOKUP(B103,'Netvolumenmål 2022'!B:R,10,0))</f>
        <v>13334038.505873222</v>
      </c>
      <c r="N103" s="88">
        <f>AVERAGE(VLOOKUP(B103,'Netvolumenmål 2021'!B:R,11,0),VLOOKUP(B103,'Netvolumenmål 2022'!B:R,11,0))</f>
        <v>30260022.99982322</v>
      </c>
      <c r="O103" s="88">
        <f>AVERAGE(VLOOKUP(B103,'Netvolumenmål 2021'!B:R,12,0),VLOOKUP(B103,'Netvolumenmål 2022'!B:R,12,0))</f>
        <v>0</v>
      </c>
      <c r="P103" s="98">
        <f>AVERAGE(VLOOKUP(B103,'Netvolumenmål 2021'!B:R,13,0),VLOOKUP(B103,'Netvolumenmål 2022'!B:R,13,0))</f>
        <v>0</v>
      </c>
      <c r="Q103" s="98">
        <f>AVERAGE(VLOOKUP(B103,'Netvolumenmål 2021'!B:R,14,0),VLOOKUP(B103,'Netvolumenmål 2022'!B:R,14,0))</f>
        <v>0</v>
      </c>
      <c r="R103" s="121">
        <f>AVERAGE(VLOOKUP(B103,'Netvolumenmål 2021'!B:R,15,0),VLOOKUP(B103,'Netvolumenmål 2022'!B:R,15,0))</f>
        <v>16925984.493950002</v>
      </c>
      <c r="S103" s="225">
        <f>AVERAGE(VLOOKUP(B103,'Netvolumenmål 2021'!B:R,16,0),VLOOKUP(B103,'Netvolumenmål 2022'!B:R,16,0))</f>
        <v>13334038.505873222</v>
      </c>
      <c r="T103" s="118">
        <f>AVERAGE(VLOOKUP(B103,'Netvolumenmål 2021'!B:R,17,0),VLOOKUP(B103,'Netvolumenmål 2022'!B:R,17,0))</f>
        <v>30260022.99982322</v>
      </c>
      <c r="U103" s="121"/>
      <c r="V103" s="98"/>
      <c r="W103" s="120">
        <v>21.271561786505053</v>
      </c>
      <c r="X103" s="120">
        <v>0</v>
      </c>
      <c r="Y103" s="121">
        <v>22884646.062756069</v>
      </c>
      <c r="Z103" s="121">
        <v>20171033.171047736</v>
      </c>
      <c r="AA103" s="121">
        <v>14777824.133139642</v>
      </c>
      <c r="AB103" s="121">
        <v>11333385.665629763</v>
      </c>
      <c r="AC103" s="121">
        <v>16925984.493950002</v>
      </c>
      <c r="AD103" s="122">
        <v>13334038.505873222</v>
      </c>
      <c r="AE103" s="122">
        <v>30260022.99982322</v>
      </c>
      <c r="AF103" s="226"/>
      <c r="AG103" s="226"/>
      <c r="AH103" s="226"/>
      <c r="AI103" s="203"/>
    </row>
    <row r="104" spans="1:35" ht="15.75" thickBot="1" x14ac:dyDescent="0.3">
      <c r="A104" s="62" t="s">
        <v>221</v>
      </c>
      <c r="B104" s="205" t="s">
        <v>222</v>
      </c>
      <c r="C104" s="126">
        <f>AVERAGE('Netvolumenmål 2021'!C104,'Netvolumenmål 2022'!C104)</f>
        <v>23.271373890883716</v>
      </c>
      <c r="D104" s="126">
        <f>AVERAGE('Netvolumenmål 2021'!D104,'Netvolumenmål 2022'!D104)</f>
        <v>0</v>
      </c>
      <c r="E104" s="127">
        <f>AVERAGE('Netvolumenmål 2021'!E104,'Netvolumenmål 2022'!E104)</f>
        <v>12040410.286754727</v>
      </c>
      <c r="F104" s="128">
        <f t="shared" si="2"/>
        <v>10747379.37484581</v>
      </c>
      <c r="G104" s="127">
        <f>VLOOKUP(B104,'Costdrivere gns.'!B:AP,39,0)+VLOOKUP(B104,'Costdrivere gns.'!B:AP,40,0)+VLOOKUP(B104,'Costdrivere gns.'!B:AP,41,0)</f>
        <v>18220289.883641876</v>
      </c>
      <c r="H104" s="128">
        <f t="shared" si="3"/>
        <v>13778172.932761885</v>
      </c>
      <c r="I104" s="108">
        <f>AVERAGE('Netvolumenmål 2021'!G104,'Netvolumenmål 2022'!G104)</f>
        <v>18763030.124300003</v>
      </c>
      <c r="J104" s="19">
        <f>AVERAGE('Netvolumenmål 2021'!H104,'Netvolumenmål 2022'!H104)</f>
        <v>3091612.7755617816</v>
      </c>
      <c r="K104" s="129">
        <f>AVERAGE('Netvolumenmål 2021'!I104,'Netvolumenmål 2022'!I104)</f>
        <v>670317.15245000005</v>
      </c>
      <c r="L104" s="129">
        <f>AVERAGE('Netvolumenmål 2021'!J104,'Netvolumenmål 2022'!J104)</f>
        <v>6281240.5708134081</v>
      </c>
      <c r="M104" s="152">
        <f>AVERAGE(VLOOKUP(B104,'Netvolumenmål 2021'!B:R,10,0),VLOOKUP(B104,'Netvolumenmål 2022'!B:R,10,0))</f>
        <v>10043170.498825191</v>
      </c>
      <c r="N104" s="108">
        <f>AVERAGE(VLOOKUP(B104,'Netvolumenmål 2021'!B:R,11,0),VLOOKUP(B104,'Netvolumenmål 2022'!B:R,11,0))</f>
        <v>28806200.623125192</v>
      </c>
      <c r="O104" s="108">
        <f>AVERAGE(VLOOKUP(B104,'Netvolumenmål 2021'!B:R,12,0),VLOOKUP(B104,'Netvolumenmål 2022'!B:R,12,0))</f>
        <v>305103.1648256997</v>
      </c>
      <c r="P104" s="111">
        <f>AVERAGE(VLOOKUP(B104,'Netvolumenmål 2021'!B:R,13,0),VLOOKUP(B104,'Netvolumenmål 2022'!B:R,13,0))</f>
        <v>0</v>
      </c>
      <c r="Q104" s="111">
        <f>AVERAGE(VLOOKUP(B104,'Netvolumenmål 2021'!B:R,14,0),VLOOKUP(B104,'Netvolumenmål 2022'!B:R,14,0))</f>
        <v>0</v>
      </c>
      <c r="R104" s="131">
        <f>AVERAGE(VLOOKUP(B104,'Netvolumenmål 2021'!B:R,15,0),VLOOKUP(B104,'Netvolumenmål 2022'!B:R,15,0))</f>
        <v>18763030.124300003</v>
      </c>
      <c r="S104" s="227">
        <f>AVERAGE(VLOOKUP(B104,'Netvolumenmål 2021'!B:R,16,0),VLOOKUP(B104,'Netvolumenmål 2022'!B:R,16,0))</f>
        <v>9738067.3339994904</v>
      </c>
      <c r="T104" s="128">
        <f>AVERAGE(VLOOKUP(B104,'Netvolumenmål 2021'!B:R,17,0),VLOOKUP(B104,'Netvolumenmål 2022'!B:R,17,0))</f>
        <v>28501097.458299492</v>
      </c>
      <c r="U104" s="121"/>
      <c r="V104" s="98"/>
      <c r="W104" s="130">
        <v>23.271373890883716</v>
      </c>
      <c r="X104" s="130">
        <v>0</v>
      </c>
      <c r="Y104" s="131">
        <v>12040410.286754727</v>
      </c>
      <c r="Z104" s="131">
        <v>10747379.37484581</v>
      </c>
      <c r="AA104" s="131">
        <v>18220289.883641876</v>
      </c>
      <c r="AB104" s="131">
        <v>13778172.932761885</v>
      </c>
      <c r="AC104" s="131">
        <v>18763030.124300003</v>
      </c>
      <c r="AD104" s="132">
        <v>9738067.3339994904</v>
      </c>
      <c r="AE104" s="132">
        <v>28501097.458299492</v>
      </c>
      <c r="AF104" s="226"/>
      <c r="AG104" s="226"/>
      <c r="AH104" s="226"/>
      <c r="AI104" s="203"/>
    </row>
    <row r="105" spans="1:35" x14ac:dyDescent="0.25">
      <c r="A105" s="71"/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V105" s="73"/>
      <c r="W105" s="71"/>
      <c r="X105" s="71"/>
      <c r="Y105" s="71"/>
      <c r="Z105" s="71"/>
      <c r="AA105" s="71"/>
      <c r="AB105" s="71"/>
      <c r="AC105" s="71"/>
      <c r="AD105" s="71"/>
      <c r="AE105" s="71"/>
      <c r="AF105" s="48"/>
      <c r="AG105" s="48"/>
      <c r="AH105" s="48"/>
      <c r="AI105" s="48"/>
    </row>
    <row r="106" spans="1:35" x14ac:dyDescent="0.25">
      <c r="A106" s="48"/>
      <c r="B106" s="48"/>
      <c r="C106" s="48"/>
      <c r="D106" s="48"/>
      <c r="E106" s="48" t="s">
        <v>267</v>
      </c>
      <c r="F106" s="48">
        <v>0.76242900000000002</v>
      </c>
      <c r="G106" s="48"/>
      <c r="H106" s="48">
        <v>0.88093399999999999</v>
      </c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V106" s="73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</row>
    <row r="107" spans="1:35" x14ac:dyDescent="0.25">
      <c r="A107" s="48"/>
      <c r="B107" s="48"/>
      <c r="C107" s="48"/>
      <c r="D107" s="48"/>
      <c r="E107" s="48" t="s">
        <v>268</v>
      </c>
      <c r="F107" s="48">
        <v>5.594E-3</v>
      </c>
      <c r="G107" s="48"/>
      <c r="H107" s="48">
        <v>-5.3600000000000002E-3</v>
      </c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V107" s="73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</row>
    <row r="108" spans="1:35" x14ac:dyDescent="0.25">
      <c r="A108" s="48"/>
      <c r="B108" s="48"/>
      <c r="C108" s="48"/>
      <c r="D108" s="48"/>
      <c r="E108" s="48" t="s">
        <v>269</v>
      </c>
      <c r="F108" s="48">
        <v>2.1476999999999999</v>
      </c>
      <c r="G108" s="48"/>
      <c r="H108" s="48">
        <v>0.27759299999999998</v>
      </c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</row>
    <row r="109" spans="1:35" x14ac:dyDescent="0.25">
      <c r="A109" s="48"/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</row>
    <row r="110" spans="1:35" x14ac:dyDescent="0.25">
      <c r="A110" s="48"/>
      <c r="B110" s="48"/>
      <c r="C110" s="48"/>
      <c r="D110" s="48"/>
      <c r="E110" s="48"/>
      <c r="F110" s="48"/>
      <c r="G110" s="48"/>
      <c r="H110" s="48"/>
      <c r="I110" s="203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</row>
  </sheetData>
  <mergeCells count="8">
    <mergeCell ref="Y1:AB1"/>
    <mergeCell ref="AC1:AE1"/>
    <mergeCell ref="C1:D1"/>
    <mergeCell ref="E1:H1"/>
    <mergeCell ref="J1:M1"/>
    <mergeCell ref="P1:Q1"/>
    <mergeCell ref="R1:T1"/>
    <mergeCell ref="W1:X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5DAA1-04FD-4D45-B358-F830E3B474A4}">
  <sheetPr codeName="Ark4"/>
  <dimension ref="A1:AQ106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A3"/>
    </sheetView>
  </sheetViews>
  <sheetFormatPr defaultRowHeight="15" x14ac:dyDescent="0.25"/>
  <cols>
    <col min="1" max="1" width="36.85546875" bestFit="1" customWidth="1"/>
    <col min="2" max="2" width="11.42578125" bestFit="1" customWidth="1"/>
    <col min="3" max="3" width="14.85546875" bestFit="1" customWidth="1"/>
    <col min="4" max="4" width="18" customWidth="1"/>
    <col min="5" max="5" width="21" bestFit="1" customWidth="1"/>
    <col min="6" max="6" width="22.5703125" customWidth="1"/>
    <col min="7" max="7" width="16.42578125" customWidth="1"/>
    <col min="8" max="8" width="17.85546875" customWidth="1"/>
    <col min="9" max="9" width="17.7109375" style="26" customWidth="1"/>
    <col min="10" max="10" width="18.140625" style="26" customWidth="1"/>
    <col min="11" max="11" width="14.42578125" style="26" customWidth="1"/>
    <col min="12" max="12" width="16.7109375" customWidth="1"/>
    <col min="13" max="13" width="13.7109375" customWidth="1"/>
    <col min="14" max="14" width="21.7109375" bestFit="1" customWidth="1"/>
    <col min="15" max="18" width="21.7109375" customWidth="1"/>
    <col min="19" max="19" width="13.85546875" customWidth="1"/>
    <col min="20" max="20" width="13.28515625" customWidth="1"/>
    <col min="21" max="21" width="14.85546875" customWidth="1"/>
    <col min="22" max="22" width="17.140625" customWidth="1"/>
    <col min="23" max="23" width="17.28515625" customWidth="1"/>
    <col min="24" max="24" width="20.28515625" customWidth="1"/>
    <col min="25" max="25" width="19.7109375" customWidth="1"/>
    <col min="26" max="27" width="24.140625" customWidth="1"/>
    <col min="28" max="28" width="21.28515625" customWidth="1"/>
    <col min="29" max="29" width="14.5703125" customWidth="1"/>
    <col min="30" max="30" width="14.140625" customWidth="1"/>
    <col min="31" max="31" width="19.7109375" customWidth="1"/>
    <col min="32" max="32" width="15.7109375" bestFit="1" customWidth="1"/>
    <col min="33" max="33" width="15" customWidth="1"/>
    <col min="34" max="34" width="17.5703125" customWidth="1"/>
    <col min="35" max="35" width="22.42578125" customWidth="1"/>
    <col min="36" max="36" width="23" customWidth="1"/>
    <col min="37" max="37" width="12.85546875" bestFit="1" customWidth="1"/>
    <col min="38" max="38" width="15.85546875" bestFit="1" customWidth="1"/>
    <col min="40" max="40" width="14.85546875" style="146" bestFit="1" customWidth="1"/>
    <col min="41" max="41" width="15.85546875" style="146" bestFit="1" customWidth="1"/>
    <col min="42" max="42" width="13.5703125" style="146" bestFit="1" customWidth="1"/>
    <col min="43" max="43" width="13.5703125" customWidth="1"/>
  </cols>
  <sheetData>
    <row r="1" spans="1:43" ht="30.75" customHeight="1" thickBot="1" x14ac:dyDescent="0.3">
      <c r="A1" s="228" t="s">
        <v>0</v>
      </c>
      <c r="B1" s="229" t="s">
        <v>270</v>
      </c>
      <c r="C1" s="230"/>
      <c r="D1" s="231"/>
      <c r="E1" s="231"/>
      <c r="F1" s="231"/>
      <c r="G1" s="231"/>
      <c r="H1" s="231"/>
      <c r="I1" s="231"/>
      <c r="J1" s="231"/>
      <c r="K1" s="231"/>
      <c r="L1" s="232"/>
      <c r="M1" s="233"/>
      <c r="N1" s="230"/>
      <c r="O1" s="231"/>
      <c r="P1" s="231"/>
      <c r="Q1" s="231"/>
      <c r="R1" s="232"/>
      <c r="S1" s="230"/>
      <c r="T1" s="231"/>
      <c r="U1" s="231"/>
      <c r="V1" s="231"/>
      <c r="W1" s="232"/>
      <c r="X1" s="230"/>
      <c r="Y1" s="232"/>
      <c r="Z1" s="231"/>
      <c r="AA1" s="234"/>
      <c r="AB1" s="234"/>
      <c r="AC1" s="230"/>
      <c r="AD1" s="231"/>
      <c r="AE1" s="232"/>
      <c r="AF1" s="230"/>
      <c r="AG1" s="231"/>
      <c r="AH1" s="232"/>
      <c r="AI1" s="230"/>
      <c r="AJ1" s="235"/>
      <c r="AK1" s="236"/>
      <c r="AL1" s="232"/>
      <c r="AM1" s="48"/>
      <c r="AN1" s="237" t="s">
        <v>271</v>
      </c>
      <c r="AO1" s="238"/>
      <c r="AP1" s="239"/>
      <c r="AQ1" s="48"/>
    </row>
    <row r="2" spans="1:43" ht="21.75" customHeight="1" thickBot="1" x14ac:dyDescent="0.35">
      <c r="A2" s="240"/>
      <c r="B2" s="241"/>
      <c r="C2" s="242" t="s">
        <v>272</v>
      </c>
      <c r="D2" s="243"/>
      <c r="E2" s="243"/>
      <c r="F2" s="243"/>
      <c r="G2" s="243"/>
      <c r="H2" s="243"/>
      <c r="I2" s="243"/>
      <c r="J2" s="243"/>
      <c r="K2" s="243"/>
      <c r="L2" s="244"/>
      <c r="M2" s="133" t="s">
        <v>273</v>
      </c>
      <c r="N2" s="242" t="s">
        <v>274</v>
      </c>
      <c r="O2" s="243"/>
      <c r="P2" s="243"/>
      <c r="Q2" s="243"/>
      <c r="R2" s="244"/>
      <c r="S2" s="242" t="s">
        <v>275</v>
      </c>
      <c r="T2" s="243"/>
      <c r="U2" s="243"/>
      <c r="V2" s="243"/>
      <c r="W2" s="244"/>
      <c r="X2" s="242" t="s">
        <v>276</v>
      </c>
      <c r="Y2" s="244"/>
      <c r="Z2" s="245" t="s">
        <v>277</v>
      </c>
      <c r="AA2" s="246" t="s">
        <v>278</v>
      </c>
      <c r="AB2" s="246" t="s">
        <v>279</v>
      </c>
      <c r="AC2" s="242" t="s">
        <v>280</v>
      </c>
      <c r="AD2" s="243"/>
      <c r="AE2" s="244"/>
      <c r="AF2" s="242" t="s">
        <v>281</v>
      </c>
      <c r="AG2" s="243"/>
      <c r="AH2" s="244"/>
      <c r="AI2" s="247" t="s">
        <v>282</v>
      </c>
      <c r="AJ2" s="248" t="s">
        <v>283</v>
      </c>
      <c r="AK2" s="249"/>
      <c r="AL2" s="250" t="s">
        <v>284</v>
      </c>
      <c r="AM2" s="73"/>
      <c r="AN2" s="251"/>
      <c r="AO2" s="252"/>
      <c r="AP2" s="253"/>
      <c r="AQ2" s="48"/>
    </row>
    <row r="3" spans="1:43" ht="65.25" customHeight="1" thickBot="1" x14ac:dyDescent="0.3">
      <c r="A3" s="254"/>
      <c r="B3" s="255"/>
      <c r="C3" s="256" t="s">
        <v>285</v>
      </c>
      <c r="D3" s="41" t="s">
        <v>275</v>
      </c>
      <c r="E3" s="41" t="s">
        <v>276</v>
      </c>
      <c r="F3" s="41" t="s">
        <v>277</v>
      </c>
      <c r="G3" s="41" t="s">
        <v>278</v>
      </c>
      <c r="H3" s="41" t="s">
        <v>279</v>
      </c>
      <c r="I3" s="41" t="s">
        <v>280</v>
      </c>
      <c r="J3" s="41" t="s">
        <v>281</v>
      </c>
      <c r="K3" s="41" t="s">
        <v>286</v>
      </c>
      <c r="L3" s="134" t="s">
        <v>287</v>
      </c>
      <c r="M3" s="135"/>
      <c r="N3" s="256" t="s">
        <v>288</v>
      </c>
      <c r="O3" s="41" t="s">
        <v>289</v>
      </c>
      <c r="P3" s="41" t="s">
        <v>290</v>
      </c>
      <c r="Q3" s="41" t="s">
        <v>291</v>
      </c>
      <c r="R3" s="257" t="s">
        <v>292</v>
      </c>
      <c r="S3" s="80" t="s">
        <v>293</v>
      </c>
      <c r="T3" s="115" t="s">
        <v>294</v>
      </c>
      <c r="U3" s="115" t="s">
        <v>295</v>
      </c>
      <c r="V3" s="115" t="s">
        <v>296</v>
      </c>
      <c r="W3" s="44" t="s">
        <v>297</v>
      </c>
      <c r="X3" s="256" t="s">
        <v>298</v>
      </c>
      <c r="Y3" s="257" t="s">
        <v>299</v>
      </c>
      <c r="Z3" s="45" t="s">
        <v>300</v>
      </c>
      <c r="AA3" s="136" t="s">
        <v>301</v>
      </c>
      <c r="AB3" s="136" t="s">
        <v>302</v>
      </c>
      <c r="AC3" s="80" t="s">
        <v>303</v>
      </c>
      <c r="AD3" s="115" t="s">
        <v>304</v>
      </c>
      <c r="AE3" s="137" t="s">
        <v>305</v>
      </c>
      <c r="AF3" s="80" t="s">
        <v>306</v>
      </c>
      <c r="AG3" s="115" t="s">
        <v>307</v>
      </c>
      <c r="AH3" s="137" t="s">
        <v>308</v>
      </c>
      <c r="AI3" s="258" t="s">
        <v>309</v>
      </c>
      <c r="AJ3" s="136" t="s">
        <v>310</v>
      </c>
      <c r="AK3" s="137" t="s">
        <v>311</v>
      </c>
      <c r="AL3" s="259" t="s">
        <v>284</v>
      </c>
      <c r="AM3" s="73"/>
      <c r="AN3" s="138" t="s">
        <v>312</v>
      </c>
      <c r="AO3" s="139" t="s">
        <v>313</v>
      </c>
      <c r="AP3" s="140" t="s">
        <v>314</v>
      </c>
      <c r="AQ3" s="260"/>
    </row>
    <row r="4" spans="1:43" x14ac:dyDescent="0.25">
      <c r="A4" s="234" t="s">
        <v>19</v>
      </c>
      <c r="B4" s="234" t="s">
        <v>20</v>
      </c>
      <c r="C4" s="141">
        <f>2327.9856*N4+3666.4429*O4+15645.4437*P4+15645.4437*Q4+279770.2922*R4</f>
        <v>2074539.638947</v>
      </c>
      <c r="D4" s="119">
        <f>2855.5628*S4+11103.2371*T4+23253.3823*U4+315.9553*V4+214.5233*W4</f>
        <v>1295699.8928</v>
      </c>
      <c r="E4" s="119">
        <f>1.489*X4+2.5387*Y4</f>
        <v>942474.24910000002</v>
      </c>
      <c r="F4" s="119">
        <f>6.121*Z4</f>
        <v>27544.500000000004</v>
      </c>
      <c r="G4" s="119">
        <f>AA4</f>
        <v>0</v>
      </c>
      <c r="H4" s="119">
        <f>2863.207*AB4</f>
        <v>0</v>
      </c>
      <c r="I4" s="119">
        <f>IF(SUM(AC4:AE4)&gt;0,738847.7915+277.6197*AC4+767.2944*AD4+1660.4795*AE4,0)</f>
        <v>0</v>
      </c>
      <c r="J4" s="119">
        <f>IF(SUM(AF4:AH4)&gt;0,336440.7036+997.3105*AF4+2945.6348*AG4+1952.3183*AH4,0)</f>
        <v>0</v>
      </c>
      <c r="K4" s="119">
        <f>1.3366*24641.8131*(AI4^0.3942)</f>
        <v>1188670.3077716869</v>
      </c>
      <c r="L4" s="58">
        <f>IF(AK4="t+r",1.4147*1.6347*(AJ4^0.9851),IF(AK4="t",1.1533*0.5024*(AJ4^1.0597),IF(AK4="r",1.3329*94.6535*(AJ4^0.6629),"FEJL")))</f>
        <v>3781925.8543867338</v>
      </c>
      <c r="M4" s="142">
        <v>0.12919432833374317</v>
      </c>
      <c r="N4" s="261">
        <v>27.55</v>
      </c>
      <c r="O4" s="262">
        <v>395.02</v>
      </c>
      <c r="P4" s="262">
        <v>35.39</v>
      </c>
      <c r="Q4" s="262">
        <v>0</v>
      </c>
      <c r="R4" s="263">
        <v>0.03</v>
      </c>
      <c r="S4" s="264">
        <v>0</v>
      </c>
      <c r="T4" s="144">
        <v>17</v>
      </c>
      <c r="U4" s="144">
        <v>28</v>
      </c>
      <c r="V4" s="144">
        <v>922</v>
      </c>
      <c r="W4" s="89">
        <v>767</v>
      </c>
      <c r="X4" s="117">
        <v>220674</v>
      </c>
      <c r="Y4" s="265">
        <v>241813</v>
      </c>
      <c r="Z4" s="141">
        <v>4500</v>
      </c>
      <c r="AA4" s="141">
        <f>VLOOKUP(B4,'Renseanlæg 2021'!L:M,2,FALSE)</f>
        <v>0</v>
      </c>
      <c r="AB4" s="141">
        <v>0</v>
      </c>
      <c r="AC4" s="117">
        <v>0</v>
      </c>
      <c r="AD4" s="144">
        <v>0</v>
      </c>
      <c r="AE4" s="90">
        <v>0</v>
      </c>
      <c r="AF4" s="117">
        <v>0</v>
      </c>
      <c r="AG4" s="144">
        <v>0</v>
      </c>
      <c r="AH4" s="90">
        <v>0</v>
      </c>
      <c r="AI4" s="141">
        <v>8928</v>
      </c>
      <c r="AJ4" s="141">
        <v>2696511</v>
      </c>
      <c r="AK4" s="99" t="s">
        <v>315</v>
      </c>
      <c r="AL4" s="161">
        <v>31526</v>
      </c>
      <c r="AM4" s="73"/>
      <c r="AN4" s="143">
        <v>0</v>
      </c>
      <c r="AO4" s="144">
        <v>52966488.124219149</v>
      </c>
      <c r="AP4" s="145">
        <v>1305149.0666666667</v>
      </c>
      <c r="AQ4" s="266"/>
    </row>
    <row r="5" spans="1:43" x14ac:dyDescent="0.25">
      <c r="A5" s="202" t="s">
        <v>21</v>
      </c>
      <c r="B5" s="202" t="s">
        <v>22</v>
      </c>
      <c r="C5" s="141">
        <f>2327.9856*N5+3666.4429*O5+15645.4437*P5+15645.4437*Q5+279770.2922*R5</f>
        <v>2125905.8701670002</v>
      </c>
      <c r="D5" s="119">
        <f t="shared" ref="D5:D68" si="0">2855.5628*S5+11103.2371*T5+23253.3823*U5+315.9553*V5+214.5233*W5</f>
        <v>2362190.5149000003</v>
      </c>
      <c r="E5" s="119">
        <f t="shared" ref="E5:E67" si="1">1.489*X5+2.5387*Y5</f>
        <v>209246.70199999999</v>
      </c>
      <c r="F5" s="119">
        <f t="shared" ref="F5:F68" si="2">6.121*Z5</f>
        <v>26087.702000000001</v>
      </c>
      <c r="G5" s="119">
        <f t="shared" ref="G5:G68" si="3">AA5</f>
        <v>4202549.9133876013</v>
      </c>
      <c r="H5" s="119">
        <f t="shared" ref="H5:H68" si="4">2863.207*AB5</f>
        <v>0</v>
      </c>
      <c r="I5" s="119">
        <f t="shared" ref="I5:I68" si="5">IF(SUM(AC5:AE5)&gt;0,738847.7915+277.6197*AC5+767.2944*AD5+1660.4795*AE5,0)</f>
        <v>931904.53088000009</v>
      </c>
      <c r="J5" s="119">
        <f t="shared" ref="J5:J68" si="6">IF(SUM(AF5:AH5)&gt;0,336440.7036+997.3105*AF5+2945.6348*AG5+1952.3183*AH5,0)</f>
        <v>1029970.4253</v>
      </c>
      <c r="K5" s="119">
        <f t="shared" ref="K5:K68" si="7">1.3366*24641.8131*(AI5^0.3942)</f>
        <v>1157882.3189318948</v>
      </c>
      <c r="L5" s="58">
        <f t="shared" ref="L5:L68" si="8">IF(AK5="t+r",1.4147*1.6347*(AJ5^0.9851),IF(AK5="t",1.1533*0.5024*(AJ5^1.0597),IF(AK5="r",1.3329*94.6535*(AJ5^0.6629),"FEJL")))</f>
        <v>2233084.1370410654</v>
      </c>
      <c r="M5" s="147">
        <v>4.7969173907914921E-2</v>
      </c>
      <c r="N5" s="267">
        <v>67.34</v>
      </c>
      <c r="O5" s="268">
        <v>271.67</v>
      </c>
      <c r="P5" s="268">
        <v>25.18</v>
      </c>
      <c r="Q5" s="268">
        <v>0</v>
      </c>
      <c r="R5" s="269">
        <v>2.0699999999999998</v>
      </c>
      <c r="S5" s="141">
        <v>305</v>
      </c>
      <c r="T5" s="119">
        <v>18</v>
      </c>
      <c r="U5" s="119">
        <v>54</v>
      </c>
      <c r="V5" s="119">
        <v>113</v>
      </c>
      <c r="W5" s="145">
        <v>0</v>
      </c>
      <c r="X5" s="141">
        <v>24454</v>
      </c>
      <c r="Y5" s="58">
        <v>68080</v>
      </c>
      <c r="Z5" s="88">
        <v>4262</v>
      </c>
      <c r="AA5" s="88">
        <f>VLOOKUP(B5,'Renseanlæg 2021'!L:M,2,FALSE)</f>
        <v>4202549.9133876013</v>
      </c>
      <c r="AB5" s="145">
        <v>0</v>
      </c>
      <c r="AC5" s="141">
        <v>695.4</v>
      </c>
      <c r="AD5" s="119">
        <v>0</v>
      </c>
      <c r="AE5" s="145">
        <v>0</v>
      </c>
      <c r="AF5" s="141">
        <v>695.4</v>
      </c>
      <c r="AG5" s="119">
        <v>0</v>
      </c>
      <c r="AH5" s="58">
        <v>0</v>
      </c>
      <c r="AI5" s="88">
        <v>8353</v>
      </c>
      <c r="AJ5" s="58">
        <v>1189392</v>
      </c>
      <c r="AK5" s="99" t="s">
        <v>316</v>
      </c>
      <c r="AL5" s="88">
        <v>12200</v>
      </c>
      <c r="AM5" s="73"/>
      <c r="AN5" s="117">
        <v>4279962.1422263198</v>
      </c>
      <c r="AO5" s="119">
        <v>37583107.793225594</v>
      </c>
      <c r="AP5" s="145">
        <v>824849.81280455121</v>
      </c>
      <c r="AQ5" s="266"/>
    </row>
    <row r="6" spans="1:43" x14ac:dyDescent="0.25">
      <c r="A6" s="202" t="s">
        <v>23</v>
      </c>
      <c r="B6" s="202" t="s">
        <v>24</v>
      </c>
      <c r="C6" s="141">
        <f t="shared" ref="C6:C69" si="9">2327.9856*N6+3666.4429*O6+15645.4437*P6+15645.4437*Q6+279770.2922*R6</f>
        <v>3591567.7500260007</v>
      </c>
      <c r="D6" s="119">
        <f t="shared" si="0"/>
        <v>7117062.3303000005</v>
      </c>
      <c r="E6" s="119">
        <f t="shared" si="1"/>
        <v>71860.390100000004</v>
      </c>
      <c r="F6" s="119">
        <f t="shared" si="2"/>
        <v>485009.67700000003</v>
      </c>
      <c r="G6" s="119">
        <f t="shared" si="3"/>
        <v>5683562.9296778869</v>
      </c>
      <c r="H6" s="119">
        <f t="shared" si="4"/>
        <v>0</v>
      </c>
      <c r="I6" s="119">
        <f t="shared" si="5"/>
        <v>1513815.1355000001</v>
      </c>
      <c r="J6" s="119">
        <f t="shared" si="6"/>
        <v>1732027.5752000001</v>
      </c>
      <c r="K6" s="119">
        <f t="shared" si="7"/>
        <v>1543756.7539077408</v>
      </c>
      <c r="L6" s="58">
        <f t="shared" si="8"/>
        <v>3762115.5428822818</v>
      </c>
      <c r="M6" s="147">
        <v>2.534306123408055E-2</v>
      </c>
      <c r="N6" s="267">
        <v>619.34</v>
      </c>
      <c r="O6" s="268">
        <v>523.74</v>
      </c>
      <c r="P6" s="268">
        <v>12.88</v>
      </c>
      <c r="Q6" s="268">
        <v>0</v>
      </c>
      <c r="R6" s="269">
        <v>0.1</v>
      </c>
      <c r="S6" s="141">
        <v>0</v>
      </c>
      <c r="T6" s="119">
        <v>21</v>
      </c>
      <c r="U6" s="119">
        <v>124</v>
      </c>
      <c r="V6" s="119">
        <v>10296</v>
      </c>
      <c r="W6" s="145">
        <v>3484</v>
      </c>
      <c r="X6" s="141">
        <v>27080</v>
      </c>
      <c r="Y6" s="58">
        <v>12423</v>
      </c>
      <c r="Z6" s="88">
        <v>79237</v>
      </c>
      <c r="AA6" s="88">
        <f>VLOOKUP(B6,'Renseanlæg 2021'!L:M,2,FALSE)</f>
        <v>5683562.9296778869</v>
      </c>
      <c r="AB6" s="145">
        <v>0</v>
      </c>
      <c r="AC6" s="141">
        <v>0</v>
      </c>
      <c r="AD6" s="119">
        <v>1010</v>
      </c>
      <c r="AE6" s="145">
        <v>0</v>
      </c>
      <c r="AF6" s="141">
        <v>95.6</v>
      </c>
      <c r="AG6" s="119">
        <v>0</v>
      </c>
      <c r="AH6" s="58">
        <v>666</v>
      </c>
      <c r="AI6" s="88">
        <v>17327</v>
      </c>
      <c r="AJ6" s="58">
        <v>2019660.45</v>
      </c>
      <c r="AK6" s="99" t="s">
        <v>316</v>
      </c>
      <c r="AL6" s="88">
        <v>21571</v>
      </c>
      <c r="AM6" s="73"/>
      <c r="AN6" s="117">
        <v>7464519.9355163779</v>
      </c>
      <c r="AO6" s="119">
        <v>83818423.300000012</v>
      </c>
      <c r="AP6" s="145">
        <v>2794213.3373018554</v>
      </c>
      <c r="AQ6" s="266"/>
    </row>
    <row r="7" spans="1:43" x14ac:dyDescent="0.25">
      <c r="A7" s="202" t="s">
        <v>25</v>
      </c>
      <c r="B7" s="202" t="s">
        <v>26</v>
      </c>
      <c r="C7" s="141">
        <f t="shared" si="9"/>
        <v>6469956.9045660002</v>
      </c>
      <c r="D7" s="119">
        <f t="shared" si="0"/>
        <v>9608614.2737799995</v>
      </c>
      <c r="E7" s="119">
        <f t="shared" si="1"/>
        <v>938105.53930000006</v>
      </c>
      <c r="F7" s="119">
        <f t="shared" si="2"/>
        <v>34326.567999999999</v>
      </c>
      <c r="G7" s="119">
        <f t="shared" si="3"/>
        <v>12400631.134070784</v>
      </c>
      <c r="H7" s="119">
        <f t="shared" si="4"/>
        <v>0</v>
      </c>
      <c r="I7" s="119">
        <f t="shared" si="5"/>
        <v>1584454.55</v>
      </c>
      <c r="J7" s="119">
        <f t="shared" si="6"/>
        <v>1325772.7196</v>
      </c>
      <c r="K7" s="119">
        <f t="shared" si="7"/>
        <v>1751987.8413731582</v>
      </c>
      <c r="L7" s="58">
        <f t="shared" si="8"/>
        <v>4740617.8329975707</v>
      </c>
      <c r="M7" s="147">
        <v>2.1218210537137943E-2</v>
      </c>
      <c r="N7" s="267">
        <v>533.6</v>
      </c>
      <c r="O7" s="268">
        <v>1008.46</v>
      </c>
      <c r="P7" s="268">
        <v>32.72</v>
      </c>
      <c r="Q7" s="268">
        <v>0</v>
      </c>
      <c r="R7" s="269">
        <v>3.64</v>
      </c>
      <c r="S7" s="141">
        <v>152</v>
      </c>
      <c r="T7" s="119">
        <v>89</v>
      </c>
      <c r="U7" s="119">
        <v>149</v>
      </c>
      <c r="V7" s="119">
        <v>11711</v>
      </c>
      <c r="W7" s="145">
        <v>4761.6000000000004</v>
      </c>
      <c r="X7" s="141">
        <v>132038</v>
      </c>
      <c r="Y7" s="58">
        <v>292079</v>
      </c>
      <c r="Z7" s="88">
        <v>5608</v>
      </c>
      <c r="AA7" s="88">
        <f>VLOOKUP(B7,'Renseanlæg 2021'!L:M,2,FALSE)</f>
        <v>12400631.134070784</v>
      </c>
      <c r="AB7" s="145">
        <v>0</v>
      </c>
      <c r="AC7" s="141">
        <v>365</v>
      </c>
      <c r="AD7" s="119">
        <v>970</v>
      </c>
      <c r="AE7" s="145">
        <v>0</v>
      </c>
      <c r="AF7" s="141">
        <v>992</v>
      </c>
      <c r="AG7" s="119">
        <v>0</v>
      </c>
      <c r="AH7" s="58">
        <v>0</v>
      </c>
      <c r="AI7" s="88">
        <v>23885</v>
      </c>
      <c r="AJ7" s="58">
        <v>2553876</v>
      </c>
      <c r="AK7" s="99" t="s">
        <v>316</v>
      </c>
      <c r="AL7" s="88">
        <v>22702</v>
      </c>
      <c r="AM7" s="73"/>
      <c r="AN7" s="117">
        <v>12861277.224780614</v>
      </c>
      <c r="AO7" s="119">
        <v>123286277.29366669</v>
      </c>
      <c r="AP7" s="145">
        <v>5032693.333333334</v>
      </c>
      <c r="AQ7" s="266"/>
    </row>
    <row r="8" spans="1:43" x14ac:dyDescent="0.25">
      <c r="A8" s="202" t="s">
        <v>27</v>
      </c>
      <c r="B8" s="202" t="s">
        <v>28</v>
      </c>
      <c r="C8" s="141">
        <f t="shared" si="9"/>
        <v>0</v>
      </c>
      <c r="D8" s="119">
        <f t="shared" si="0"/>
        <v>171559.08900000001</v>
      </c>
      <c r="E8" s="119">
        <f t="shared" si="1"/>
        <v>0</v>
      </c>
      <c r="F8" s="119">
        <f t="shared" si="2"/>
        <v>34277.600000000006</v>
      </c>
      <c r="G8" s="119">
        <f t="shared" si="3"/>
        <v>10798754.247371387</v>
      </c>
      <c r="H8" s="119">
        <f t="shared" si="4"/>
        <v>0</v>
      </c>
      <c r="I8" s="119">
        <f t="shared" si="5"/>
        <v>1336264.3369</v>
      </c>
      <c r="J8" s="119">
        <f t="shared" si="6"/>
        <v>1672836.7736</v>
      </c>
      <c r="K8" s="119">
        <f t="shared" si="7"/>
        <v>43285.270946158009</v>
      </c>
      <c r="L8" s="58">
        <f t="shared" si="8"/>
        <v>1741847.6070438137</v>
      </c>
      <c r="M8" s="147">
        <v>0</v>
      </c>
      <c r="N8" s="267">
        <v>0</v>
      </c>
      <c r="O8" s="268">
        <v>0</v>
      </c>
      <c r="P8" s="268">
        <v>0</v>
      </c>
      <c r="Q8" s="268">
        <v>0</v>
      </c>
      <c r="R8" s="269">
        <v>0</v>
      </c>
      <c r="S8" s="141">
        <v>0</v>
      </c>
      <c r="T8" s="119">
        <v>0</v>
      </c>
      <c r="U8" s="119">
        <v>5</v>
      </c>
      <c r="V8" s="119">
        <v>175</v>
      </c>
      <c r="W8" s="145">
        <v>0</v>
      </c>
      <c r="X8" s="141">
        <v>0</v>
      </c>
      <c r="Y8" s="58">
        <v>0</v>
      </c>
      <c r="Z8" s="88">
        <v>5600</v>
      </c>
      <c r="AA8" s="88">
        <f>VLOOKUP(B8,'Renseanlæg 2021'!L:M,2,FALSE)</f>
        <v>10798754.247371387</v>
      </c>
      <c r="AB8" s="145">
        <v>0</v>
      </c>
      <c r="AC8" s="141">
        <v>1177</v>
      </c>
      <c r="AD8" s="119">
        <v>0</v>
      </c>
      <c r="AE8" s="145">
        <v>163</v>
      </c>
      <c r="AF8" s="141">
        <v>1340</v>
      </c>
      <c r="AG8" s="119">
        <v>0</v>
      </c>
      <c r="AH8" s="58">
        <v>0</v>
      </c>
      <c r="AI8" s="88">
        <v>2</v>
      </c>
      <c r="AJ8" s="58">
        <v>1759545</v>
      </c>
      <c r="AK8" s="99" t="s">
        <v>317</v>
      </c>
      <c r="AL8" s="88">
        <v>2</v>
      </c>
      <c r="AM8" s="73"/>
      <c r="AN8" s="117">
        <v>10348783.572263233</v>
      </c>
      <c r="AO8" s="119">
        <v>1497300</v>
      </c>
      <c r="AP8" s="145">
        <v>0</v>
      </c>
      <c r="AQ8" s="266"/>
    </row>
    <row r="9" spans="1:43" x14ac:dyDescent="0.25">
      <c r="A9" s="202" t="s">
        <v>29</v>
      </c>
      <c r="B9" s="202" t="s">
        <v>30</v>
      </c>
      <c r="C9" s="141">
        <f t="shared" si="9"/>
        <v>4436744.3830696996</v>
      </c>
      <c r="D9" s="119">
        <f t="shared" si="0"/>
        <v>8119462.6005000006</v>
      </c>
      <c r="E9" s="119">
        <f t="shared" si="1"/>
        <v>682572.5649</v>
      </c>
      <c r="F9" s="119">
        <f t="shared" si="2"/>
        <v>27911.760000000002</v>
      </c>
      <c r="G9" s="119">
        <f t="shared" si="3"/>
        <v>0</v>
      </c>
      <c r="H9" s="119">
        <f t="shared" si="4"/>
        <v>366490.49599999998</v>
      </c>
      <c r="I9" s="119">
        <f t="shared" si="5"/>
        <v>0</v>
      </c>
      <c r="J9" s="119">
        <f t="shared" si="6"/>
        <v>0</v>
      </c>
      <c r="K9" s="119">
        <f t="shared" si="7"/>
        <v>1537626.9369755883</v>
      </c>
      <c r="L9" s="58">
        <f>IF(AK9="t+r",1.4147*1.6347*(AJ9^0.9851),IF(AK9="t",1.1533*0.5024*(AJ9^1.0597),IF(AK9="r",1.3329*94.6535*(AJ9^0.6629),"FEJL")))</f>
        <v>2296218.9135393905</v>
      </c>
      <c r="M9" s="147">
        <v>1.8722503245248535E-2</v>
      </c>
      <c r="N9" s="267">
        <v>628.33699999999999</v>
      </c>
      <c r="O9" s="268">
        <v>658.52499999999998</v>
      </c>
      <c r="P9" s="268">
        <v>0</v>
      </c>
      <c r="Q9" s="268">
        <v>0</v>
      </c>
      <c r="R9" s="269">
        <v>2</v>
      </c>
      <c r="S9" s="141">
        <v>883</v>
      </c>
      <c r="T9" s="119">
        <v>0</v>
      </c>
      <c r="U9" s="119">
        <v>239</v>
      </c>
      <c r="V9" s="119">
        <v>128</v>
      </c>
      <c r="W9" s="145">
        <v>0</v>
      </c>
      <c r="X9" s="141">
        <v>146167</v>
      </c>
      <c r="Y9" s="58">
        <v>183137</v>
      </c>
      <c r="Z9" s="88">
        <v>4560</v>
      </c>
      <c r="AA9" s="88">
        <f>VLOOKUP(B9,'Renseanlæg 2021'!L:M,2,FALSE)</f>
        <v>0</v>
      </c>
      <c r="AB9" s="145">
        <v>128</v>
      </c>
      <c r="AC9" s="141">
        <v>0</v>
      </c>
      <c r="AD9" s="119">
        <v>0</v>
      </c>
      <c r="AE9" s="145">
        <v>0</v>
      </c>
      <c r="AF9" s="141">
        <v>0</v>
      </c>
      <c r="AG9" s="119">
        <v>0</v>
      </c>
      <c r="AH9" s="58">
        <v>0</v>
      </c>
      <c r="AI9" s="88">
        <v>17153</v>
      </c>
      <c r="AJ9" s="58">
        <v>1683878</v>
      </c>
      <c r="AK9" s="99" t="s">
        <v>315</v>
      </c>
      <c r="AL9" s="88">
        <v>17048</v>
      </c>
      <c r="AM9" s="73"/>
      <c r="AN9" s="117">
        <v>58220.785124511145</v>
      </c>
      <c r="AO9" s="119">
        <v>81632803.076853603</v>
      </c>
      <c r="AP9" s="145">
        <v>1570000</v>
      </c>
      <c r="AQ9" s="266"/>
    </row>
    <row r="10" spans="1:43" x14ac:dyDescent="0.25">
      <c r="A10" s="202" t="s">
        <v>31</v>
      </c>
      <c r="B10" s="202" t="s">
        <v>32</v>
      </c>
      <c r="C10" s="141">
        <f t="shared" si="9"/>
        <v>2337086.9286199999</v>
      </c>
      <c r="D10" s="119">
        <f t="shared" si="0"/>
        <v>1181965.3856000002</v>
      </c>
      <c r="E10" s="119">
        <f t="shared" si="1"/>
        <v>434234.48019999999</v>
      </c>
      <c r="F10" s="119">
        <f t="shared" si="2"/>
        <v>168633.55000000002</v>
      </c>
      <c r="G10" s="119">
        <f t="shared" si="3"/>
        <v>2024579.3844727706</v>
      </c>
      <c r="H10" s="119">
        <f t="shared" si="4"/>
        <v>0</v>
      </c>
      <c r="I10" s="119">
        <f t="shared" si="5"/>
        <v>872357.01710000006</v>
      </c>
      <c r="J10" s="119">
        <f t="shared" si="6"/>
        <v>457115.27410000004</v>
      </c>
      <c r="K10" s="119">
        <f t="shared" si="7"/>
        <v>1241439.0472252131</v>
      </c>
      <c r="L10" s="58">
        <f t="shared" si="8"/>
        <v>2407661.9350882014</v>
      </c>
      <c r="M10" s="147">
        <v>3.5208599948809823E-2</v>
      </c>
      <c r="N10" s="267">
        <v>77.900000000000006</v>
      </c>
      <c r="O10" s="268">
        <v>397.2</v>
      </c>
      <c r="P10" s="268">
        <v>0</v>
      </c>
      <c r="Q10" s="268">
        <v>0</v>
      </c>
      <c r="R10" s="269">
        <v>2.5</v>
      </c>
      <c r="S10" s="141">
        <v>0</v>
      </c>
      <c r="T10" s="119">
        <v>56</v>
      </c>
      <c r="U10" s="119">
        <v>5</v>
      </c>
      <c r="V10" s="119">
        <v>1405</v>
      </c>
      <c r="W10" s="145">
        <v>0</v>
      </c>
      <c r="X10" s="141">
        <v>0</v>
      </c>
      <c r="Y10" s="58">
        <v>171046</v>
      </c>
      <c r="Z10" s="88">
        <v>27550</v>
      </c>
      <c r="AA10" s="88">
        <f>VLOOKUP(B10,'Renseanlæg 2021'!L:M,2,FALSE)</f>
        <v>2024579.3844727706</v>
      </c>
      <c r="AB10" s="145">
        <v>0</v>
      </c>
      <c r="AC10" s="141">
        <v>0</v>
      </c>
      <c r="AD10" s="119">
        <v>174</v>
      </c>
      <c r="AE10" s="145">
        <v>0</v>
      </c>
      <c r="AF10" s="141">
        <v>121</v>
      </c>
      <c r="AG10" s="119">
        <v>0</v>
      </c>
      <c r="AH10" s="58">
        <v>0</v>
      </c>
      <c r="AI10" s="88">
        <v>9968</v>
      </c>
      <c r="AJ10" s="58">
        <v>1283837</v>
      </c>
      <c r="AK10" s="99" t="s">
        <v>316</v>
      </c>
      <c r="AL10" s="88">
        <v>13756</v>
      </c>
      <c r="AM10" s="73"/>
      <c r="AN10" s="117">
        <v>1850224.6838327614</v>
      </c>
      <c r="AO10" s="119">
        <v>45170838.666666657</v>
      </c>
      <c r="AP10" s="145">
        <v>1719426.6666666665</v>
      </c>
      <c r="AQ10" s="266"/>
    </row>
    <row r="11" spans="1:43" x14ac:dyDescent="0.25">
      <c r="A11" s="202" t="s">
        <v>33</v>
      </c>
      <c r="B11" s="202" t="s">
        <v>34</v>
      </c>
      <c r="C11" s="141">
        <f t="shared" si="9"/>
        <v>6983.9567999999999</v>
      </c>
      <c r="D11" s="119">
        <f t="shared" si="0"/>
        <v>0</v>
      </c>
      <c r="E11" s="119">
        <f t="shared" si="1"/>
        <v>0</v>
      </c>
      <c r="F11" s="119">
        <f t="shared" si="2"/>
        <v>257082.00000000003</v>
      </c>
      <c r="G11" s="119">
        <f t="shared" si="3"/>
        <v>63049477.549688086</v>
      </c>
      <c r="H11" s="119">
        <f t="shared" si="4"/>
        <v>0</v>
      </c>
      <c r="I11" s="119">
        <f t="shared" si="5"/>
        <v>23480876.088500001</v>
      </c>
      <c r="J11" s="119">
        <f t="shared" si="6"/>
        <v>28319717.633099999</v>
      </c>
      <c r="K11" s="119">
        <f t="shared" si="7"/>
        <v>74760.498561130677</v>
      </c>
      <c r="L11" s="58">
        <f t="shared" si="8"/>
        <v>14887135.747030122</v>
      </c>
      <c r="M11" s="147">
        <v>2.6666666666666666E-3</v>
      </c>
      <c r="N11" s="267">
        <v>3</v>
      </c>
      <c r="O11" s="268">
        <v>0</v>
      </c>
      <c r="P11" s="268">
        <v>0</v>
      </c>
      <c r="Q11" s="268">
        <v>0</v>
      </c>
      <c r="R11" s="269">
        <v>0</v>
      </c>
      <c r="S11" s="141">
        <v>0</v>
      </c>
      <c r="T11" s="119">
        <v>0</v>
      </c>
      <c r="U11" s="119">
        <v>0</v>
      </c>
      <c r="V11" s="119">
        <v>0</v>
      </c>
      <c r="W11" s="145">
        <v>0</v>
      </c>
      <c r="X11" s="141">
        <v>0</v>
      </c>
      <c r="Y11" s="58">
        <v>0</v>
      </c>
      <c r="Z11" s="88">
        <v>42000</v>
      </c>
      <c r="AA11" s="88">
        <f>VLOOKUP(B11,'Renseanlæg 2021'!L:M,2,FALSE)</f>
        <v>63049477.549688086</v>
      </c>
      <c r="AB11" s="145">
        <v>0</v>
      </c>
      <c r="AC11" s="141">
        <v>114</v>
      </c>
      <c r="AD11" s="119">
        <v>29598</v>
      </c>
      <c r="AE11" s="145">
        <v>0</v>
      </c>
      <c r="AF11" s="141">
        <v>633</v>
      </c>
      <c r="AG11" s="119">
        <v>0</v>
      </c>
      <c r="AH11" s="58">
        <v>14010</v>
      </c>
      <c r="AI11" s="88">
        <v>8</v>
      </c>
      <c r="AJ11" s="58">
        <v>44775841</v>
      </c>
      <c r="AK11" s="99" t="s">
        <v>317</v>
      </c>
      <c r="AL11" s="88">
        <v>8</v>
      </c>
      <c r="AM11" s="73"/>
      <c r="AN11" s="117">
        <v>227373939.76372802</v>
      </c>
      <c r="AO11" s="119">
        <v>1909595.4026666665</v>
      </c>
      <c r="AP11" s="145">
        <v>4452306.0230923695</v>
      </c>
      <c r="AQ11" s="266"/>
    </row>
    <row r="12" spans="1:43" x14ac:dyDescent="0.25">
      <c r="A12" s="202" t="s">
        <v>35</v>
      </c>
      <c r="B12" s="202" t="s">
        <v>36</v>
      </c>
      <c r="C12" s="141">
        <f t="shared" si="9"/>
        <v>216728.46752400001</v>
      </c>
      <c r="D12" s="119">
        <f t="shared" si="0"/>
        <v>4303122.8747000005</v>
      </c>
      <c r="E12" s="119">
        <f t="shared" si="1"/>
        <v>0</v>
      </c>
      <c r="F12" s="119">
        <f t="shared" si="2"/>
        <v>1166338.1870000002</v>
      </c>
      <c r="G12" s="119">
        <f t="shared" si="3"/>
        <v>24788550.460950483</v>
      </c>
      <c r="H12" s="119">
        <f t="shared" si="4"/>
        <v>0</v>
      </c>
      <c r="I12" s="119">
        <f t="shared" si="5"/>
        <v>7905377.4874999998</v>
      </c>
      <c r="J12" s="119">
        <f t="shared" si="6"/>
        <v>15863228.1435</v>
      </c>
      <c r="K12" s="119">
        <f t="shared" si="7"/>
        <v>81634.571232638642</v>
      </c>
      <c r="L12" s="58">
        <f t="shared" si="8"/>
        <v>6578951.0537804756</v>
      </c>
      <c r="M12" s="147">
        <v>1.7403411068569441E-4</v>
      </c>
      <c r="N12" s="267">
        <v>19.82</v>
      </c>
      <c r="O12" s="268">
        <v>34.92</v>
      </c>
      <c r="P12" s="268">
        <v>2.72</v>
      </c>
      <c r="Q12" s="268">
        <v>0</v>
      </c>
      <c r="R12" s="269">
        <v>0</v>
      </c>
      <c r="S12" s="141">
        <v>0</v>
      </c>
      <c r="T12" s="119">
        <v>0</v>
      </c>
      <c r="U12" s="119">
        <v>0</v>
      </c>
      <c r="V12" s="119">
        <v>0</v>
      </c>
      <c r="W12" s="145">
        <v>20059</v>
      </c>
      <c r="X12" s="141">
        <v>0</v>
      </c>
      <c r="Y12" s="58">
        <v>0</v>
      </c>
      <c r="Z12" s="88">
        <v>190547</v>
      </c>
      <c r="AA12" s="88">
        <f>VLOOKUP(B12,'Renseanlæg 2021'!L:M,2,FALSE)</f>
        <v>24788550.460950483</v>
      </c>
      <c r="AB12" s="145">
        <v>0</v>
      </c>
      <c r="AC12" s="141">
        <v>0</v>
      </c>
      <c r="AD12" s="119">
        <v>9340</v>
      </c>
      <c r="AE12" s="145">
        <v>0</v>
      </c>
      <c r="AF12" s="141">
        <v>0</v>
      </c>
      <c r="AG12" s="119">
        <v>0</v>
      </c>
      <c r="AH12" s="58">
        <v>7953</v>
      </c>
      <c r="AI12" s="88">
        <v>10</v>
      </c>
      <c r="AJ12" s="58">
        <v>13062889</v>
      </c>
      <c r="AK12" s="99" t="s">
        <v>317</v>
      </c>
      <c r="AL12" s="88">
        <v>10</v>
      </c>
      <c r="AM12" s="73"/>
      <c r="AN12" s="117">
        <v>49365777.464340508</v>
      </c>
      <c r="AO12" s="119">
        <v>27602207.930626668</v>
      </c>
      <c r="AP12" s="145">
        <v>1877170.853333333</v>
      </c>
      <c r="AQ12" s="266"/>
    </row>
    <row r="13" spans="1:43" x14ac:dyDescent="0.25">
      <c r="A13" s="202" t="s">
        <v>37</v>
      </c>
      <c r="B13" s="202" t="s">
        <v>38</v>
      </c>
      <c r="C13" s="141">
        <f t="shared" si="9"/>
        <v>3000391.2464040001</v>
      </c>
      <c r="D13" s="119">
        <f t="shared" si="0"/>
        <v>3365727.2179999999</v>
      </c>
      <c r="E13" s="119">
        <f t="shared" si="1"/>
        <v>4315.79</v>
      </c>
      <c r="F13" s="119">
        <f t="shared" si="2"/>
        <v>275445</v>
      </c>
      <c r="G13" s="119">
        <f t="shared" si="3"/>
        <v>10898116.426397683</v>
      </c>
      <c r="H13" s="119">
        <f t="shared" si="4"/>
        <v>0</v>
      </c>
      <c r="I13" s="119">
        <f t="shared" si="5"/>
        <v>1131166.31522</v>
      </c>
      <c r="J13" s="119">
        <f t="shared" si="6"/>
        <v>1572208.1441500001</v>
      </c>
      <c r="K13" s="119">
        <f t="shared" si="7"/>
        <v>1558435.4457679905</v>
      </c>
      <c r="L13" s="58">
        <f t="shared" si="8"/>
        <v>3327786.9334805314</v>
      </c>
      <c r="M13" s="147">
        <v>3.1739705945145816E-2</v>
      </c>
      <c r="N13" s="267">
        <v>323.81</v>
      </c>
      <c r="O13" s="268">
        <v>568.48</v>
      </c>
      <c r="P13" s="268">
        <v>0</v>
      </c>
      <c r="Q13" s="268">
        <v>0</v>
      </c>
      <c r="R13" s="269">
        <v>0.57999999999999996</v>
      </c>
      <c r="S13" s="141">
        <v>34</v>
      </c>
      <c r="T13" s="119">
        <v>96</v>
      </c>
      <c r="U13" s="119">
        <v>87</v>
      </c>
      <c r="V13" s="119">
        <v>107</v>
      </c>
      <c r="W13" s="145">
        <v>680</v>
      </c>
      <c r="X13" s="141">
        <v>0</v>
      </c>
      <c r="Y13" s="58">
        <v>1700</v>
      </c>
      <c r="Z13" s="88">
        <v>45000</v>
      </c>
      <c r="AA13" s="88">
        <f>VLOOKUP(B13,'Renseanlæg 2021'!L:M,2,FALSE)</f>
        <v>10898116.426397683</v>
      </c>
      <c r="AB13" s="145">
        <v>0</v>
      </c>
      <c r="AC13" s="141">
        <v>1239.0999999999999</v>
      </c>
      <c r="AD13" s="119">
        <v>0</v>
      </c>
      <c r="AE13" s="145">
        <v>29.1</v>
      </c>
      <c r="AF13" s="141">
        <v>1239.0999999999999</v>
      </c>
      <c r="AG13" s="119">
        <v>0</v>
      </c>
      <c r="AH13" s="58">
        <v>0</v>
      </c>
      <c r="AI13" s="88">
        <v>17748</v>
      </c>
      <c r="AJ13" s="58">
        <v>1783183</v>
      </c>
      <c r="AK13" s="99" t="s">
        <v>316</v>
      </c>
      <c r="AL13" s="88">
        <v>22300</v>
      </c>
      <c r="AM13" s="73"/>
      <c r="AN13" s="117">
        <v>7554301.2294957349</v>
      </c>
      <c r="AO13" s="119">
        <v>63026958.159666672</v>
      </c>
      <c r="AP13" s="145">
        <v>1021693.0673174611</v>
      </c>
      <c r="AQ13" s="266"/>
    </row>
    <row r="14" spans="1:43" x14ac:dyDescent="0.25">
      <c r="A14" s="202" t="s">
        <v>39</v>
      </c>
      <c r="B14" s="202" t="s">
        <v>40</v>
      </c>
      <c r="C14" s="141">
        <f t="shared" si="9"/>
        <v>2155119.6263000001</v>
      </c>
      <c r="D14" s="119">
        <f t="shared" si="0"/>
        <v>574381.03560000006</v>
      </c>
      <c r="E14" s="119">
        <f t="shared" si="1"/>
        <v>386293.17250000004</v>
      </c>
      <c r="F14" s="119">
        <f t="shared" si="2"/>
        <v>267408.12700000004</v>
      </c>
      <c r="G14" s="119">
        <f t="shared" si="3"/>
        <v>0</v>
      </c>
      <c r="H14" s="119">
        <f t="shared" si="4"/>
        <v>0</v>
      </c>
      <c r="I14" s="119">
        <f t="shared" si="5"/>
        <v>0</v>
      </c>
      <c r="J14" s="119">
        <f t="shared" si="6"/>
        <v>0</v>
      </c>
      <c r="K14" s="119">
        <f t="shared" si="7"/>
        <v>1006273.9285249726</v>
      </c>
      <c r="L14" s="58">
        <f t="shared" si="8"/>
        <v>2483313.560513393</v>
      </c>
      <c r="M14" s="147">
        <v>0.1365897435897436</v>
      </c>
      <c r="N14" s="267">
        <v>17</v>
      </c>
      <c r="O14" s="268">
        <v>203</v>
      </c>
      <c r="P14" s="268">
        <v>34</v>
      </c>
      <c r="Q14" s="268">
        <v>0</v>
      </c>
      <c r="R14" s="269">
        <v>3</v>
      </c>
      <c r="S14" s="141">
        <v>0</v>
      </c>
      <c r="T14" s="119">
        <v>11</v>
      </c>
      <c r="U14" s="119">
        <v>14</v>
      </c>
      <c r="V14" s="119">
        <v>401</v>
      </c>
      <c r="W14" s="145">
        <v>0</v>
      </c>
      <c r="X14" s="141">
        <v>205989</v>
      </c>
      <c r="Y14" s="58">
        <v>31345</v>
      </c>
      <c r="Z14" s="88">
        <v>43687</v>
      </c>
      <c r="AA14" s="88">
        <f>VLOOKUP(B14,'Renseanlæg 2021'!L:M,2,FALSE)</f>
        <v>0</v>
      </c>
      <c r="AB14" s="145">
        <v>0</v>
      </c>
      <c r="AC14" s="141">
        <v>0</v>
      </c>
      <c r="AD14" s="119">
        <v>0</v>
      </c>
      <c r="AE14" s="145">
        <v>0</v>
      </c>
      <c r="AF14" s="141">
        <v>0</v>
      </c>
      <c r="AG14" s="119">
        <v>0</v>
      </c>
      <c r="AH14" s="58">
        <v>0</v>
      </c>
      <c r="AI14" s="88">
        <v>5851</v>
      </c>
      <c r="AJ14" s="58">
        <v>1813061</v>
      </c>
      <c r="AK14" s="99" t="s">
        <v>315</v>
      </c>
      <c r="AL14" s="88">
        <v>21308</v>
      </c>
      <c r="AM14" s="73"/>
      <c r="AN14" s="117">
        <v>0</v>
      </c>
      <c r="AO14" s="119">
        <v>31607591.585333332</v>
      </c>
      <c r="AP14" s="145">
        <v>72922.36</v>
      </c>
      <c r="AQ14" s="266"/>
    </row>
    <row r="15" spans="1:43" x14ac:dyDescent="0.25">
      <c r="A15" s="202" t="s">
        <v>41</v>
      </c>
      <c r="B15" s="202" t="s">
        <v>42</v>
      </c>
      <c r="C15" s="141">
        <f t="shared" si="9"/>
        <v>2846948.0104999999</v>
      </c>
      <c r="D15" s="119">
        <f t="shared" si="0"/>
        <v>2229472.1966000004</v>
      </c>
      <c r="E15" s="119">
        <f t="shared" si="1"/>
        <v>106294.4038</v>
      </c>
      <c r="F15" s="119">
        <f t="shared" si="2"/>
        <v>164042.80000000002</v>
      </c>
      <c r="G15" s="119">
        <f t="shared" si="3"/>
        <v>5471610.7915883772</v>
      </c>
      <c r="H15" s="119">
        <f t="shared" si="4"/>
        <v>0</v>
      </c>
      <c r="I15" s="119">
        <f t="shared" si="5"/>
        <v>1277508.4330000002</v>
      </c>
      <c r="J15" s="119">
        <f t="shared" si="6"/>
        <v>1787013.2004999998</v>
      </c>
      <c r="K15" s="119">
        <f t="shared" si="7"/>
        <v>1346274.0949566201</v>
      </c>
      <c r="L15" s="58">
        <f t="shared" si="8"/>
        <v>2414550.8200525134</v>
      </c>
      <c r="M15" s="147">
        <v>3.7084821428571425E-2</v>
      </c>
      <c r="N15" s="267">
        <v>201</v>
      </c>
      <c r="O15" s="268">
        <v>372</v>
      </c>
      <c r="P15" s="268">
        <v>47</v>
      </c>
      <c r="Q15" s="268">
        <v>0</v>
      </c>
      <c r="R15" s="269">
        <v>1</v>
      </c>
      <c r="S15" s="141">
        <v>6</v>
      </c>
      <c r="T15" s="119">
        <v>20</v>
      </c>
      <c r="U15" s="119">
        <v>59</v>
      </c>
      <c r="V15" s="119">
        <v>1957</v>
      </c>
      <c r="W15" s="145">
        <v>0</v>
      </c>
      <c r="X15" s="141">
        <v>30000</v>
      </c>
      <c r="Y15" s="58">
        <v>24274</v>
      </c>
      <c r="Z15" s="88">
        <v>26800</v>
      </c>
      <c r="AA15" s="88">
        <f>VLOOKUP(B15,'Renseanlæg 2021'!L:M,2,FALSE)</f>
        <v>5471610.7915883772</v>
      </c>
      <c r="AB15" s="145">
        <v>0</v>
      </c>
      <c r="AC15" s="141">
        <v>445</v>
      </c>
      <c r="AD15" s="119">
        <v>0</v>
      </c>
      <c r="AE15" s="145">
        <v>250</v>
      </c>
      <c r="AF15" s="141">
        <v>0</v>
      </c>
      <c r="AG15" s="119">
        <v>0</v>
      </c>
      <c r="AH15" s="58">
        <v>743</v>
      </c>
      <c r="AI15" s="88">
        <v>12244</v>
      </c>
      <c r="AJ15" s="58">
        <v>1287566</v>
      </c>
      <c r="AK15" s="99" t="s">
        <v>316</v>
      </c>
      <c r="AL15" s="88">
        <v>16614</v>
      </c>
      <c r="AM15" s="73"/>
      <c r="AN15" s="117">
        <v>5157527.7715448709</v>
      </c>
      <c r="AO15" s="119">
        <v>52067989.803986214</v>
      </c>
      <c r="AP15" s="145">
        <v>1343160.0000000002</v>
      </c>
      <c r="AQ15" s="266"/>
    </row>
    <row r="16" spans="1:43" x14ac:dyDescent="0.25">
      <c r="A16" s="202" t="s">
        <v>43</v>
      </c>
      <c r="B16" s="202" t="s">
        <v>44</v>
      </c>
      <c r="C16" s="141">
        <f t="shared" si="9"/>
        <v>3287524.5526350001</v>
      </c>
      <c r="D16" s="119">
        <f t="shared" si="0"/>
        <v>4538265.7143000001</v>
      </c>
      <c r="E16" s="119">
        <f t="shared" si="1"/>
        <v>481572.68560000003</v>
      </c>
      <c r="F16" s="119">
        <f t="shared" si="2"/>
        <v>181334.625</v>
      </c>
      <c r="G16" s="119">
        <f t="shared" si="3"/>
        <v>4474107.0611170176</v>
      </c>
      <c r="H16" s="119">
        <f t="shared" si="4"/>
        <v>8589.6209999999992</v>
      </c>
      <c r="I16" s="119">
        <f t="shared" si="5"/>
        <v>1193630.65038</v>
      </c>
      <c r="J16" s="119">
        <f t="shared" si="6"/>
        <v>677520.8946</v>
      </c>
      <c r="K16" s="119">
        <f t="shared" si="7"/>
        <v>1451942.7800715091</v>
      </c>
      <c r="L16" s="58">
        <f t="shared" si="8"/>
        <v>3049568.2668047417</v>
      </c>
      <c r="M16" s="147">
        <v>4.5853481350314418E-2</v>
      </c>
      <c r="N16" s="267">
        <v>142.38</v>
      </c>
      <c r="O16" s="268">
        <v>493.31</v>
      </c>
      <c r="P16" s="268">
        <v>51.52</v>
      </c>
      <c r="Q16" s="268">
        <v>0</v>
      </c>
      <c r="R16" s="269">
        <v>1.22</v>
      </c>
      <c r="S16" s="141">
        <v>59</v>
      </c>
      <c r="T16" s="119">
        <v>45</v>
      </c>
      <c r="U16" s="119">
        <v>95</v>
      </c>
      <c r="V16" s="119">
        <v>4137</v>
      </c>
      <c r="W16" s="145">
        <v>1650</v>
      </c>
      <c r="X16" s="141">
        <v>56306</v>
      </c>
      <c r="Y16" s="58">
        <v>156668</v>
      </c>
      <c r="Z16" s="88">
        <v>29625</v>
      </c>
      <c r="AA16" s="88">
        <f>VLOOKUP(B16,'Renseanlæg 2021'!L:M,2,FALSE)</f>
        <v>4474107.0611170176</v>
      </c>
      <c r="AB16" s="145">
        <v>3</v>
      </c>
      <c r="AC16" s="141">
        <v>481.4</v>
      </c>
      <c r="AD16" s="119">
        <v>0</v>
      </c>
      <c r="AE16" s="145">
        <v>193.4</v>
      </c>
      <c r="AF16" s="141">
        <v>342</v>
      </c>
      <c r="AG16" s="119">
        <v>0</v>
      </c>
      <c r="AH16" s="58">
        <v>0</v>
      </c>
      <c r="AI16" s="88">
        <v>14831</v>
      </c>
      <c r="AJ16" s="58">
        <v>1631944</v>
      </c>
      <c r="AK16" s="99" t="s">
        <v>316</v>
      </c>
      <c r="AL16" s="88">
        <v>20198</v>
      </c>
      <c r="AM16" s="73"/>
      <c r="AN16" s="117">
        <v>3984339.1408665041</v>
      </c>
      <c r="AO16" s="119">
        <v>70105373.902002349</v>
      </c>
      <c r="AP16" s="145">
        <v>1086441.3725902964</v>
      </c>
      <c r="AQ16" s="266"/>
    </row>
    <row r="17" spans="1:43" x14ac:dyDescent="0.25">
      <c r="A17" s="202" t="s">
        <v>45</v>
      </c>
      <c r="B17" s="202" t="s">
        <v>46</v>
      </c>
      <c r="C17" s="141">
        <f t="shared" si="9"/>
        <v>11932727.319712</v>
      </c>
      <c r="D17" s="119">
        <f t="shared" si="0"/>
        <v>5609427.3410000009</v>
      </c>
      <c r="E17" s="119">
        <f t="shared" si="1"/>
        <v>1457392.527</v>
      </c>
      <c r="F17" s="119">
        <f t="shared" si="2"/>
        <v>612051.03200000001</v>
      </c>
      <c r="G17" s="119">
        <f t="shared" si="3"/>
        <v>18467869.94842371</v>
      </c>
      <c r="H17" s="119">
        <f t="shared" si="4"/>
        <v>0</v>
      </c>
      <c r="I17" s="119">
        <f t="shared" si="5"/>
        <v>1612637.231381</v>
      </c>
      <c r="J17" s="119">
        <f t="shared" si="6"/>
        <v>1945955.9938940003</v>
      </c>
      <c r="K17" s="119">
        <f t="shared" si="7"/>
        <v>1971531.7139241353</v>
      </c>
      <c r="L17" s="58">
        <f t="shared" si="8"/>
        <v>7404701.9760829406</v>
      </c>
      <c r="M17" s="147">
        <v>2.4094405182159283E-2</v>
      </c>
      <c r="N17" s="267">
        <v>664.2</v>
      </c>
      <c r="O17" s="268">
        <v>1326.34</v>
      </c>
      <c r="P17" s="268">
        <v>90.18</v>
      </c>
      <c r="Q17" s="268">
        <v>0</v>
      </c>
      <c r="R17" s="269">
        <v>14.7</v>
      </c>
      <c r="S17" s="141">
        <v>4</v>
      </c>
      <c r="T17" s="119">
        <v>56</v>
      </c>
      <c r="U17" s="119">
        <v>214</v>
      </c>
      <c r="V17" s="119">
        <v>0</v>
      </c>
      <c r="W17" s="145">
        <v>0</v>
      </c>
      <c r="X17" s="141">
        <v>379885</v>
      </c>
      <c r="Y17" s="58">
        <v>351260</v>
      </c>
      <c r="Z17" s="88">
        <v>99992</v>
      </c>
      <c r="AA17" s="88">
        <f>VLOOKUP(B17,'Renseanlæg 2021'!L:M,2,FALSE)</f>
        <v>18467869.94842371</v>
      </c>
      <c r="AB17" s="145">
        <v>0</v>
      </c>
      <c r="AC17" s="141">
        <v>671.73</v>
      </c>
      <c r="AD17" s="119">
        <v>895.75</v>
      </c>
      <c r="AE17" s="145">
        <v>0</v>
      </c>
      <c r="AF17" s="141">
        <v>1519.05</v>
      </c>
      <c r="AG17" s="119">
        <v>0</v>
      </c>
      <c r="AH17" s="58">
        <v>48.43</v>
      </c>
      <c r="AI17" s="88">
        <v>32225</v>
      </c>
      <c r="AJ17" s="58">
        <v>4016075</v>
      </c>
      <c r="AK17" s="99" t="s">
        <v>316</v>
      </c>
      <c r="AL17" s="88">
        <v>34741</v>
      </c>
      <c r="AM17" s="73"/>
      <c r="AN17" s="117">
        <v>15290379.727967922</v>
      </c>
      <c r="AO17" s="119">
        <v>231346735.43542483</v>
      </c>
      <c r="AP17" s="145">
        <v>3421453.3333333335</v>
      </c>
      <c r="AQ17" s="266"/>
    </row>
    <row r="18" spans="1:43" x14ac:dyDescent="0.25">
      <c r="A18" s="202" t="s">
        <v>47</v>
      </c>
      <c r="B18" s="202" t="s">
        <v>48</v>
      </c>
      <c r="C18" s="141">
        <f t="shared" si="9"/>
        <v>11835714.839802999</v>
      </c>
      <c r="D18" s="119">
        <f t="shared" si="0"/>
        <v>7691168.8515599994</v>
      </c>
      <c r="E18" s="119">
        <f t="shared" si="1"/>
        <v>1354342.03</v>
      </c>
      <c r="F18" s="119">
        <f t="shared" si="2"/>
        <v>242318.14800000002</v>
      </c>
      <c r="G18" s="119">
        <f t="shared" si="3"/>
        <v>38806002.655303091</v>
      </c>
      <c r="H18" s="119">
        <f t="shared" si="4"/>
        <v>22905.655999999999</v>
      </c>
      <c r="I18" s="119">
        <f t="shared" si="5"/>
        <v>5645154.8145000003</v>
      </c>
      <c r="J18" s="119">
        <f t="shared" si="6"/>
        <v>2328665.20695</v>
      </c>
      <c r="K18" s="119">
        <f t="shared" si="7"/>
        <v>2452151.7999659185</v>
      </c>
      <c r="L18" s="58">
        <f t="shared" si="8"/>
        <v>16238932.56282785</v>
      </c>
      <c r="M18" s="147">
        <v>4.8001289328290175E-2</v>
      </c>
      <c r="N18" s="267">
        <v>812.78</v>
      </c>
      <c r="O18" s="268">
        <v>1846.52</v>
      </c>
      <c r="P18" s="268">
        <v>94.29</v>
      </c>
      <c r="Q18" s="268">
        <v>0</v>
      </c>
      <c r="R18" s="269">
        <v>6.07</v>
      </c>
      <c r="S18" s="141">
        <v>123</v>
      </c>
      <c r="T18" s="119">
        <v>142</v>
      </c>
      <c r="U18" s="119">
        <v>207</v>
      </c>
      <c r="V18" s="119">
        <v>3006.2</v>
      </c>
      <c r="W18" s="145">
        <v>0</v>
      </c>
      <c r="X18" s="141">
        <v>205992</v>
      </c>
      <c r="Y18" s="58">
        <v>412660</v>
      </c>
      <c r="Z18" s="88">
        <v>39588</v>
      </c>
      <c r="AA18" s="88">
        <f>VLOOKUP(B18,'Renseanlæg 2021'!L:M,2,FALSE)</f>
        <v>38806002.655303091</v>
      </c>
      <c r="AB18" s="145">
        <v>8</v>
      </c>
      <c r="AC18" s="141">
        <v>974</v>
      </c>
      <c r="AD18" s="119">
        <v>3168</v>
      </c>
      <c r="AE18" s="145">
        <v>1328</v>
      </c>
      <c r="AF18" s="141">
        <v>1979</v>
      </c>
      <c r="AG18" s="119">
        <v>0</v>
      </c>
      <c r="AH18" s="58">
        <v>9.5</v>
      </c>
      <c r="AI18" s="88">
        <v>56045</v>
      </c>
      <c r="AJ18" s="58">
        <v>8912719</v>
      </c>
      <c r="AK18" s="99" t="s">
        <v>316</v>
      </c>
      <c r="AL18" s="88">
        <v>95308</v>
      </c>
      <c r="AM18" s="73"/>
      <c r="AN18" s="117">
        <v>46489043.714384474</v>
      </c>
      <c r="AO18" s="119">
        <v>210200608.87666667</v>
      </c>
      <c r="AP18" s="145">
        <v>8318640</v>
      </c>
      <c r="AQ18" s="266"/>
    </row>
    <row r="19" spans="1:43" x14ac:dyDescent="0.25">
      <c r="A19" s="202" t="s">
        <v>49</v>
      </c>
      <c r="B19" s="202" t="s">
        <v>50</v>
      </c>
      <c r="C19" s="141">
        <f t="shared" si="9"/>
        <v>3898737.5758080003</v>
      </c>
      <c r="D19" s="119">
        <f t="shared" si="0"/>
        <v>4049753.6337000001</v>
      </c>
      <c r="E19" s="119">
        <f t="shared" si="1"/>
        <v>1224522.6000000001</v>
      </c>
      <c r="F19" s="119">
        <f t="shared" si="2"/>
        <v>28242.294000000002</v>
      </c>
      <c r="G19" s="119">
        <f t="shared" si="3"/>
        <v>10013226.718691131</v>
      </c>
      <c r="H19" s="119">
        <f t="shared" si="4"/>
        <v>42948.104999999996</v>
      </c>
      <c r="I19" s="119">
        <f t="shared" si="5"/>
        <v>1223908.4512150001</v>
      </c>
      <c r="J19" s="119">
        <f t="shared" si="6"/>
        <v>1157988.9393</v>
      </c>
      <c r="K19" s="119">
        <f t="shared" si="7"/>
        <v>1475046.1653188546</v>
      </c>
      <c r="L19" s="58">
        <f t="shared" si="8"/>
        <v>3414123.4419476804</v>
      </c>
      <c r="M19" s="147">
        <v>2.6553874042132435E-2</v>
      </c>
      <c r="N19" s="267">
        <v>463.82</v>
      </c>
      <c r="O19" s="268">
        <v>724.6</v>
      </c>
      <c r="P19" s="268">
        <v>0</v>
      </c>
      <c r="Q19" s="268">
        <v>0</v>
      </c>
      <c r="R19" s="269">
        <v>0.57999999999999996</v>
      </c>
      <c r="S19" s="141">
        <v>0</v>
      </c>
      <c r="T19" s="119">
        <v>219</v>
      </c>
      <c r="U19" s="119">
        <v>56</v>
      </c>
      <c r="V19" s="119">
        <v>1000</v>
      </c>
      <c r="W19" s="145">
        <v>0</v>
      </c>
      <c r="X19" s="141">
        <v>212000</v>
      </c>
      <c r="Y19" s="58">
        <v>358000</v>
      </c>
      <c r="Z19" s="88">
        <v>4614</v>
      </c>
      <c r="AA19" s="88">
        <f>VLOOKUP(B19,'Renseanlæg 2021'!L:M,2,FALSE)</f>
        <v>10013226.718691131</v>
      </c>
      <c r="AB19" s="145">
        <v>15</v>
      </c>
      <c r="AC19" s="141">
        <v>794</v>
      </c>
      <c r="AD19" s="119">
        <v>0</v>
      </c>
      <c r="AE19" s="145">
        <v>159.37</v>
      </c>
      <c r="AF19" s="141">
        <v>794.4</v>
      </c>
      <c r="AG19" s="119">
        <v>0</v>
      </c>
      <c r="AH19" s="58">
        <v>15</v>
      </c>
      <c r="AI19" s="88">
        <v>15437</v>
      </c>
      <c r="AJ19" s="58">
        <v>1830155</v>
      </c>
      <c r="AK19" s="99" t="s">
        <v>316</v>
      </c>
      <c r="AL19" s="88">
        <v>19336</v>
      </c>
      <c r="AM19" s="73"/>
      <c r="AN19" s="117">
        <v>9768607.5998658855</v>
      </c>
      <c r="AO19" s="119">
        <v>98736575.24166666</v>
      </c>
      <c r="AP19" s="145">
        <v>1031800</v>
      </c>
      <c r="AQ19" s="266"/>
    </row>
    <row r="20" spans="1:43" x14ac:dyDescent="0.25">
      <c r="A20" s="202" t="s">
        <v>51</v>
      </c>
      <c r="B20" s="202" t="s">
        <v>52</v>
      </c>
      <c r="C20" s="141">
        <f t="shared" si="9"/>
        <v>2865551.0968160001</v>
      </c>
      <c r="D20" s="119">
        <f t="shared" si="0"/>
        <v>3662994.6461000005</v>
      </c>
      <c r="E20" s="119">
        <f t="shared" si="1"/>
        <v>286312.04729999998</v>
      </c>
      <c r="F20" s="119">
        <f t="shared" si="2"/>
        <v>41530.985000000001</v>
      </c>
      <c r="G20" s="119">
        <f t="shared" si="3"/>
        <v>0</v>
      </c>
      <c r="H20" s="119">
        <f t="shared" si="4"/>
        <v>148886.764</v>
      </c>
      <c r="I20" s="119">
        <f t="shared" si="5"/>
        <v>0</v>
      </c>
      <c r="J20" s="119">
        <f t="shared" si="6"/>
        <v>0</v>
      </c>
      <c r="K20" s="119">
        <f t="shared" si="7"/>
        <v>1355286.5306488432</v>
      </c>
      <c r="L20" s="58">
        <f t="shared" si="8"/>
        <v>1920832.3665201708</v>
      </c>
      <c r="M20" s="147">
        <v>2.6463088104041816E-2</v>
      </c>
      <c r="N20" s="267">
        <v>265.10000000000002</v>
      </c>
      <c r="O20" s="268">
        <v>424</v>
      </c>
      <c r="P20" s="268">
        <v>0</v>
      </c>
      <c r="Q20" s="268">
        <v>0</v>
      </c>
      <c r="R20" s="269">
        <v>2.48</v>
      </c>
      <c r="S20" s="141">
        <v>216</v>
      </c>
      <c r="T20" s="119">
        <v>0</v>
      </c>
      <c r="U20" s="119">
        <v>131</v>
      </c>
      <c r="V20" s="119">
        <v>0</v>
      </c>
      <c r="W20" s="145">
        <v>0</v>
      </c>
      <c r="X20" s="141">
        <v>0</v>
      </c>
      <c r="Y20" s="58">
        <v>112779</v>
      </c>
      <c r="Z20" s="88">
        <v>6785</v>
      </c>
      <c r="AA20" s="88">
        <f>VLOOKUP(B20,'Renseanlæg 2021'!L:M,2,FALSE)</f>
        <v>0</v>
      </c>
      <c r="AB20" s="145">
        <v>52</v>
      </c>
      <c r="AC20" s="141">
        <v>0</v>
      </c>
      <c r="AD20" s="119">
        <v>0</v>
      </c>
      <c r="AE20" s="145">
        <v>0</v>
      </c>
      <c r="AF20" s="141">
        <v>0</v>
      </c>
      <c r="AG20" s="119">
        <v>0</v>
      </c>
      <c r="AH20" s="58">
        <v>0</v>
      </c>
      <c r="AI20" s="88">
        <v>12453</v>
      </c>
      <c r="AJ20" s="58">
        <v>1422834</v>
      </c>
      <c r="AK20" s="99" t="s">
        <v>315</v>
      </c>
      <c r="AL20" s="88">
        <v>12453</v>
      </c>
      <c r="AM20" s="73"/>
      <c r="AN20" s="117">
        <v>0</v>
      </c>
      <c r="AO20" s="119">
        <v>61071809.161914445</v>
      </c>
      <c r="AP20" s="145">
        <v>225000</v>
      </c>
      <c r="AQ20" s="266"/>
    </row>
    <row r="21" spans="1:43" x14ac:dyDescent="0.25">
      <c r="A21" s="202" t="s">
        <v>53</v>
      </c>
      <c r="B21" s="202" t="s">
        <v>54</v>
      </c>
      <c r="C21" s="141">
        <f t="shared" si="9"/>
        <v>0</v>
      </c>
      <c r="D21" s="119">
        <f t="shared" si="0"/>
        <v>0</v>
      </c>
      <c r="E21" s="119">
        <f t="shared" si="1"/>
        <v>0</v>
      </c>
      <c r="F21" s="119">
        <f t="shared" si="2"/>
        <v>55854.125000000007</v>
      </c>
      <c r="G21" s="119">
        <f t="shared" si="3"/>
        <v>21562579.511673544</v>
      </c>
      <c r="H21" s="119">
        <f t="shared" si="4"/>
        <v>0</v>
      </c>
      <c r="I21" s="119">
        <f t="shared" si="5"/>
        <v>2445856.1802500002</v>
      </c>
      <c r="J21" s="119">
        <f t="shared" si="6"/>
        <v>1518193.8074700003</v>
      </c>
      <c r="K21" s="119">
        <f t="shared" si="7"/>
        <v>50787.322169710002</v>
      </c>
      <c r="L21" s="58">
        <f t="shared" si="8"/>
        <v>1991845.5052021795</v>
      </c>
      <c r="M21" s="147">
        <v>0</v>
      </c>
      <c r="N21" s="267">
        <v>0</v>
      </c>
      <c r="O21" s="268">
        <v>0</v>
      </c>
      <c r="P21" s="268">
        <v>0</v>
      </c>
      <c r="Q21" s="268">
        <v>0</v>
      </c>
      <c r="R21" s="269">
        <v>0</v>
      </c>
      <c r="S21" s="141">
        <v>0</v>
      </c>
      <c r="T21" s="119">
        <v>0</v>
      </c>
      <c r="U21" s="119">
        <v>0</v>
      </c>
      <c r="V21" s="119">
        <v>0</v>
      </c>
      <c r="W21" s="145">
        <v>0</v>
      </c>
      <c r="X21" s="141">
        <v>0</v>
      </c>
      <c r="Y21" s="58">
        <v>0</v>
      </c>
      <c r="Z21" s="88">
        <v>9125</v>
      </c>
      <c r="AA21" s="88">
        <f>VLOOKUP(B21,'Renseanlæg 2021'!L:M,2,FALSE)</f>
        <v>21562579.511673544</v>
      </c>
      <c r="AB21" s="145">
        <v>0</v>
      </c>
      <c r="AC21" s="141">
        <v>161</v>
      </c>
      <c r="AD21" s="119">
        <v>1340</v>
      </c>
      <c r="AE21" s="145">
        <v>381.9</v>
      </c>
      <c r="AF21" s="141">
        <v>1184.94</v>
      </c>
      <c r="AG21" s="119">
        <v>0</v>
      </c>
      <c r="AH21" s="58">
        <v>0</v>
      </c>
      <c r="AI21" s="88">
        <v>3</v>
      </c>
      <c r="AJ21" s="58">
        <v>2154096</v>
      </c>
      <c r="AK21" s="99" t="s">
        <v>317</v>
      </c>
      <c r="AL21" s="88">
        <v>3</v>
      </c>
      <c r="AM21" s="73"/>
      <c r="AN21" s="117">
        <v>18197583.02657434</v>
      </c>
      <c r="AO21" s="119">
        <v>2113319.583333333</v>
      </c>
      <c r="AP21" s="145">
        <v>932352.46666666667</v>
      </c>
      <c r="AQ21" s="266"/>
    </row>
    <row r="22" spans="1:43" x14ac:dyDescent="0.25">
      <c r="A22" s="202" t="s">
        <v>55</v>
      </c>
      <c r="B22" s="202" t="s">
        <v>56</v>
      </c>
      <c r="C22" s="141">
        <f t="shared" si="9"/>
        <v>4670414.2644429998</v>
      </c>
      <c r="D22" s="119">
        <f t="shared" si="0"/>
        <v>12362455.556700001</v>
      </c>
      <c r="E22" s="119">
        <f t="shared" si="1"/>
        <v>355813.23249999998</v>
      </c>
      <c r="F22" s="119">
        <f t="shared" si="2"/>
        <v>89716.170310000016</v>
      </c>
      <c r="G22" s="119">
        <f t="shared" si="3"/>
        <v>10669921.172782529</v>
      </c>
      <c r="H22" s="119">
        <f t="shared" si="4"/>
        <v>186108.45499999999</v>
      </c>
      <c r="I22" s="119">
        <f t="shared" si="5"/>
        <v>2439068.8810000001</v>
      </c>
      <c r="J22" s="119">
        <f t="shared" si="6"/>
        <v>1920169.7776000001</v>
      </c>
      <c r="K22" s="119">
        <f t="shared" si="7"/>
        <v>1733035.9000008143</v>
      </c>
      <c r="L22" s="58">
        <f t="shared" si="8"/>
        <v>4407967.1328057414</v>
      </c>
      <c r="M22" s="147">
        <v>2.2938031378736085E-2</v>
      </c>
      <c r="N22" s="267">
        <v>764.02</v>
      </c>
      <c r="O22" s="268">
        <v>542.25</v>
      </c>
      <c r="P22" s="268">
        <v>0</v>
      </c>
      <c r="Q22" s="268">
        <v>0</v>
      </c>
      <c r="R22" s="269">
        <v>3.23</v>
      </c>
      <c r="S22" s="141">
        <v>251</v>
      </c>
      <c r="T22" s="119">
        <v>617</v>
      </c>
      <c r="U22" s="119">
        <v>165</v>
      </c>
      <c r="V22" s="119">
        <v>2533</v>
      </c>
      <c r="W22" s="145">
        <v>736</v>
      </c>
      <c r="X22" s="141">
        <v>82624</v>
      </c>
      <c r="Y22" s="58">
        <v>91695</v>
      </c>
      <c r="Z22" s="88">
        <v>14657.11</v>
      </c>
      <c r="AA22" s="88">
        <f>VLOOKUP(B22,'Renseanlæg 2021'!L:M,2,FALSE)</f>
        <v>10669921.172782529</v>
      </c>
      <c r="AB22" s="145">
        <v>65</v>
      </c>
      <c r="AC22" s="141">
        <v>825</v>
      </c>
      <c r="AD22" s="119">
        <v>0</v>
      </c>
      <c r="AE22" s="145">
        <v>886</v>
      </c>
      <c r="AF22" s="141">
        <v>1588</v>
      </c>
      <c r="AG22" s="119">
        <v>0</v>
      </c>
      <c r="AH22" s="58">
        <v>0</v>
      </c>
      <c r="AI22" s="88">
        <v>23235</v>
      </c>
      <c r="AJ22" s="58">
        <v>2372057.9700000002</v>
      </c>
      <c r="AK22" s="99" t="s">
        <v>316</v>
      </c>
      <c r="AL22" s="88">
        <v>23553</v>
      </c>
      <c r="AM22" s="73"/>
      <c r="AN22" s="117">
        <v>8816510.7325252313</v>
      </c>
      <c r="AO22" s="119">
        <v>110541697.88499999</v>
      </c>
      <c r="AP22" s="145">
        <v>2272000</v>
      </c>
      <c r="AQ22" s="266"/>
    </row>
    <row r="23" spans="1:43" x14ac:dyDescent="0.25">
      <c r="A23" s="202" t="s">
        <v>57</v>
      </c>
      <c r="B23" s="202" t="s">
        <v>58</v>
      </c>
      <c r="C23" s="141">
        <f t="shared" si="9"/>
        <v>3925109.0718160002</v>
      </c>
      <c r="D23" s="119">
        <f t="shared" si="0"/>
        <v>6698903.118400001</v>
      </c>
      <c r="E23" s="119">
        <f t="shared" si="1"/>
        <v>522467.4057</v>
      </c>
      <c r="F23" s="119">
        <f t="shared" si="2"/>
        <v>63511.496000000006</v>
      </c>
      <c r="G23" s="119">
        <f t="shared" si="3"/>
        <v>11127561.034141377</v>
      </c>
      <c r="H23" s="119">
        <f t="shared" si="4"/>
        <v>0</v>
      </c>
      <c r="I23" s="119">
        <f t="shared" si="5"/>
        <v>1665884.0429</v>
      </c>
      <c r="J23" s="119">
        <f t="shared" si="6"/>
        <v>2914301.3149999995</v>
      </c>
      <c r="K23" s="119">
        <f t="shared" si="7"/>
        <v>1605850.2677561564</v>
      </c>
      <c r="L23" s="58">
        <f t="shared" si="8"/>
        <v>5393569.0647376096</v>
      </c>
      <c r="M23" s="147">
        <v>7.4662716682012895E-2</v>
      </c>
      <c r="N23" s="267">
        <v>134.30000000000001</v>
      </c>
      <c r="O23" s="268">
        <v>451.8</v>
      </c>
      <c r="P23" s="268">
        <v>91.4</v>
      </c>
      <c r="Q23" s="268">
        <v>0</v>
      </c>
      <c r="R23" s="269">
        <v>1.88</v>
      </c>
      <c r="S23" s="141">
        <v>0</v>
      </c>
      <c r="T23" s="119">
        <v>261</v>
      </c>
      <c r="U23" s="119">
        <v>119</v>
      </c>
      <c r="V23" s="119">
        <v>3272</v>
      </c>
      <c r="W23" s="145">
        <v>0</v>
      </c>
      <c r="X23" s="141">
        <v>12600</v>
      </c>
      <c r="Y23" s="58">
        <v>198411</v>
      </c>
      <c r="Z23" s="88">
        <v>10376</v>
      </c>
      <c r="AA23" s="88">
        <f>VLOOKUP(B23,'Renseanlæg 2021'!L:M,2,FALSE)</f>
        <v>11127561.034141377</v>
      </c>
      <c r="AB23" s="145">
        <v>0</v>
      </c>
      <c r="AC23" s="141">
        <v>346</v>
      </c>
      <c r="AD23" s="119">
        <v>1083</v>
      </c>
      <c r="AE23" s="145">
        <v>0</v>
      </c>
      <c r="AF23" s="141">
        <v>346</v>
      </c>
      <c r="AG23" s="119">
        <v>758</v>
      </c>
      <c r="AH23" s="58">
        <v>0</v>
      </c>
      <c r="AI23" s="88">
        <v>19150</v>
      </c>
      <c r="AJ23" s="58">
        <v>2911312</v>
      </c>
      <c r="AK23" s="99" t="s">
        <v>316</v>
      </c>
      <c r="AL23" s="88">
        <v>37300</v>
      </c>
      <c r="AM23" s="73"/>
      <c r="AN23" s="117">
        <v>11026513.535406126</v>
      </c>
      <c r="AO23" s="119">
        <v>71791127.911199987</v>
      </c>
      <c r="AP23" s="145">
        <v>6026036.3200000003</v>
      </c>
      <c r="AQ23" s="266"/>
    </row>
    <row r="24" spans="1:43" x14ac:dyDescent="0.25">
      <c r="A24" s="202" t="s">
        <v>59</v>
      </c>
      <c r="B24" s="202" t="s">
        <v>60</v>
      </c>
      <c r="C24" s="141">
        <f t="shared" si="9"/>
        <v>2895372.54293</v>
      </c>
      <c r="D24" s="119">
        <f t="shared" si="0"/>
        <v>3106021.1159999999</v>
      </c>
      <c r="E24" s="119">
        <f t="shared" si="1"/>
        <v>314717.65840000001</v>
      </c>
      <c r="F24" s="119">
        <f t="shared" si="2"/>
        <v>65892.565000000002</v>
      </c>
      <c r="G24" s="119">
        <f t="shared" si="3"/>
        <v>4685115.5157179832</v>
      </c>
      <c r="H24" s="119">
        <f t="shared" si="4"/>
        <v>2863.2069999999999</v>
      </c>
      <c r="I24" s="119">
        <f t="shared" si="5"/>
        <v>1034732.7346</v>
      </c>
      <c r="J24" s="119">
        <f t="shared" si="6"/>
        <v>1017603.7751000001</v>
      </c>
      <c r="K24" s="119">
        <f t="shared" si="7"/>
        <v>1303723.2246684991</v>
      </c>
      <c r="L24" s="58">
        <f t="shared" si="8"/>
        <v>3432822.0582036627</v>
      </c>
      <c r="M24" s="147">
        <v>5.3052441695657766E-2</v>
      </c>
      <c r="N24" s="267">
        <v>153</v>
      </c>
      <c r="O24" s="268">
        <v>505.6</v>
      </c>
      <c r="P24" s="268">
        <v>0</v>
      </c>
      <c r="Q24" s="268">
        <v>0</v>
      </c>
      <c r="R24" s="269">
        <v>2.4500000000000002</v>
      </c>
      <c r="S24" s="141">
        <v>16</v>
      </c>
      <c r="T24" s="119">
        <v>105</v>
      </c>
      <c r="U24" s="119">
        <v>63</v>
      </c>
      <c r="V24" s="119">
        <v>690</v>
      </c>
      <c r="W24" s="145">
        <v>986</v>
      </c>
      <c r="X24" s="141">
        <v>44851</v>
      </c>
      <c r="Y24" s="58">
        <v>97662</v>
      </c>
      <c r="Z24" s="88">
        <v>10765</v>
      </c>
      <c r="AA24" s="88">
        <f>VLOOKUP(B24,'Renseanlæg 2021'!L:M,2,FALSE)</f>
        <v>4685115.5157179832</v>
      </c>
      <c r="AB24" s="145">
        <v>1</v>
      </c>
      <c r="AC24" s="141">
        <v>683</v>
      </c>
      <c r="AD24" s="119">
        <v>0</v>
      </c>
      <c r="AE24" s="145">
        <v>64</v>
      </c>
      <c r="AF24" s="141">
        <v>683</v>
      </c>
      <c r="AG24" s="119">
        <v>0</v>
      </c>
      <c r="AH24" s="58">
        <v>0</v>
      </c>
      <c r="AI24" s="88">
        <v>11286</v>
      </c>
      <c r="AJ24" s="58">
        <v>1840330.5</v>
      </c>
      <c r="AK24" s="99" t="s">
        <v>316</v>
      </c>
      <c r="AL24" s="88">
        <v>20587</v>
      </c>
      <c r="AM24" s="73"/>
      <c r="AN24" s="117">
        <v>4031513.8893885971</v>
      </c>
      <c r="AO24" s="119">
        <v>53656995.488800004</v>
      </c>
      <c r="AP24" s="145">
        <v>514672.83999999997</v>
      </c>
      <c r="AQ24" s="266"/>
    </row>
    <row r="25" spans="1:43" x14ac:dyDescent="0.25">
      <c r="A25" s="202" t="s">
        <v>61</v>
      </c>
      <c r="B25" s="202" t="s">
        <v>62</v>
      </c>
      <c r="C25" s="141">
        <f t="shared" si="9"/>
        <v>5890865.0977830002</v>
      </c>
      <c r="D25" s="119">
        <f t="shared" si="0"/>
        <v>3415885.4635000001</v>
      </c>
      <c r="E25" s="119">
        <f t="shared" si="1"/>
        <v>1047365.5082</v>
      </c>
      <c r="F25" s="119">
        <f t="shared" si="2"/>
        <v>109584.26300000001</v>
      </c>
      <c r="G25" s="119">
        <f t="shared" si="3"/>
        <v>18863559.680566125</v>
      </c>
      <c r="H25" s="119">
        <f t="shared" si="4"/>
        <v>20042.449000000001</v>
      </c>
      <c r="I25" s="119">
        <f t="shared" si="5"/>
        <v>2912592.8267000001</v>
      </c>
      <c r="J25" s="119">
        <f t="shared" si="6"/>
        <v>1585073.4495999999</v>
      </c>
      <c r="K25" s="119">
        <f t="shared" si="7"/>
        <v>1577229.5713063297</v>
      </c>
      <c r="L25" s="58">
        <f t="shared" si="8"/>
        <v>8643606.3533405643</v>
      </c>
      <c r="M25" s="147">
        <v>4.0798082775410839E-2</v>
      </c>
      <c r="N25" s="267">
        <v>213.81</v>
      </c>
      <c r="O25" s="268">
        <v>759.03</v>
      </c>
      <c r="P25" s="268">
        <v>81</v>
      </c>
      <c r="Q25" s="268">
        <v>0</v>
      </c>
      <c r="R25" s="269">
        <v>4.8</v>
      </c>
      <c r="S25" s="141">
        <v>298</v>
      </c>
      <c r="T25" s="119">
        <v>90</v>
      </c>
      <c r="U25" s="119">
        <v>29</v>
      </c>
      <c r="V25" s="119">
        <v>120</v>
      </c>
      <c r="W25" s="145">
        <v>3978</v>
      </c>
      <c r="X25" s="141">
        <v>304156</v>
      </c>
      <c r="Y25" s="58">
        <v>234166</v>
      </c>
      <c r="Z25" s="88">
        <v>17903</v>
      </c>
      <c r="AA25" s="88">
        <f>VLOOKUP(B25,'Renseanlæg 2021'!L:M,2,FALSE)</f>
        <v>18863559.680566125</v>
      </c>
      <c r="AB25" s="145">
        <v>7</v>
      </c>
      <c r="AC25" s="141">
        <v>0</v>
      </c>
      <c r="AD25" s="119">
        <v>2833</v>
      </c>
      <c r="AE25" s="145">
        <v>0</v>
      </c>
      <c r="AF25" s="141">
        <v>1252</v>
      </c>
      <c r="AG25" s="119">
        <v>0</v>
      </c>
      <c r="AH25" s="58">
        <v>0</v>
      </c>
      <c r="AI25" s="88">
        <v>18296</v>
      </c>
      <c r="AJ25" s="58">
        <v>4699000</v>
      </c>
      <c r="AK25" s="99" t="s">
        <v>316</v>
      </c>
      <c r="AL25" s="88">
        <v>32175</v>
      </c>
      <c r="AM25" s="73"/>
      <c r="AN25" s="117">
        <v>33102161.110077463</v>
      </c>
      <c r="AO25" s="119">
        <v>92306502.816666678</v>
      </c>
      <c r="AP25" s="145">
        <v>2308973.333333333</v>
      </c>
      <c r="AQ25" s="266"/>
    </row>
    <row r="26" spans="1:43" x14ac:dyDescent="0.25">
      <c r="A26" s="202" t="s">
        <v>63</v>
      </c>
      <c r="B26" s="202" t="s">
        <v>64</v>
      </c>
      <c r="C26" s="141">
        <f t="shared" si="9"/>
        <v>5214990.1930780001</v>
      </c>
      <c r="D26" s="119">
        <f t="shared" si="0"/>
        <v>1012479.5299280001</v>
      </c>
      <c r="E26" s="119">
        <f t="shared" si="1"/>
        <v>3046.44</v>
      </c>
      <c r="F26" s="119">
        <f t="shared" si="2"/>
        <v>85754.475480000008</v>
      </c>
      <c r="G26" s="119">
        <f t="shared" si="3"/>
        <v>0</v>
      </c>
      <c r="H26" s="119">
        <f t="shared" si="4"/>
        <v>0</v>
      </c>
      <c r="I26" s="119">
        <f t="shared" si="5"/>
        <v>0</v>
      </c>
      <c r="J26" s="119">
        <f t="shared" si="6"/>
        <v>0</v>
      </c>
      <c r="K26" s="119">
        <f t="shared" si="7"/>
        <v>945595.37988245965</v>
      </c>
      <c r="L26" s="58">
        <f t="shared" si="8"/>
        <v>6997106.9564160928</v>
      </c>
      <c r="M26" s="147">
        <v>0.3204557526824604</v>
      </c>
      <c r="N26" s="267">
        <v>2.34</v>
      </c>
      <c r="O26" s="268">
        <v>10.92</v>
      </c>
      <c r="P26" s="268">
        <v>25.59</v>
      </c>
      <c r="Q26" s="268">
        <v>146.75</v>
      </c>
      <c r="R26" s="269">
        <v>8.84</v>
      </c>
      <c r="S26" s="141">
        <v>0</v>
      </c>
      <c r="T26" s="119">
        <v>3</v>
      </c>
      <c r="U26" s="119">
        <v>5</v>
      </c>
      <c r="V26" s="119">
        <v>432</v>
      </c>
      <c r="W26" s="145">
        <v>3386.16</v>
      </c>
      <c r="X26" s="141">
        <v>0</v>
      </c>
      <c r="Y26" s="58">
        <v>1200</v>
      </c>
      <c r="Z26" s="88">
        <v>14009.88</v>
      </c>
      <c r="AA26" s="88">
        <f>VLOOKUP(B26,'Renseanlæg 2021'!L:M,2,FALSE)</f>
        <v>0</v>
      </c>
      <c r="AB26" s="145">
        <v>0</v>
      </c>
      <c r="AC26" s="141">
        <v>0</v>
      </c>
      <c r="AD26" s="119">
        <v>0</v>
      </c>
      <c r="AE26" s="145">
        <v>0</v>
      </c>
      <c r="AF26" s="141">
        <v>0</v>
      </c>
      <c r="AG26" s="119">
        <v>0</v>
      </c>
      <c r="AH26" s="58">
        <v>0</v>
      </c>
      <c r="AI26" s="88">
        <v>4997</v>
      </c>
      <c r="AJ26" s="58">
        <v>4818970</v>
      </c>
      <c r="AK26" s="99" t="s">
        <v>315</v>
      </c>
      <c r="AL26" s="88">
        <v>60329</v>
      </c>
      <c r="AM26" s="73"/>
      <c r="AN26" s="117">
        <v>40183.574262755486</v>
      </c>
      <c r="AO26" s="119">
        <v>46098476.154411189</v>
      </c>
      <c r="AP26" s="145">
        <v>1900826.6666666667</v>
      </c>
      <c r="AQ26" s="266"/>
    </row>
    <row r="27" spans="1:43" x14ac:dyDescent="0.25">
      <c r="A27" s="202" t="s">
        <v>65</v>
      </c>
      <c r="B27" s="202" t="s">
        <v>66</v>
      </c>
      <c r="C27" s="141">
        <f t="shared" si="9"/>
        <v>5359503.9640859999</v>
      </c>
      <c r="D27" s="119">
        <f t="shared" si="0"/>
        <v>7941760.2336999997</v>
      </c>
      <c r="E27" s="119">
        <f t="shared" si="1"/>
        <v>356344.76679999998</v>
      </c>
      <c r="F27" s="119">
        <f t="shared" si="2"/>
        <v>25463.360000000001</v>
      </c>
      <c r="G27" s="119">
        <f t="shared" si="3"/>
        <v>32960227.464230631</v>
      </c>
      <c r="H27" s="119">
        <f t="shared" si="4"/>
        <v>0</v>
      </c>
      <c r="I27" s="119">
        <f t="shared" si="5"/>
        <v>4589582.5471999999</v>
      </c>
      <c r="J27" s="119">
        <f t="shared" si="6"/>
        <v>3755221.0976000004</v>
      </c>
      <c r="K27" s="119">
        <f t="shared" si="7"/>
        <v>1750830.6561020657</v>
      </c>
      <c r="L27" s="58">
        <f t="shared" si="8"/>
        <v>6800913.7699845927</v>
      </c>
      <c r="M27" s="147">
        <v>4.817023552114575E-2</v>
      </c>
      <c r="N27" s="267">
        <v>226.38</v>
      </c>
      <c r="O27" s="268">
        <v>852.29</v>
      </c>
      <c r="P27" s="268">
        <v>50.85</v>
      </c>
      <c r="Q27" s="268">
        <v>0</v>
      </c>
      <c r="R27" s="269">
        <v>3.26</v>
      </c>
      <c r="S27" s="141">
        <v>2</v>
      </c>
      <c r="T27" s="119">
        <v>22</v>
      </c>
      <c r="U27" s="119">
        <v>119</v>
      </c>
      <c r="V27" s="119">
        <v>8422</v>
      </c>
      <c r="W27" s="145">
        <v>10552</v>
      </c>
      <c r="X27" s="141">
        <v>78976</v>
      </c>
      <c r="Y27" s="58">
        <v>94044</v>
      </c>
      <c r="Z27" s="88">
        <v>4160</v>
      </c>
      <c r="AA27" s="88">
        <f>VLOOKUP(B27,'Renseanlæg 2021'!L:M,2,FALSE)</f>
        <v>32960227.464230631</v>
      </c>
      <c r="AB27" s="145">
        <v>0</v>
      </c>
      <c r="AC27" s="141">
        <v>1425</v>
      </c>
      <c r="AD27" s="119">
        <v>4503</v>
      </c>
      <c r="AE27" s="145">
        <v>0</v>
      </c>
      <c r="AF27" s="141">
        <v>3428</v>
      </c>
      <c r="AG27" s="119">
        <v>0</v>
      </c>
      <c r="AH27" s="58">
        <v>0</v>
      </c>
      <c r="AI27" s="88">
        <v>23845</v>
      </c>
      <c r="AJ27" s="58">
        <v>3683857</v>
      </c>
      <c r="AK27" s="99" t="s">
        <v>316</v>
      </c>
      <c r="AL27" s="88">
        <v>41437</v>
      </c>
      <c r="AM27" s="73"/>
      <c r="AN27" s="117">
        <v>33837145.773426384</v>
      </c>
      <c r="AO27" s="119">
        <v>108992171.48200005</v>
      </c>
      <c r="AP27" s="145">
        <v>3233826.666666667</v>
      </c>
      <c r="AQ27" s="266"/>
    </row>
    <row r="28" spans="1:43" x14ac:dyDescent="0.25">
      <c r="A28" s="202" t="s">
        <v>67</v>
      </c>
      <c r="B28" s="202" t="s">
        <v>68</v>
      </c>
      <c r="C28" s="141">
        <f t="shared" si="9"/>
        <v>2915808.8194490001</v>
      </c>
      <c r="D28" s="119">
        <f t="shared" si="0"/>
        <v>10916164.373299999</v>
      </c>
      <c r="E28" s="119">
        <f t="shared" si="1"/>
        <v>407402.84620000003</v>
      </c>
      <c r="F28" s="119">
        <f t="shared" si="2"/>
        <v>122420.00000000001</v>
      </c>
      <c r="G28" s="119">
        <f t="shared" si="3"/>
        <v>9344819.8060714826</v>
      </c>
      <c r="H28" s="119">
        <f t="shared" si="4"/>
        <v>0</v>
      </c>
      <c r="I28" s="119">
        <f t="shared" si="5"/>
        <v>1040356.9270500001</v>
      </c>
      <c r="J28" s="119">
        <f t="shared" si="6"/>
        <v>1406654.60115</v>
      </c>
      <c r="K28" s="119">
        <f t="shared" si="7"/>
        <v>1546037.0576306963</v>
      </c>
      <c r="L28" s="58">
        <f t="shared" si="8"/>
        <v>3727491.5128370426</v>
      </c>
      <c r="M28" s="147">
        <v>4.271234612289624E-2</v>
      </c>
      <c r="N28" s="267">
        <v>291.11</v>
      </c>
      <c r="O28" s="268">
        <v>497.25</v>
      </c>
      <c r="P28" s="268">
        <v>20.98</v>
      </c>
      <c r="Q28" s="268">
        <v>0</v>
      </c>
      <c r="R28" s="269">
        <v>0.31</v>
      </c>
      <c r="S28" s="141">
        <v>16</v>
      </c>
      <c r="T28" s="119">
        <v>42</v>
      </c>
      <c r="U28" s="119">
        <v>131</v>
      </c>
      <c r="V28" s="119">
        <v>21930</v>
      </c>
      <c r="W28" s="145">
        <v>2000</v>
      </c>
      <c r="X28" s="141">
        <v>35465</v>
      </c>
      <c r="Y28" s="58">
        <v>139676</v>
      </c>
      <c r="Z28" s="88">
        <v>20000</v>
      </c>
      <c r="AA28" s="88">
        <f>VLOOKUP(B28,'Renseanlæg 2021'!L:M,2,FALSE)</f>
        <v>9344819.8060714826</v>
      </c>
      <c r="AB28" s="145">
        <v>0</v>
      </c>
      <c r="AC28" s="141">
        <v>1070.5</v>
      </c>
      <c r="AD28" s="119">
        <v>0</v>
      </c>
      <c r="AE28" s="145">
        <v>2.6</v>
      </c>
      <c r="AF28" s="141">
        <v>1073.0999999999999</v>
      </c>
      <c r="AG28" s="119">
        <v>0</v>
      </c>
      <c r="AH28" s="58">
        <v>0</v>
      </c>
      <c r="AI28" s="88">
        <v>17392</v>
      </c>
      <c r="AJ28" s="58">
        <v>2000793</v>
      </c>
      <c r="AK28" s="99" t="s">
        <v>316</v>
      </c>
      <c r="AL28" s="88">
        <v>24947</v>
      </c>
      <c r="AM28" s="73"/>
      <c r="AN28" s="117">
        <v>8263380.4645582698</v>
      </c>
      <c r="AO28" s="119">
        <v>73314187.867508292</v>
      </c>
      <c r="AP28" s="145">
        <v>1780619.6560666598</v>
      </c>
      <c r="AQ28" s="266"/>
    </row>
    <row r="29" spans="1:43" x14ac:dyDescent="0.25">
      <c r="A29" s="202" t="s">
        <v>69</v>
      </c>
      <c r="B29" s="202" t="s">
        <v>70</v>
      </c>
      <c r="C29" s="141">
        <f t="shared" si="9"/>
        <v>2376012.2851749999</v>
      </c>
      <c r="D29" s="119">
        <f t="shared" si="0"/>
        <v>3101853.4243000001</v>
      </c>
      <c r="E29" s="119">
        <f t="shared" si="1"/>
        <v>294828.788</v>
      </c>
      <c r="F29" s="119">
        <f t="shared" si="2"/>
        <v>224493.796</v>
      </c>
      <c r="G29" s="119">
        <f t="shared" si="3"/>
        <v>3623471.175699099</v>
      </c>
      <c r="H29" s="119">
        <f t="shared" si="4"/>
        <v>0</v>
      </c>
      <c r="I29" s="119">
        <f t="shared" si="5"/>
        <v>1239123.7403000002</v>
      </c>
      <c r="J29" s="119">
        <f t="shared" si="6"/>
        <v>1162271.3445000001</v>
      </c>
      <c r="K29" s="119">
        <f t="shared" si="7"/>
        <v>1329071.4725357972</v>
      </c>
      <c r="L29" s="58">
        <f t="shared" si="8"/>
        <v>3191800.1974300439</v>
      </c>
      <c r="M29" s="147">
        <v>7.2121003781368168E-2</v>
      </c>
      <c r="N29" s="267">
        <v>44.15</v>
      </c>
      <c r="O29" s="268">
        <v>350.78</v>
      </c>
      <c r="P29" s="268">
        <v>39.31</v>
      </c>
      <c r="Q29" s="268">
        <v>0</v>
      </c>
      <c r="R29" s="269">
        <v>1.33</v>
      </c>
      <c r="S29" s="141">
        <v>44</v>
      </c>
      <c r="T29" s="119">
        <v>24</v>
      </c>
      <c r="U29" s="119">
        <v>45</v>
      </c>
      <c r="V29" s="119">
        <v>4504</v>
      </c>
      <c r="W29" s="145">
        <v>1120</v>
      </c>
      <c r="X29" s="141">
        <v>20790</v>
      </c>
      <c r="Y29" s="58">
        <v>103940</v>
      </c>
      <c r="Z29" s="88">
        <v>36676</v>
      </c>
      <c r="AA29" s="88">
        <f>VLOOKUP(B29,'Renseanlæg 2021'!L:M,2,FALSE)</f>
        <v>3623471.175699099</v>
      </c>
      <c r="AB29" s="145">
        <v>0</v>
      </c>
      <c r="AC29" s="141">
        <v>0</v>
      </c>
      <c r="AD29" s="119">
        <v>652</v>
      </c>
      <c r="AE29" s="145">
        <v>0</v>
      </c>
      <c r="AF29" s="141">
        <v>0</v>
      </c>
      <c r="AG29" s="119">
        <v>0</v>
      </c>
      <c r="AH29" s="58">
        <v>423</v>
      </c>
      <c r="AI29" s="88">
        <v>11851</v>
      </c>
      <c r="AJ29" s="58">
        <v>1709236</v>
      </c>
      <c r="AK29" s="99" t="s">
        <v>316</v>
      </c>
      <c r="AL29" s="88">
        <v>20980</v>
      </c>
      <c r="AM29" s="73"/>
      <c r="AN29" s="117">
        <v>4304752.5128544625</v>
      </c>
      <c r="AO29" s="119">
        <v>61145963.627433844</v>
      </c>
      <c r="AP29" s="145">
        <v>1169118.8190685506</v>
      </c>
      <c r="AQ29" s="266"/>
    </row>
    <row r="30" spans="1:43" x14ac:dyDescent="0.25">
      <c r="A30" s="202" t="s">
        <v>71</v>
      </c>
      <c r="B30" s="202" t="s">
        <v>72</v>
      </c>
      <c r="C30" s="141">
        <f t="shared" si="9"/>
        <v>6766805.8702079998</v>
      </c>
      <c r="D30" s="119">
        <f t="shared" si="0"/>
        <v>2242373.4409999996</v>
      </c>
      <c r="E30" s="119">
        <f t="shared" si="1"/>
        <v>368.11149999999998</v>
      </c>
      <c r="F30" s="119">
        <f t="shared" si="2"/>
        <v>125235.66</v>
      </c>
      <c r="G30" s="119">
        <f t="shared" si="3"/>
        <v>0</v>
      </c>
      <c r="H30" s="119">
        <f t="shared" si="4"/>
        <v>0</v>
      </c>
      <c r="I30" s="119">
        <f t="shared" si="5"/>
        <v>0</v>
      </c>
      <c r="J30" s="119">
        <f t="shared" si="6"/>
        <v>0</v>
      </c>
      <c r="K30" s="119">
        <f t="shared" si="7"/>
        <v>1530071.6934056585</v>
      </c>
      <c r="L30" s="58">
        <f t="shared" si="8"/>
        <v>5261123.9449941283</v>
      </c>
      <c r="M30" s="147">
        <v>0.10053638801763717</v>
      </c>
      <c r="N30" s="267">
        <v>0.9</v>
      </c>
      <c r="O30" s="268">
        <v>389.01</v>
      </c>
      <c r="P30" s="268">
        <v>84.25</v>
      </c>
      <c r="Q30" s="268">
        <v>0</v>
      </c>
      <c r="R30" s="269">
        <v>14.37</v>
      </c>
      <c r="S30" s="141">
        <v>0</v>
      </c>
      <c r="T30" s="119">
        <v>10</v>
      </c>
      <c r="U30" s="119">
        <v>14</v>
      </c>
      <c r="V30" s="119">
        <v>2182</v>
      </c>
      <c r="W30" s="145">
        <v>5204</v>
      </c>
      <c r="X30" s="141">
        <v>0</v>
      </c>
      <c r="Y30" s="58">
        <v>145</v>
      </c>
      <c r="Z30" s="88">
        <v>20460</v>
      </c>
      <c r="AA30" s="88">
        <f>VLOOKUP(B30,'Renseanlæg 2021'!L:M,2,FALSE)</f>
        <v>0</v>
      </c>
      <c r="AB30" s="145">
        <v>0</v>
      </c>
      <c r="AC30" s="141">
        <v>0</v>
      </c>
      <c r="AD30" s="119">
        <v>0</v>
      </c>
      <c r="AE30" s="145">
        <v>0</v>
      </c>
      <c r="AF30" s="141">
        <v>0</v>
      </c>
      <c r="AG30" s="119">
        <v>0</v>
      </c>
      <c r="AH30" s="58">
        <v>0</v>
      </c>
      <c r="AI30" s="88">
        <v>16940</v>
      </c>
      <c r="AJ30" s="58">
        <v>3682061</v>
      </c>
      <c r="AK30" s="99" t="s">
        <v>315</v>
      </c>
      <c r="AL30" s="88">
        <v>44234</v>
      </c>
      <c r="AM30" s="73"/>
      <c r="AN30" s="117">
        <v>0</v>
      </c>
      <c r="AO30" s="119">
        <v>73631561.00151062</v>
      </c>
      <c r="AP30" s="145">
        <v>1818121.0752555279</v>
      </c>
      <c r="AQ30" s="266"/>
    </row>
    <row r="31" spans="1:43" x14ac:dyDescent="0.25">
      <c r="A31" s="202" t="s">
        <v>73</v>
      </c>
      <c r="B31" s="202" t="s">
        <v>74</v>
      </c>
      <c r="C31" s="141">
        <f t="shared" si="9"/>
        <v>3182006.7648690003</v>
      </c>
      <c r="D31" s="119">
        <f t="shared" si="0"/>
        <v>2792573.5422</v>
      </c>
      <c r="E31" s="119">
        <f t="shared" si="1"/>
        <v>163066.3946</v>
      </c>
      <c r="F31" s="119">
        <f t="shared" si="2"/>
        <v>354099.85000000003</v>
      </c>
      <c r="G31" s="119">
        <f t="shared" si="3"/>
        <v>0</v>
      </c>
      <c r="H31" s="119">
        <f t="shared" si="4"/>
        <v>0</v>
      </c>
      <c r="I31" s="119">
        <f t="shared" si="5"/>
        <v>0</v>
      </c>
      <c r="J31" s="119">
        <f t="shared" si="6"/>
        <v>0</v>
      </c>
      <c r="K31" s="119">
        <f t="shared" si="7"/>
        <v>1348135.8986150688</v>
      </c>
      <c r="L31" s="58">
        <f t="shared" si="8"/>
        <v>4969427.8065817412</v>
      </c>
      <c r="M31" s="147">
        <v>0.12978172284170958</v>
      </c>
      <c r="N31" s="267">
        <v>9.17</v>
      </c>
      <c r="O31" s="268">
        <v>273.99</v>
      </c>
      <c r="P31" s="268">
        <v>93.82</v>
      </c>
      <c r="Q31" s="268">
        <v>0</v>
      </c>
      <c r="R31" s="269">
        <v>2.46</v>
      </c>
      <c r="S31" s="141">
        <v>1</v>
      </c>
      <c r="T31" s="119">
        <v>0</v>
      </c>
      <c r="U31" s="119">
        <v>23</v>
      </c>
      <c r="V31" s="119">
        <v>1705</v>
      </c>
      <c r="W31" s="145">
        <v>8000</v>
      </c>
      <c r="X31" s="141">
        <v>4730</v>
      </c>
      <c r="Y31" s="58">
        <v>61458</v>
      </c>
      <c r="Z31" s="88">
        <v>57850</v>
      </c>
      <c r="AA31" s="88">
        <f>VLOOKUP(B31,'Renseanlæg 2021'!L:M,2,FALSE)</f>
        <v>0</v>
      </c>
      <c r="AB31" s="145">
        <v>0</v>
      </c>
      <c r="AC31" s="141">
        <v>0</v>
      </c>
      <c r="AD31" s="119">
        <v>0</v>
      </c>
      <c r="AE31" s="145">
        <v>0</v>
      </c>
      <c r="AF31" s="141">
        <v>0</v>
      </c>
      <c r="AG31" s="119">
        <v>0</v>
      </c>
      <c r="AH31" s="58">
        <v>0</v>
      </c>
      <c r="AI31" s="88">
        <v>12287</v>
      </c>
      <c r="AJ31" s="58">
        <v>3489108</v>
      </c>
      <c r="AK31" s="99" t="s">
        <v>315</v>
      </c>
      <c r="AL31" s="88">
        <v>41085</v>
      </c>
      <c r="AM31" s="73"/>
      <c r="AN31" s="117">
        <v>0</v>
      </c>
      <c r="AO31" s="119">
        <v>64743569.898477204</v>
      </c>
      <c r="AP31" s="145">
        <v>1704511.8704424258</v>
      </c>
      <c r="AQ31" s="266"/>
    </row>
    <row r="32" spans="1:43" x14ac:dyDescent="0.25">
      <c r="A32" s="202" t="s">
        <v>75</v>
      </c>
      <c r="B32" s="202" t="s">
        <v>76</v>
      </c>
      <c r="C32" s="141">
        <f t="shared" si="9"/>
        <v>1398778.0737999999</v>
      </c>
      <c r="D32" s="119">
        <f t="shared" si="0"/>
        <v>128679.07279999999</v>
      </c>
      <c r="E32" s="119">
        <f t="shared" si="1"/>
        <v>162146.769</v>
      </c>
      <c r="F32" s="119">
        <f t="shared" si="2"/>
        <v>91753.790000000008</v>
      </c>
      <c r="G32" s="119">
        <f t="shared" si="3"/>
        <v>0</v>
      </c>
      <c r="H32" s="119">
        <f t="shared" si="4"/>
        <v>0</v>
      </c>
      <c r="I32" s="119">
        <f t="shared" si="5"/>
        <v>0</v>
      </c>
      <c r="J32" s="119">
        <f t="shared" si="6"/>
        <v>0</v>
      </c>
      <c r="K32" s="119">
        <f t="shared" si="7"/>
        <v>869919.50827840436</v>
      </c>
      <c r="L32" s="58">
        <f t="shared" si="8"/>
        <v>1921092.7366808166</v>
      </c>
      <c r="M32" s="147">
        <v>9.5707987551867255E-2</v>
      </c>
      <c r="N32" s="267">
        <v>4.0999999999999996</v>
      </c>
      <c r="O32" s="268">
        <v>179.2</v>
      </c>
      <c r="P32" s="268">
        <v>46.8</v>
      </c>
      <c r="Q32" s="268">
        <v>0</v>
      </c>
      <c r="R32" s="269">
        <v>0</v>
      </c>
      <c r="S32" s="141">
        <v>2</v>
      </c>
      <c r="T32" s="119">
        <v>0</v>
      </c>
      <c r="U32" s="119">
        <v>2</v>
      </c>
      <c r="V32" s="119">
        <v>242</v>
      </c>
      <c r="W32" s="145">
        <v>0</v>
      </c>
      <c r="X32" s="141">
        <v>0</v>
      </c>
      <c r="Y32" s="58">
        <v>63870</v>
      </c>
      <c r="Z32" s="88">
        <v>14990</v>
      </c>
      <c r="AA32" s="88">
        <f>VLOOKUP(B32,'Renseanlæg 2021'!L:M,2,FALSE)</f>
        <v>0</v>
      </c>
      <c r="AB32" s="145">
        <v>0</v>
      </c>
      <c r="AC32" s="141">
        <v>0</v>
      </c>
      <c r="AD32" s="119">
        <v>0</v>
      </c>
      <c r="AE32" s="145">
        <v>0</v>
      </c>
      <c r="AF32" s="141">
        <v>0</v>
      </c>
      <c r="AG32" s="119">
        <v>0</v>
      </c>
      <c r="AH32" s="58">
        <v>0</v>
      </c>
      <c r="AI32" s="88">
        <v>4044</v>
      </c>
      <c r="AJ32" s="58">
        <v>1423016</v>
      </c>
      <c r="AK32" s="99" t="s">
        <v>315</v>
      </c>
      <c r="AL32" s="88">
        <v>14762</v>
      </c>
      <c r="AM32" s="73"/>
      <c r="AN32" s="117">
        <v>0</v>
      </c>
      <c r="AO32" s="119">
        <v>23491180.81473333</v>
      </c>
      <c r="AP32" s="145">
        <v>2360408.7066666665</v>
      </c>
      <c r="AQ32" s="266"/>
    </row>
    <row r="33" spans="1:43" x14ac:dyDescent="0.25">
      <c r="A33" s="202" t="s">
        <v>77</v>
      </c>
      <c r="B33" s="202" t="s">
        <v>78</v>
      </c>
      <c r="C33" s="141">
        <f t="shared" si="9"/>
        <v>3865780.6278320001</v>
      </c>
      <c r="D33" s="119">
        <f t="shared" si="0"/>
        <v>3644946.7679000003</v>
      </c>
      <c r="E33" s="119">
        <f t="shared" si="1"/>
        <v>751754.46869999997</v>
      </c>
      <c r="F33" s="119">
        <f t="shared" si="2"/>
        <v>247043.56000000003</v>
      </c>
      <c r="G33" s="119">
        <f t="shared" si="3"/>
        <v>6274941.3859684439</v>
      </c>
      <c r="H33" s="119">
        <f t="shared" si="4"/>
        <v>0</v>
      </c>
      <c r="I33" s="119">
        <f t="shared" si="5"/>
        <v>1580999.0578999999</v>
      </c>
      <c r="J33" s="119">
        <f t="shared" si="6"/>
        <v>837090.57460000005</v>
      </c>
      <c r="K33" s="119">
        <f t="shared" si="7"/>
        <v>1440918.4612834074</v>
      </c>
      <c r="L33" s="58">
        <f t="shared" si="8"/>
        <v>4232602.6887826379</v>
      </c>
      <c r="M33" s="147">
        <v>4.1794911884925505E-2</v>
      </c>
      <c r="N33" s="267">
        <v>83.91</v>
      </c>
      <c r="O33" s="268">
        <v>579.32000000000005</v>
      </c>
      <c r="P33" s="268">
        <v>98.84</v>
      </c>
      <c r="Q33" s="268">
        <v>0</v>
      </c>
      <c r="R33" s="269">
        <v>0</v>
      </c>
      <c r="S33" s="141">
        <v>132</v>
      </c>
      <c r="T33" s="119">
        <v>23</v>
      </c>
      <c r="U33" s="119">
        <v>10</v>
      </c>
      <c r="V33" s="119">
        <v>5540</v>
      </c>
      <c r="W33" s="145">
        <v>4800</v>
      </c>
      <c r="X33" s="141">
        <v>72490</v>
      </c>
      <c r="Y33" s="58">
        <v>253601</v>
      </c>
      <c r="Z33" s="88">
        <v>40360</v>
      </c>
      <c r="AA33" s="88">
        <f>VLOOKUP(B33,'Renseanlæg 2021'!L:M,2,FALSE)</f>
        <v>6274941.3859684439</v>
      </c>
      <c r="AB33" s="145">
        <v>0</v>
      </c>
      <c r="AC33" s="141">
        <v>647</v>
      </c>
      <c r="AD33" s="119">
        <v>0</v>
      </c>
      <c r="AE33" s="145">
        <v>399</v>
      </c>
      <c r="AF33" s="141">
        <v>502</v>
      </c>
      <c r="AG33" s="119">
        <v>0</v>
      </c>
      <c r="AH33" s="58">
        <v>0</v>
      </c>
      <c r="AI33" s="88">
        <v>14547</v>
      </c>
      <c r="AJ33" s="58">
        <v>2276291</v>
      </c>
      <c r="AK33" s="99" t="s">
        <v>316</v>
      </c>
      <c r="AL33" s="88">
        <v>18712</v>
      </c>
      <c r="AM33" s="73"/>
      <c r="AN33" s="117">
        <v>5835358.9662664263</v>
      </c>
      <c r="AO33" s="119">
        <v>74583145.185333341</v>
      </c>
      <c r="AP33" s="145">
        <v>2054973.3333333333</v>
      </c>
      <c r="AQ33" s="266"/>
    </row>
    <row r="34" spans="1:43" x14ac:dyDescent="0.25">
      <c r="A34" s="202" t="s">
        <v>79</v>
      </c>
      <c r="B34" s="202" t="s">
        <v>80</v>
      </c>
      <c r="C34" s="141">
        <f t="shared" si="9"/>
        <v>3558191.1700140005</v>
      </c>
      <c r="D34" s="119">
        <f t="shared" si="0"/>
        <v>9086737.0854000002</v>
      </c>
      <c r="E34" s="119">
        <f t="shared" si="1"/>
        <v>141572.04999999999</v>
      </c>
      <c r="F34" s="119">
        <f t="shared" si="2"/>
        <v>132825.70000000001</v>
      </c>
      <c r="G34" s="119">
        <f t="shared" si="3"/>
        <v>11821580.550236523</v>
      </c>
      <c r="H34" s="119">
        <f t="shared" si="4"/>
        <v>31495.276999999998</v>
      </c>
      <c r="I34" s="119">
        <f t="shared" si="5"/>
        <v>1969959.8166999999</v>
      </c>
      <c r="J34" s="119">
        <f t="shared" si="6"/>
        <v>816147.05410000007</v>
      </c>
      <c r="K34" s="119">
        <f t="shared" si="7"/>
        <v>1883135.8860153819</v>
      </c>
      <c r="L34" s="58">
        <f t="shared" si="8"/>
        <v>3704346.1077996939</v>
      </c>
      <c r="M34" s="147">
        <v>3.4819963536918873E-2</v>
      </c>
      <c r="N34" s="267">
        <v>622.99</v>
      </c>
      <c r="O34" s="268">
        <v>422.3</v>
      </c>
      <c r="P34" s="268">
        <v>0</v>
      </c>
      <c r="Q34" s="268">
        <v>0</v>
      </c>
      <c r="R34" s="269">
        <v>2</v>
      </c>
      <c r="S34" s="141">
        <v>984</v>
      </c>
      <c r="T34" s="119">
        <v>129</v>
      </c>
      <c r="U34" s="119">
        <v>201</v>
      </c>
      <c r="V34" s="119">
        <v>540</v>
      </c>
      <c r="W34" s="145">
        <v>0</v>
      </c>
      <c r="X34" s="141">
        <v>16650</v>
      </c>
      <c r="Y34" s="58">
        <v>46000</v>
      </c>
      <c r="Z34" s="88">
        <v>21700</v>
      </c>
      <c r="AA34" s="88">
        <f>VLOOKUP(B34,'Renseanlæg 2021'!L:M,2,FALSE)</f>
        <v>11821580.550236523</v>
      </c>
      <c r="AB34" s="145">
        <v>11</v>
      </c>
      <c r="AC34" s="141">
        <v>481</v>
      </c>
      <c r="AD34" s="119">
        <v>0</v>
      </c>
      <c r="AE34" s="145">
        <v>661</v>
      </c>
      <c r="AF34" s="141">
        <v>481</v>
      </c>
      <c r="AG34" s="119">
        <v>0</v>
      </c>
      <c r="AH34" s="58">
        <v>0</v>
      </c>
      <c r="AI34" s="88">
        <v>28685</v>
      </c>
      <c r="AJ34" s="58">
        <v>1988182</v>
      </c>
      <c r="AK34" s="99" t="s">
        <v>316</v>
      </c>
      <c r="AL34" s="88">
        <v>30558</v>
      </c>
      <c r="AM34" s="73"/>
      <c r="AN34" s="117">
        <v>11155452.015707148</v>
      </c>
      <c r="AO34" s="119">
        <v>75086057.464000002</v>
      </c>
      <c r="AP34" s="145">
        <v>1519821.5333333332</v>
      </c>
      <c r="AQ34" s="266"/>
    </row>
    <row r="35" spans="1:43" x14ac:dyDescent="0.25">
      <c r="A35" s="202" t="s">
        <v>81</v>
      </c>
      <c r="B35" s="202" t="s">
        <v>82</v>
      </c>
      <c r="C35" s="141">
        <f t="shared" si="9"/>
        <v>6291562.4682</v>
      </c>
      <c r="D35" s="119">
        <f t="shared" si="0"/>
        <v>13233326.116799999</v>
      </c>
      <c r="E35" s="119">
        <f t="shared" si="1"/>
        <v>321951.95659999998</v>
      </c>
      <c r="F35" s="119">
        <f t="shared" si="2"/>
        <v>53111.917000000001</v>
      </c>
      <c r="G35" s="119">
        <f t="shared" si="3"/>
        <v>12307700.726013087</v>
      </c>
      <c r="H35" s="119">
        <f t="shared" si="4"/>
        <v>8589.6209999999992</v>
      </c>
      <c r="I35" s="119">
        <f t="shared" si="5"/>
        <v>1056256.2599700002</v>
      </c>
      <c r="J35" s="119">
        <f t="shared" si="6"/>
        <v>1470466.8867880001</v>
      </c>
      <c r="K35" s="119">
        <f t="shared" si="7"/>
        <v>1997791.2762984061</v>
      </c>
      <c r="L35" s="58">
        <f t="shared" si="8"/>
        <v>5058367.2353915675</v>
      </c>
      <c r="M35" s="147">
        <v>2.5511584220413275E-2</v>
      </c>
      <c r="N35" s="267">
        <v>1238</v>
      </c>
      <c r="O35" s="268">
        <v>700</v>
      </c>
      <c r="P35" s="268">
        <v>36</v>
      </c>
      <c r="Q35" s="268">
        <v>0</v>
      </c>
      <c r="R35" s="269">
        <v>1</v>
      </c>
      <c r="S35" s="141">
        <v>2627</v>
      </c>
      <c r="T35" s="119">
        <v>196</v>
      </c>
      <c r="U35" s="119">
        <v>132</v>
      </c>
      <c r="V35" s="119">
        <v>520</v>
      </c>
      <c r="W35" s="145">
        <v>1500</v>
      </c>
      <c r="X35" s="141">
        <v>67448</v>
      </c>
      <c r="Y35" s="58">
        <v>87258</v>
      </c>
      <c r="Z35" s="88">
        <v>8677</v>
      </c>
      <c r="AA35" s="88">
        <f>VLOOKUP(B35,'Renseanlæg 2021'!L:M,2,FALSE)</f>
        <v>12307700.726013087</v>
      </c>
      <c r="AB35" s="145">
        <v>3</v>
      </c>
      <c r="AC35" s="141">
        <v>1131</v>
      </c>
      <c r="AD35" s="119">
        <v>0</v>
      </c>
      <c r="AE35" s="145">
        <v>2.06</v>
      </c>
      <c r="AF35" s="141">
        <v>1131</v>
      </c>
      <c r="AG35" s="119">
        <v>2.06</v>
      </c>
      <c r="AH35" s="58">
        <v>0</v>
      </c>
      <c r="AI35" s="88">
        <v>33325</v>
      </c>
      <c r="AJ35" s="58">
        <v>2727730</v>
      </c>
      <c r="AK35" s="99" t="s">
        <v>316</v>
      </c>
      <c r="AL35" s="88">
        <v>40742</v>
      </c>
      <c r="AM35" s="73"/>
      <c r="AN35" s="117">
        <v>11245645.081042415</v>
      </c>
      <c r="AO35" s="119">
        <v>125710316.26666667</v>
      </c>
      <c r="AP35" s="145">
        <v>4494866.666666667</v>
      </c>
      <c r="AQ35" s="266"/>
    </row>
    <row r="36" spans="1:43" x14ac:dyDescent="0.25">
      <c r="A36" s="202" t="s">
        <v>83</v>
      </c>
      <c r="B36" s="202" t="s">
        <v>84</v>
      </c>
      <c r="C36" s="141">
        <f t="shared" si="9"/>
        <v>5804452.8646000009</v>
      </c>
      <c r="D36" s="119">
        <f t="shared" si="0"/>
        <v>8668279.1567000002</v>
      </c>
      <c r="E36" s="119">
        <f t="shared" si="1"/>
        <v>718249.549</v>
      </c>
      <c r="F36" s="119">
        <f t="shared" si="2"/>
        <v>148134.321</v>
      </c>
      <c r="G36" s="119">
        <f t="shared" si="3"/>
        <v>12935154.45585979</v>
      </c>
      <c r="H36" s="119">
        <f t="shared" si="4"/>
        <v>94485.830999999991</v>
      </c>
      <c r="I36" s="119">
        <f t="shared" si="5"/>
        <v>1109470.091</v>
      </c>
      <c r="J36" s="119">
        <f t="shared" si="6"/>
        <v>2428939.0569000002</v>
      </c>
      <c r="K36" s="119">
        <f t="shared" si="7"/>
        <v>1716389.1445500692</v>
      </c>
      <c r="L36" s="58">
        <f t="shared" si="8"/>
        <v>4397887.7317717895</v>
      </c>
      <c r="M36" s="147">
        <v>3.5206352636127911E-2</v>
      </c>
      <c r="N36" s="267">
        <v>602.20000000000005</v>
      </c>
      <c r="O36" s="268">
        <v>611.20000000000005</v>
      </c>
      <c r="P36" s="268">
        <v>41.6</v>
      </c>
      <c r="Q36" s="268">
        <v>0</v>
      </c>
      <c r="R36" s="269">
        <v>5.4</v>
      </c>
      <c r="S36" s="141">
        <v>565</v>
      </c>
      <c r="T36" s="119">
        <v>262</v>
      </c>
      <c r="U36" s="119">
        <v>115</v>
      </c>
      <c r="V36" s="119">
        <v>3300</v>
      </c>
      <c r="W36" s="145">
        <v>2000</v>
      </c>
      <c r="X36" s="141">
        <v>229387</v>
      </c>
      <c r="Y36" s="58">
        <v>148380</v>
      </c>
      <c r="Z36" s="88">
        <v>24201</v>
      </c>
      <c r="AA36" s="88">
        <f>VLOOKUP(B36,'Renseanlæg 2021'!L:M,2,FALSE)</f>
        <v>12935154.45585979</v>
      </c>
      <c r="AB36" s="145">
        <v>33</v>
      </c>
      <c r="AC36" s="141">
        <v>1335</v>
      </c>
      <c r="AD36" s="119">
        <v>0</v>
      </c>
      <c r="AE36" s="145">
        <v>0</v>
      </c>
      <c r="AF36" s="141">
        <v>1597</v>
      </c>
      <c r="AG36" s="119">
        <v>0</v>
      </c>
      <c r="AH36" s="58">
        <v>256</v>
      </c>
      <c r="AI36" s="88">
        <v>22673</v>
      </c>
      <c r="AJ36" s="58">
        <v>2366552</v>
      </c>
      <c r="AK36" s="99" t="s">
        <v>316</v>
      </c>
      <c r="AL36" s="88">
        <v>32587</v>
      </c>
      <c r="AM36" s="73"/>
      <c r="AN36" s="117">
        <v>12799538.230782518</v>
      </c>
      <c r="AO36" s="119">
        <v>99815019.233333349</v>
      </c>
      <c r="AP36" s="145">
        <v>2763346.6666666665</v>
      </c>
      <c r="AQ36" s="266"/>
    </row>
    <row r="37" spans="1:43" x14ac:dyDescent="0.25">
      <c r="A37" s="202" t="s">
        <v>85</v>
      </c>
      <c r="B37" s="202" t="s">
        <v>86</v>
      </c>
      <c r="C37" s="141">
        <f t="shared" si="9"/>
        <v>3081030.94985</v>
      </c>
      <c r="D37" s="119">
        <f t="shared" si="0"/>
        <v>7850709.3314000005</v>
      </c>
      <c r="E37" s="119">
        <f t="shared" si="1"/>
        <v>22335</v>
      </c>
      <c r="F37" s="119">
        <f t="shared" si="2"/>
        <v>87873.076000000001</v>
      </c>
      <c r="G37" s="119">
        <f t="shared" si="3"/>
        <v>3611490.7872680537</v>
      </c>
      <c r="H37" s="119">
        <f t="shared" si="4"/>
        <v>11452.828</v>
      </c>
      <c r="I37" s="119">
        <f t="shared" si="5"/>
        <v>917912.49800000014</v>
      </c>
      <c r="J37" s="119">
        <f t="shared" si="6"/>
        <v>979705.97610000009</v>
      </c>
      <c r="K37" s="119">
        <f t="shared" si="7"/>
        <v>1395507.1674333669</v>
      </c>
      <c r="L37" s="58">
        <f t="shared" si="8"/>
        <v>2583151.8933939212</v>
      </c>
      <c r="M37" s="147">
        <v>3.1039576873974094E-2</v>
      </c>
      <c r="N37" s="267">
        <v>282.5</v>
      </c>
      <c r="O37" s="268">
        <v>358.9</v>
      </c>
      <c r="P37" s="268">
        <v>8.1999999999999993</v>
      </c>
      <c r="Q37" s="268">
        <v>0</v>
      </c>
      <c r="R37" s="269">
        <v>3.5</v>
      </c>
      <c r="S37" s="141">
        <v>3</v>
      </c>
      <c r="T37" s="119">
        <v>469</v>
      </c>
      <c r="U37" s="119">
        <v>97</v>
      </c>
      <c r="V37" s="119">
        <v>1200</v>
      </c>
      <c r="W37" s="145">
        <v>0</v>
      </c>
      <c r="X37" s="141">
        <v>15000</v>
      </c>
      <c r="Y37" s="58">
        <v>0</v>
      </c>
      <c r="Z37" s="88">
        <v>14356</v>
      </c>
      <c r="AA37" s="88">
        <f>VLOOKUP(B37,'Renseanlæg 2021'!L:M,2,FALSE)</f>
        <v>3611490.7872680537</v>
      </c>
      <c r="AB37" s="145">
        <v>4</v>
      </c>
      <c r="AC37" s="141">
        <v>645</v>
      </c>
      <c r="AD37" s="119">
        <v>0</v>
      </c>
      <c r="AE37" s="145">
        <v>0</v>
      </c>
      <c r="AF37" s="141">
        <v>645</v>
      </c>
      <c r="AG37" s="119">
        <v>0</v>
      </c>
      <c r="AH37" s="58">
        <v>0</v>
      </c>
      <c r="AI37" s="88">
        <v>13412</v>
      </c>
      <c r="AJ37" s="58">
        <v>1378880</v>
      </c>
      <c r="AK37" s="99" t="s">
        <v>316</v>
      </c>
      <c r="AL37" s="88">
        <v>17019</v>
      </c>
      <c r="AM37" s="73"/>
      <c r="AN37" s="117">
        <v>3321606.6216226048</v>
      </c>
      <c r="AO37" s="119">
        <v>65404262.744000003</v>
      </c>
      <c r="AP37" s="145">
        <v>2777800.2091961736</v>
      </c>
      <c r="AQ37" s="266"/>
    </row>
    <row r="38" spans="1:43" x14ac:dyDescent="0.25">
      <c r="A38" s="202" t="s">
        <v>87</v>
      </c>
      <c r="B38" s="202" t="s">
        <v>88</v>
      </c>
      <c r="C38" s="141">
        <f t="shared" si="9"/>
        <v>4036289.2721399995</v>
      </c>
      <c r="D38" s="119">
        <f t="shared" si="0"/>
        <v>15674490.2082</v>
      </c>
      <c r="E38" s="119">
        <f t="shared" si="1"/>
        <v>555965.07090000005</v>
      </c>
      <c r="F38" s="119">
        <f t="shared" si="2"/>
        <v>97017.85</v>
      </c>
      <c r="G38" s="119">
        <f t="shared" si="3"/>
        <v>8291399.8929441702</v>
      </c>
      <c r="H38" s="119">
        <f t="shared" si="4"/>
        <v>25768.862999999998</v>
      </c>
      <c r="I38" s="119">
        <f t="shared" si="5"/>
        <v>1903488.3439000002</v>
      </c>
      <c r="J38" s="119">
        <f t="shared" si="6"/>
        <v>1274909.8840999999</v>
      </c>
      <c r="K38" s="119">
        <f t="shared" si="7"/>
        <v>1543300.0715938581</v>
      </c>
      <c r="L38" s="58">
        <f t="shared" si="8"/>
        <v>3538675.5080164541</v>
      </c>
      <c r="M38" s="147">
        <v>2.4319270772466987E-2</v>
      </c>
      <c r="N38" s="267">
        <v>468</v>
      </c>
      <c r="O38" s="268">
        <v>674</v>
      </c>
      <c r="P38" s="268">
        <v>0</v>
      </c>
      <c r="Q38" s="268">
        <v>0</v>
      </c>
      <c r="R38" s="269">
        <v>1.7</v>
      </c>
      <c r="S38" s="141">
        <v>362</v>
      </c>
      <c r="T38" s="119">
        <v>151</v>
      </c>
      <c r="U38" s="119">
        <v>123</v>
      </c>
      <c r="V38" s="119">
        <v>22562</v>
      </c>
      <c r="W38" s="145">
        <v>13870</v>
      </c>
      <c r="X38" s="141">
        <v>171791</v>
      </c>
      <c r="Y38" s="58">
        <v>118237</v>
      </c>
      <c r="Z38" s="88">
        <v>15850</v>
      </c>
      <c r="AA38" s="88">
        <f>VLOOKUP(B38,'Renseanlæg 2021'!L:M,2,FALSE)</f>
        <v>8291399.8929441702</v>
      </c>
      <c r="AB38" s="145">
        <v>9</v>
      </c>
      <c r="AC38" s="141">
        <v>1372</v>
      </c>
      <c r="AD38" s="119">
        <v>0</v>
      </c>
      <c r="AE38" s="145">
        <v>472</v>
      </c>
      <c r="AF38" s="141">
        <v>941</v>
      </c>
      <c r="AG38" s="119">
        <v>0</v>
      </c>
      <c r="AH38" s="58">
        <v>0</v>
      </c>
      <c r="AI38" s="88">
        <v>17314</v>
      </c>
      <c r="AJ38" s="58">
        <v>1897950</v>
      </c>
      <c r="AK38" s="99" t="s">
        <v>316</v>
      </c>
      <c r="AL38" s="88">
        <v>20810</v>
      </c>
      <c r="AM38" s="73"/>
      <c r="AN38" s="117">
        <v>7771478.4065928468</v>
      </c>
      <c r="AO38" s="119">
        <v>113083844.59712987</v>
      </c>
      <c r="AP38" s="145">
        <v>2427893.3333333335</v>
      </c>
      <c r="AQ38" s="266"/>
    </row>
    <row r="39" spans="1:43" x14ac:dyDescent="0.25">
      <c r="A39" s="202" t="s">
        <v>89</v>
      </c>
      <c r="B39" s="202" t="s">
        <v>90</v>
      </c>
      <c r="C39" s="141">
        <f t="shared" si="9"/>
        <v>0</v>
      </c>
      <c r="D39" s="119">
        <f t="shared" si="0"/>
        <v>0</v>
      </c>
      <c r="E39" s="119">
        <f t="shared" si="1"/>
        <v>0</v>
      </c>
      <c r="F39" s="119">
        <f t="shared" si="2"/>
        <v>0</v>
      </c>
      <c r="G39" s="119">
        <f t="shared" si="3"/>
        <v>17168980.188864954</v>
      </c>
      <c r="H39" s="119">
        <f t="shared" si="4"/>
        <v>0</v>
      </c>
      <c r="I39" s="119">
        <f t="shared" si="5"/>
        <v>3468108.4108000002</v>
      </c>
      <c r="J39" s="119">
        <f t="shared" si="6"/>
        <v>2100682.9780999999</v>
      </c>
      <c r="K39" s="119">
        <f t="shared" si="7"/>
        <v>43285.270946158009</v>
      </c>
      <c r="L39" s="58">
        <f t="shared" si="8"/>
        <v>3069299.7604665449</v>
      </c>
      <c r="M39" s="147">
        <v>0</v>
      </c>
      <c r="N39" s="267">
        <v>0</v>
      </c>
      <c r="O39" s="268">
        <v>0</v>
      </c>
      <c r="P39" s="268">
        <v>0</v>
      </c>
      <c r="Q39" s="268">
        <v>0</v>
      </c>
      <c r="R39" s="269">
        <v>0</v>
      </c>
      <c r="S39" s="141">
        <v>0</v>
      </c>
      <c r="T39" s="119">
        <v>0</v>
      </c>
      <c r="U39" s="119">
        <v>0</v>
      </c>
      <c r="V39" s="119">
        <v>0</v>
      </c>
      <c r="W39" s="145">
        <v>0</v>
      </c>
      <c r="X39" s="141">
        <v>0</v>
      </c>
      <c r="Y39" s="58">
        <v>0</v>
      </c>
      <c r="Z39" s="88">
        <v>0</v>
      </c>
      <c r="AA39" s="88">
        <f>VLOOKUP(B39,'Renseanlæg 2021'!L:M,2,FALSE)</f>
        <v>17168980.188864954</v>
      </c>
      <c r="AB39" s="145">
        <v>0</v>
      </c>
      <c r="AC39" s="141">
        <v>0</v>
      </c>
      <c r="AD39" s="119">
        <v>3412</v>
      </c>
      <c r="AE39" s="145">
        <v>67</v>
      </c>
      <c r="AF39" s="141">
        <v>1769</v>
      </c>
      <c r="AG39" s="119">
        <v>0</v>
      </c>
      <c r="AH39" s="58">
        <v>0</v>
      </c>
      <c r="AI39" s="88">
        <v>2</v>
      </c>
      <c r="AJ39" s="58">
        <v>4135624</v>
      </c>
      <c r="AK39" s="99" t="s">
        <v>317</v>
      </c>
      <c r="AL39" s="88">
        <v>2</v>
      </c>
      <c r="AM39" s="73"/>
      <c r="AN39" s="117">
        <v>19977828.727286819</v>
      </c>
      <c r="AO39" s="119">
        <v>0</v>
      </c>
      <c r="AP39" s="145">
        <v>1843866.6666666665</v>
      </c>
      <c r="AQ39" s="266"/>
    </row>
    <row r="40" spans="1:43" x14ac:dyDescent="0.25">
      <c r="A40" s="202" t="s">
        <v>91</v>
      </c>
      <c r="B40" s="202" t="s">
        <v>92</v>
      </c>
      <c r="C40" s="141">
        <f t="shared" si="9"/>
        <v>7604513.1226890003</v>
      </c>
      <c r="D40" s="119">
        <f t="shared" si="0"/>
        <v>4385504.7046999997</v>
      </c>
      <c r="E40" s="119">
        <f t="shared" si="1"/>
        <v>2979542.5730000003</v>
      </c>
      <c r="F40" s="119">
        <f t="shared" si="2"/>
        <v>104381.413</v>
      </c>
      <c r="G40" s="119">
        <f t="shared" si="3"/>
        <v>0</v>
      </c>
      <c r="H40" s="119">
        <f t="shared" si="4"/>
        <v>0</v>
      </c>
      <c r="I40" s="119">
        <f t="shared" si="5"/>
        <v>0</v>
      </c>
      <c r="J40" s="119">
        <f t="shared" si="6"/>
        <v>0</v>
      </c>
      <c r="K40" s="119">
        <f t="shared" si="7"/>
        <v>2016863.771259018</v>
      </c>
      <c r="L40" s="58">
        <f t="shared" si="8"/>
        <v>5950322.0294320388</v>
      </c>
      <c r="M40" s="147">
        <v>4.1857752826757334E-2</v>
      </c>
      <c r="N40" s="267">
        <v>166.38</v>
      </c>
      <c r="O40" s="268">
        <v>1288.25</v>
      </c>
      <c r="P40" s="268">
        <v>123.1</v>
      </c>
      <c r="Q40" s="268">
        <v>0</v>
      </c>
      <c r="R40" s="269">
        <v>2.0299999999999998</v>
      </c>
      <c r="S40" s="141">
        <v>5</v>
      </c>
      <c r="T40" s="119">
        <v>19</v>
      </c>
      <c r="U40" s="119">
        <v>116</v>
      </c>
      <c r="V40" s="119">
        <v>4630</v>
      </c>
      <c r="W40" s="145">
        <v>0</v>
      </c>
      <c r="X40" s="141">
        <v>304574</v>
      </c>
      <c r="Y40" s="58">
        <v>995010</v>
      </c>
      <c r="Z40" s="88">
        <v>17053</v>
      </c>
      <c r="AA40" s="88">
        <f>VLOOKUP(B40,'Renseanlæg 2021'!L:M,2,FALSE)</f>
        <v>0</v>
      </c>
      <c r="AB40" s="145">
        <v>0</v>
      </c>
      <c r="AC40" s="141">
        <v>0</v>
      </c>
      <c r="AD40" s="119">
        <v>0</v>
      </c>
      <c r="AE40" s="145">
        <v>0</v>
      </c>
      <c r="AF40" s="141">
        <v>0</v>
      </c>
      <c r="AG40" s="119">
        <v>0</v>
      </c>
      <c r="AH40" s="58">
        <v>0</v>
      </c>
      <c r="AI40" s="88">
        <v>34138</v>
      </c>
      <c r="AJ40" s="58">
        <v>4135624</v>
      </c>
      <c r="AK40" s="99" t="s">
        <v>315</v>
      </c>
      <c r="AL40" s="88">
        <v>42350</v>
      </c>
      <c r="AM40" s="73"/>
      <c r="AN40" s="117">
        <v>0</v>
      </c>
      <c r="AO40" s="119">
        <v>156289070.29999998</v>
      </c>
      <c r="AP40" s="145">
        <v>2620226.666666667</v>
      </c>
      <c r="AQ40" s="266"/>
    </row>
    <row r="41" spans="1:43" x14ac:dyDescent="0.25">
      <c r="A41" s="202" t="s">
        <v>93</v>
      </c>
      <c r="B41" s="202" t="s">
        <v>94</v>
      </c>
      <c r="C41" s="141">
        <f t="shared" si="9"/>
        <v>3376390.6119539998</v>
      </c>
      <c r="D41" s="119">
        <f t="shared" si="0"/>
        <v>10414970.811700001</v>
      </c>
      <c r="E41" s="119">
        <f t="shared" si="1"/>
        <v>771481.90830000001</v>
      </c>
      <c r="F41" s="119">
        <f t="shared" si="2"/>
        <v>738057.93800000008</v>
      </c>
      <c r="G41" s="119">
        <f t="shared" si="3"/>
        <v>9882194.6014549956</v>
      </c>
      <c r="H41" s="119">
        <f t="shared" si="4"/>
        <v>469565.94799999997</v>
      </c>
      <c r="I41" s="119">
        <f t="shared" si="5"/>
        <v>2106933.7067</v>
      </c>
      <c r="J41" s="119">
        <f t="shared" si="6"/>
        <v>2466419.9689000002</v>
      </c>
      <c r="K41" s="119">
        <f t="shared" si="7"/>
        <v>1428497.6099443347</v>
      </c>
      <c r="L41" s="58">
        <f t="shared" si="8"/>
        <v>4922018.430795636</v>
      </c>
      <c r="M41" s="147">
        <v>4.3447762228072596E-2</v>
      </c>
      <c r="N41" s="267">
        <v>172.11</v>
      </c>
      <c r="O41" s="268">
        <v>459.6</v>
      </c>
      <c r="P41" s="268">
        <v>44.94</v>
      </c>
      <c r="Q41" s="268">
        <v>0</v>
      </c>
      <c r="R41" s="269">
        <v>2.1</v>
      </c>
      <c r="S41" s="141">
        <v>280</v>
      </c>
      <c r="T41" s="119">
        <v>14</v>
      </c>
      <c r="U41" s="119">
        <v>75</v>
      </c>
      <c r="V41" s="119">
        <v>13286</v>
      </c>
      <c r="W41" s="145">
        <v>16400</v>
      </c>
      <c r="X41" s="141">
        <v>82588</v>
      </c>
      <c r="Y41" s="58">
        <v>255449</v>
      </c>
      <c r="Z41" s="88">
        <v>120578</v>
      </c>
      <c r="AA41" s="88">
        <f>VLOOKUP(B41,'Renseanlæg 2021'!L:M,2,FALSE)</f>
        <v>9882194.6014549956</v>
      </c>
      <c r="AB41" s="145">
        <v>164</v>
      </c>
      <c r="AC41" s="141">
        <v>0</v>
      </c>
      <c r="AD41" s="119">
        <v>1783</v>
      </c>
      <c r="AE41" s="145">
        <v>0</v>
      </c>
      <c r="AF41" s="141">
        <v>0</v>
      </c>
      <c r="AG41" s="119">
        <v>0</v>
      </c>
      <c r="AH41" s="58">
        <v>1091</v>
      </c>
      <c r="AI41" s="88">
        <v>14231</v>
      </c>
      <c r="AJ41" s="58">
        <v>2653107</v>
      </c>
      <c r="AK41" s="99" t="s">
        <v>316</v>
      </c>
      <c r="AL41" s="88">
        <v>25085</v>
      </c>
      <c r="AM41" s="73"/>
      <c r="AN41" s="117">
        <v>9976518.7789505851</v>
      </c>
      <c r="AO41" s="119">
        <v>95841551.747894719</v>
      </c>
      <c r="AP41" s="145">
        <v>3882977.1066666669</v>
      </c>
      <c r="AQ41" s="266"/>
    </row>
    <row r="42" spans="1:43" x14ac:dyDescent="0.25">
      <c r="A42" s="202" t="s">
        <v>95</v>
      </c>
      <c r="B42" s="202" t="s">
        <v>96</v>
      </c>
      <c r="C42" s="141">
        <f t="shared" si="9"/>
        <v>6366019.4163000006</v>
      </c>
      <c r="D42" s="119">
        <f t="shared" si="0"/>
        <v>6086468.7575800009</v>
      </c>
      <c r="E42" s="119">
        <f t="shared" si="1"/>
        <v>745739.10120000003</v>
      </c>
      <c r="F42" s="119">
        <f t="shared" si="2"/>
        <v>205879.83500000002</v>
      </c>
      <c r="G42" s="119">
        <f t="shared" si="3"/>
        <v>20408208.388432205</v>
      </c>
      <c r="H42" s="119">
        <f t="shared" si="4"/>
        <v>2863.2069999999999</v>
      </c>
      <c r="I42" s="119">
        <f t="shared" si="5"/>
        <v>2797444.7147000004</v>
      </c>
      <c r="J42" s="119">
        <f t="shared" si="6"/>
        <v>2534513.0456000003</v>
      </c>
      <c r="K42" s="119">
        <f t="shared" si="7"/>
        <v>1830648.0413666</v>
      </c>
      <c r="L42" s="58">
        <f t="shared" si="8"/>
        <v>5799288.5988206705</v>
      </c>
      <c r="M42" s="147">
        <v>3.5826047358834247E-2</v>
      </c>
      <c r="N42" s="267">
        <v>631</v>
      </c>
      <c r="O42" s="268">
        <v>801</v>
      </c>
      <c r="P42" s="268">
        <v>18</v>
      </c>
      <c r="Q42" s="268">
        <v>0</v>
      </c>
      <c r="R42" s="269">
        <v>6</v>
      </c>
      <c r="S42" s="141">
        <v>264</v>
      </c>
      <c r="T42" s="119">
        <v>25</v>
      </c>
      <c r="U42" s="119">
        <v>150</v>
      </c>
      <c r="V42" s="119">
        <v>4959.6000000000004</v>
      </c>
      <c r="W42" s="145">
        <v>0</v>
      </c>
      <c r="X42" s="141">
        <v>229476</v>
      </c>
      <c r="Y42" s="58">
        <v>159156</v>
      </c>
      <c r="Z42" s="88">
        <v>33635</v>
      </c>
      <c r="AA42" s="88">
        <f>VLOOKUP(B42,'Renseanlæg 2021'!L:M,2,FALSE)</f>
        <v>20408208.388432205</v>
      </c>
      <c r="AB42" s="145">
        <v>1</v>
      </c>
      <c r="AC42" s="141">
        <v>688</v>
      </c>
      <c r="AD42" s="119">
        <v>2434</v>
      </c>
      <c r="AE42" s="145">
        <v>0</v>
      </c>
      <c r="AF42" s="141">
        <v>2204</v>
      </c>
      <c r="AG42" s="119">
        <v>0</v>
      </c>
      <c r="AH42" s="58">
        <v>0</v>
      </c>
      <c r="AI42" s="88">
        <v>26700</v>
      </c>
      <c r="AJ42" s="58">
        <v>3133745</v>
      </c>
      <c r="AK42" s="99" t="s">
        <v>316</v>
      </c>
      <c r="AL42" s="88">
        <v>39337</v>
      </c>
      <c r="AM42" s="73"/>
      <c r="AN42" s="117">
        <v>22862518.782252289</v>
      </c>
      <c r="AO42" s="119">
        <v>138720698.13333336</v>
      </c>
      <c r="AP42" s="145">
        <v>5601653.333333334</v>
      </c>
      <c r="AQ42" s="266"/>
    </row>
    <row r="43" spans="1:43" x14ac:dyDescent="0.25">
      <c r="A43" s="202" t="s">
        <v>97</v>
      </c>
      <c r="B43" s="202" t="s">
        <v>98</v>
      </c>
      <c r="C43" s="141">
        <f t="shared" si="9"/>
        <v>2621305.6551000001</v>
      </c>
      <c r="D43" s="119">
        <f t="shared" si="0"/>
        <v>662320.98399999994</v>
      </c>
      <c r="E43" s="119">
        <f t="shared" si="1"/>
        <v>926431.41550000012</v>
      </c>
      <c r="F43" s="119">
        <f t="shared" si="2"/>
        <v>0</v>
      </c>
      <c r="G43" s="119">
        <f t="shared" si="3"/>
        <v>0</v>
      </c>
      <c r="H43" s="119">
        <f t="shared" si="4"/>
        <v>0</v>
      </c>
      <c r="I43" s="119">
        <f t="shared" si="5"/>
        <v>0</v>
      </c>
      <c r="J43" s="119">
        <f t="shared" si="6"/>
        <v>0</v>
      </c>
      <c r="K43" s="119">
        <f t="shared" si="7"/>
        <v>1154706.3048797757</v>
      </c>
      <c r="L43" s="58">
        <f t="shared" si="8"/>
        <v>1660621.5601178147</v>
      </c>
      <c r="M43" s="147">
        <v>8.9938271604938266E-2</v>
      </c>
      <c r="N43" s="267">
        <v>14</v>
      </c>
      <c r="O43" s="268">
        <v>258</v>
      </c>
      <c r="P43" s="268">
        <v>105</v>
      </c>
      <c r="Q43" s="268">
        <v>0</v>
      </c>
      <c r="R43" s="269">
        <v>0</v>
      </c>
      <c r="S43" s="141">
        <v>3</v>
      </c>
      <c r="T43" s="119">
        <v>0</v>
      </c>
      <c r="U43" s="119">
        <v>22</v>
      </c>
      <c r="V43" s="119">
        <v>450</v>
      </c>
      <c r="W43" s="145">
        <v>0</v>
      </c>
      <c r="X43" s="141">
        <v>230015</v>
      </c>
      <c r="Y43" s="58">
        <v>230015</v>
      </c>
      <c r="Z43" s="88">
        <v>0</v>
      </c>
      <c r="AA43" s="88">
        <f>VLOOKUP(B43,'Renseanlæg 2021'!L:M,2,FALSE)</f>
        <v>0</v>
      </c>
      <c r="AB43" s="145">
        <v>0</v>
      </c>
      <c r="AC43" s="141">
        <v>0</v>
      </c>
      <c r="AD43" s="119">
        <v>0</v>
      </c>
      <c r="AE43" s="145">
        <v>0</v>
      </c>
      <c r="AF43" s="141">
        <v>0</v>
      </c>
      <c r="AG43" s="119">
        <v>0</v>
      </c>
      <c r="AH43" s="58">
        <v>0</v>
      </c>
      <c r="AI43" s="88">
        <v>8295</v>
      </c>
      <c r="AJ43" s="58">
        <v>1240215</v>
      </c>
      <c r="AK43" s="99" t="s">
        <v>315</v>
      </c>
      <c r="AL43" s="88">
        <v>14570</v>
      </c>
      <c r="AM43" s="73"/>
      <c r="AN43" s="117">
        <v>0</v>
      </c>
      <c r="AO43" s="119">
        <v>58105385.456708521</v>
      </c>
      <c r="AP43" s="145">
        <v>61405.8</v>
      </c>
      <c r="AQ43" s="266"/>
    </row>
    <row r="44" spans="1:43" x14ac:dyDescent="0.25">
      <c r="A44" s="202" t="s">
        <v>99</v>
      </c>
      <c r="B44" s="202" t="s">
        <v>100</v>
      </c>
      <c r="C44" s="141">
        <f t="shared" si="9"/>
        <v>1707036.964348</v>
      </c>
      <c r="D44" s="119">
        <f t="shared" si="0"/>
        <v>403893.89619999996</v>
      </c>
      <c r="E44" s="119">
        <f t="shared" si="1"/>
        <v>780550.08330000006</v>
      </c>
      <c r="F44" s="119">
        <f t="shared" si="2"/>
        <v>108029.52900000001</v>
      </c>
      <c r="G44" s="119">
        <f t="shared" si="3"/>
        <v>0</v>
      </c>
      <c r="H44" s="119">
        <f t="shared" si="4"/>
        <v>0</v>
      </c>
      <c r="I44" s="119">
        <f t="shared" si="5"/>
        <v>0</v>
      </c>
      <c r="J44" s="119">
        <f t="shared" si="6"/>
        <v>0</v>
      </c>
      <c r="K44" s="119">
        <f t="shared" si="7"/>
        <v>981115.09441438364</v>
      </c>
      <c r="L44" s="58">
        <f t="shared" si="8"/>
        <v>2013520.3624384438</v>
      </c>
      <c r="M44" s="147">
        <v>0.14076338400528751</v>
      </c>
      <c r="N44" s="267">
        <v>11</v>
      </c>
      <c r="O44" s="268">
        <v>165</v>
      </c>
      <c r="P44" s="268">
        <v>33</v>
      </c>
      <c r="Q44" s="268">
        <v>0.04</v>
      </c>
      <c r="R44" s="269">
        <v>2</v>
      </c>
      <c r="S44" s="141">
        <v>1</v>
      </c>
      <c r="T44" s="119">
        <v>8</v>
      </c>
      <c r="U44" s="119">
        <v>2</v>
      </c>
      <c r="V44" s="119">
        <v>420</v>
      </c>
      <c r="W44" s="145">
        <v>620</v>
      </c>
      <c r="X44" s="141">
        <v>103392</v>
      </c>
      <c r="Y44" s="58">
        <v>246819</v>
      </c>
      <c r="Z44" s="88">
        <v>17649</v>
      </c>
      <c r="AA44" s="88">
        <f>VLOOKUP(B44,'Renseanlæg 2021'!L:M,2,FALSE)</f>
        <v>0</v>
      </c>
      <c r="AB44" s="145">
        <v>0</v>
      </c>
      <c r="AC44" s="141">
        <v>0</v>
      </c>
      <c r="AD44" s="119">
        <v>0</v>
      </c>
      <c r="AE44" s="145">
        <v>0</v>
      </c>
      <c r="AF44" s="141">
        <v>0</v>
      </c>
      <c r="AG44" s="119">
        <v>0</v>
      </c>
      <c r="AH44" s="58">
        <v>0</v>
      </c>
      <c r="AI44" s="88">
        <v>5487</v>
      </c>
      <c r="AJ44" s="58">
        <v>1487537</v>
      </c>
      <c r="AK44" s="99" t="s">
        <v>315</v>
      </c>
      <c r="AL44" s="88">
        <v>17038</v>
      </c>
      <c r="AM44" s="73"/>
      <c r="AN44" s="117">
        <v>0</v>
      </c>
      <c r="AO44" s="119">
        <v>29372459.702449605</v>
      </c>
      <c r="AP44" s="145">
        <v>1858094.1466666665</v>
      </c>
      <c r="AQ44" s="266"/>
    </row>
    <row r="45" spans="1:43" x14ac:dyDescent="0.25">
      <c r="A45" s="202" t="s">
        <v>101</v>
      </c>
      <c r="B45" s="202" t="s">
        <v>102</v>
      </c>
      <c r="C45" s="141">
        <f t="shared" si="9"/>
        <v>4015179.9004589999</v>
      </c>
      <c r="D45" s="119">
        <f t="shared" si="0"/>
        <v>3068572.4187000003</v>
      </c>
      <c r="E45" s="119">
        <f t="shared" si="1"/>
        <v>852286.82030000002</v>
      </c>
      <c r="F45" s="119">
        <f t="shared" si="2"/>
        <v>164930.345</v>
      </c>
      <c r="G45" s="119">
        <f t="shared" si="3"/>
        <v>0</v>
      </c>
      <c r="H45" s="119">
        <f t="shared" si="4"/>
        <v>0</v>
      </c>
      <c r="I45" s="119">
        <f t="shared" si="5"/>
        <v>0</v>
      </c>
      <c r="J45" s="119">
        <f t="shared" si="6"/>
        <v>0</v>
      </c>
      <c r="K45" s="119">
        <f t="shared" si="7"/>
        <v>1246919.0437537141</v>
      </c>
      <c r="L45" s="58">
        <f t="shared" si="8"/>
        <v>4225899.2889613872</v>
      </c>
      <c r="M45" s="147">
        <v>9.9496554432820364E-2</v>
      </c>
      <c r="N45" s="267">
        <v>9</v>
      </c>
      <c r="O45" s="268">
        <v>316</v>
      </c>
      <c r="P45" s="268">
        <v>56</v>
      </c>
      <c r="Q45" s="268">
        <v>7.0000000000000007E-2</v>
      </c>
      <c r="R45" s="269">
        <v>7</v>
      </c>
      <c r="S45" s="141">
        <v>0</v>
      </c>
      <c r="T45" s="119">
        <v>0</v>
      </c>
      <c r="U45" s="119">
        <v>9</v>
      </c>
      <c r="V45" s="119">
        <v>2260</v>
      </c>
      <c r="W45" s="145">
        <v>10000</v>
      </c>
      <c r="X45" s="141">
        <v>329006</v>
      </c>
      <c r="Y45" s="58">
        <v>142749</v>
      </c>
      <c r="Z45" s="88">
        <v>26945</v>
      </c>
      <c r="AA45" s="88">
        <f>VLOOKUP(B45,'Renseanlæg 2021'!L:M,2,FALSE)</f>
        <v>0</v>
      </c>
      <c r="AB45" s="145">
        <v>0</v>
      </c>
      <c r="AC45" s="141">
        <v>0</v>
      </c>
      <c r="AD45" s="119">
        <v>0</v>
      </c>
      <c r="AE45" s="145">
        <v>0</v>
      </c>
      <c r="AF45" s="141">
        <v>0</v>
      </c>
      <c r="AG45" s="119">
        <v>0</v>
      </c>
      <c r="AH45" s="58">
        <v>0</v>
      </c>
      <c r="AI45" s="88">
        <v>10080</v>
      </c>
      <c r="AJ45" s="58">
        <v>2994281</v>
      </c>
      <c r="AK45" s="99" t="s">
        <v>315</v>
      </c>
      <c r="AL45" s="88">
        <v>27866</v>
      </c>
      <c r="AM45" s="73"/>
      <c r="AN45" s="117">
        <v>0</v>
      </c>
      <c r="AO45" s="119">
        <v>57603700.362044021</v>
      </c>
      <c r="AP45" s="145">
        <v>181214.70666666667</v>
      </c>
      <c r="AQ45" s="266"/>
    </row>
    <row r="46" spans="1:43" x14ac:dyDescent="0.25">
      <c r="A46" s="202" t="s">
        <v>103</v>
      </c>
      <c r="B46" s="202" t="s">
        <v>104</v>
      </c>
      <c r="C46" s="141">
        <f t="shared" si="9"/>
        <v>30108932.363800004</v>
      </c>
      <c r="D46" s="119">
        <f t="shared" si="0"/>
        <v>7515648.6894000005</v>
      </c>
      <c r="E46" s="119">
        <f t="shared" si="1"/>
        <v>157170.91699999999</v>
      </c>
      <c r="F46" s="119">
        <f t="shared" si="2"/>
        <v>1518008</v>
      </c>
      <c r="G46" s="119">
        <f t="shared" si="3"/>
        <v>0</v>
      </c>
      <c r="H46" s="119">
        <f t="shared" si="4"/>
        <v>2863.2069999999999</v>
      </c>
      <c r="I46" s="119">
        <f t="shared" si="5"/>
        <v>0</v>
      </c>
      <c r="J46" s="119">
        <f t="shared" si="6"/>
        <v>0</v>
      </c>
      <c r="K46" s="119">
        <f t="shared" si="7"/>
        <v>2075315.5340632801</v>
      </c>
      <c r="L46" s="58">
        <f t="shared" si="8"/>
        <v>49060199.854881704</v>
      </c>
      <c r="M46" s="147">
        <v>0.33210117647058823</v>
      </c>
      <c r="N46" s="267">
        <v>11</v>
      </c>
      <c r="O46" s="268">
        <v>539</v>
      </c>
      <c r="P46" s="268">
        <v>568</v>
      </c>
      <c r="Q46" s="268">
        <v>245</v>
      </c>
      <c r="R46" s="269">
        <v>55</v>
      </c>
      <c r="S46" s="141">
        <v>0</v>
      </c>
      <c r="T46" s="119">
        <v>26</v>
      </c>
      <c r="U46" s="119">
        <v>43</v>
      </c>
      <c r="V46" s="119">
        <v>6312</v>
      </c>
      <c r="W46" s="145">
        <v>19731</v>
      </c>
      <c r="X46" s="141">
        <v>0</v>
      </c>
      <c r="Y46" s="58">
        <v>61910</v>
      </c>
      <c r="Z46" s="88">
        <v>248000</v>
      </c>
      <c r="AA46" s="88">
        <f>VLOOKUP(B46,'Renseanlæg 2021'!L:M,2,FALSE)</f>
        <v>0</v>
      </c>
      <c r="AB46" s="145">
        <v>1</v>
      </c>
      <c r="AC46" s="141">
        <v>0</v>
      </c>
      <c r="AD46" s="119">
        <v>0</v>
      </c>
      <c r="AE46" s="145">
        <v>0</v>
      </c>
      <c r="AF46" s="141">
        <v>0</v>
      </c>
      <c r="AG46" s="119">
        <v>0</v>
      </c>
      <c r="AH46" s="58">
        <v>0</v>
      </c>
      <c r="AI46" s="88">
        <v>36704</v>
      </c>
      <c r="AJ46" s="58">
        <v>30277139</v>
      </c>
      <c r="AK46" s="99" t="s">
        <v>315</v>
      </c>
      <c r="AL46" s="88">
        <v>423429</v>
      </c>
      <c r="AM46" s="73"/>
      <c r="AN46" s="117">
        <v>474551.91594955791</v>
      </c>
      <c r="AO46" s="119">
        <v>270194654.13156176</v>
      </c>
      <c r="AP46" s="145">
        <v>970518.18666666676</v>
      </c>
      <c r="AQ46" s="266"/>
    </row>
    <row r="47" spans="1:43" x14ac:dyDescent="0.25">
      <c r="A47" s="202" t="s">
        <v>105</v>
      </c>
      <c r="B47" s="202" t="s">
        <v>106</v>
      </c>
      <c r="C47" s="141">
        <f t="shared" si="9"/>
        <v>1596567.39699</v>
      </c>
      <c r="D47" s="119">
        <f t="shared" si="0"/>
        <v>614972.08010000002</v>
      </c>
      <c r="E47" s="119">
        <f t="shared" si="1"/>
        <v>281689.07459999999</v>
      </c>
      <c r="F47" s="119">
        <f t="shared" si="2"/>
        <v>49396.47</v>
      </c>
      <c r="G47" s="119">
        <f t="shared" si="3"/>
        <v>0</v>
      </c>
      <c r="H47" s="119">
        <f t="shared" si="4"/>
        <v>0</v>
      </c>
      <c r="I47" s="119">
        <f t="shared" si="5"/>
        <v>0</v>
      </c>
      <c r="J47" s="119">
        <f t="shared" si="6"/>
        <v>0</v>
      </c>
      <c r="K47" s="119">
        <f t="shared" si="7"/>
        <v>1088493.7178633395</v>
      </c>
      <c r="L47" s="58">
        <f t="shared" si="8"/>
        <v>2422596.5935777253</v>
      </c>
      <c r="M47" s="147">
        <v>0.14299220646480129</v>
      </c>
      <c r="N47" s="267">
        <v>0.18</v>
      </c>
      <c r="O47" s="268">
        <v>178</v>
      </c>
      <c r="P47" s="268">
        <v>37</v>
      </c>
      <c r="Q47" s="268">
        <v>0.06</v>
      </c>
      <c r="R47" s="269">
        <v>1.3</v>
      </c>
      <c r="S47" s="141">
        <v>0</v>
      </c>
      <c r="T47" s="119">
        <v>1</v>
      </c>
      <c r="U47" s="119">
        <v>10</v>
      </c>
      <c r="V47" s="119">
        <v>700</v>
      </c>
      <c r="W47" s="145">
        <v>700</v>
      </c>
      <c r="X47" s="141">
        <v>0</v>
      </c>
      <c r="Y47" s="58">
        <v>110958</v>
      </c>
      <c r="Z47" s="88">
        <v>8070</v>
      </c>
      <c r="AA47" s="88">
        <f>VLOOKUP(B47,'Renseanlæg 2021'!L:M,2,FALSE)</f>
        <v>0</v>
      </c>
      <c r="AB47" s="145">
        <v>0</v>
      </c>
      <c r="AC47" s="141">
        <v>0</v>
      </c>
      <c r="AD47" s="119">
        <v>0</v>
      </c>
      <c r="AE47" s="145">
        <v>0</v>
      </c>
      <c r="AF47" s="141">
        <v>0</v>
      </c>
      <c r="AG47" s="119">
        <v>0</v>
      </c>
      <c r="AH47" s="58">
        <v>0</v>
      </c>
      <c r="AI47" s="88">
        <v>7141</v>
      </c>
      <c r="AJ47" s="58">
        <v>1771200</v>
      </c>
      <c r="AK47" s="99" t="s">
        <v>315</v>
      </c>
      <c r="AL47" s="88">
        <v>22384</v>
      </c>
      <c r="AM47" s="73"/>
      <c r="AN47" s="117">
        <v>0</v>
      </c>
      <c r="AO47" s="119">
        <v>31396379.995064657</v>
      </c>
      <c r="AP47" s="145">
        <v>78027.520000000004</v>
      </c>
      <c r="AQ47" s="266"/>
    </row>
    <row r="48" spans="1:43" x14ac:dyDescent="0.25">
      <c r="A48" s="202" t="s">
        <v>107</v>
      </c>
      <c r="B48" s="202" t="s">
        <v>108</v>
      </c>
      <c r="C48" s="141">
        <f t="shared" si="9"/>
        <v>5242614.6986699998</v>
      </c>
      <c r="D48" s="119">
        <f t="shared" si="0"/>
        <v>6833089.8670000006</v>
      </c>
      <c r="E48" s="119">
        <f t="shared" si="1"/>
        <v>765872.74690000003</v>
      </c>
      <c r="F48" s="119">
        <f t="shared" si="2"/>
        <v>156697.60000000001</v>
      </c>
      <c r="G48" s="119">
        <f t="shared" si="3"/>
        <v>11945752.45043646</v>
      </c>
      <c r="H48" s="119">
        <f t="shared" si="4"/>
        <v>2863.2069999999999</v>
      </c>
      <c r="I48" s="119">
        <f t="shared" si="5"/>
        <v>2729543.5291999998</v>
      </c>
      <c r="J48" s="119">
        <f t="shared" si="6"/>
        <v>938816.24560000002</v>
      </c>
      <c r="K48" s="119">
        <f t="shared" si="7"/>
        <v>1756403.2744059404</v>
      </c>
      <c r="L48" s="58">
        <f t="shared" si="8"/>
        <v>5800336.8337756945</v>
      </c>
      <c r="M48" s="147">
        <v>3.5184117835414662E-2</v>
      </c>
      <c r="N48" s="267">
        <v>391</v>
      </c>
      <c r="O48" s="268">
        <v>888.7</v>
      </c>
      <c r="P48" s="268">
        <v>45.4</v>
      </c>
      <c r="Q48" s="268">
        <v>0</v>
      </c>
      <c r="R48" s="269">
        <v>1.3</v>
      </c>
      <c r="S48" s="141">
        <v>135</v>
      </c>
      <c r="T48" s="119">
        <v>258</v>
      </c>
      <c r="U48" s="119">
        <v>114</v>
      </c>
      <c r="V48" s="119">
        <v>2950</v>
      </c>
      <c r="W48" s="145">
        <v>0</v>
      </c>
      <c r="X48" s="141">
        <v>112327</v>
      </c>
      <c r="Y48" s="58">
        <v>235797</v>
      </c>
      <c r="Z48" s="88">
        <v>25600</v>
      </c>
      <c r="AA48" s="88">
        <f>VLOOKUP(B48,'Renseanlæg 2021'!L:M,2,FALSE)</f>
        <v>11945752.45043646</v>
      </c>
      <c r="AB48" s="145">
        <v>1</v>
      </c>
      <c r="AC48" s="141">
        <v>75</v>
      </c>
      <c r="AD48" s="119">
        <v>1983</v>
      </c>
      <c r="AE48" s="145">
        <v>270</v>
      </c>
      <c r="AF48" s="141">
        <v>604</v>
      </c>
      <c r="AG48" s="119">
        <v>0</v>
      </c>
      <c r="AH48" s="58">
        <v>0</v>
      </c>
      <c r="AI48" s="88">
        <v>24038</v>
      </c>
      <c r="AJ48" s="58">
        <v>3134320</v>
      </c>
      <c r="AK48" s="99" t="s">
        <v>316</v>
      </c>
      <c r="AL48" s="88">
        <v>32964</v>
      </c>
      <c r="AM48" s="73"/>
      <c r="AN48" s="117">
        <v>11088163.091309134</v>
      </c>
      <c r="AO48" s="119">
        <v>105108504.87417337</v>
      </c>
      <c r="AP48" s="145">
        <v>2645962.4266666668</v>
      </c>
      <c r="AQ48" s="266"/>
    </row>
    <row r="49" spans="1:43" x14ac:dyDescent="0.25">
      <c r="A49" s="202" t="s">
        <v>109</v>
      </c>
      <c r="B49" s="202" t="s">
        <v>110</v>
      </c>
      <c r="C49" s="141">
        <f t="shared" si="9"/>
        <v>8603065.0187580008</v>
      </c>
      <c r="D49" s="119">
        <f t="shared" si="0"/>
        <v>4535316.0520000001</v>
      </c>
      <c r="E49" s="119">
        <f t="shared" si="1"/>
        <v>1686056.7759</v>
      </c>
      <c r="F49" s="119">
        <f t="shared" si="2"/>
        <v>115491.02800000001</v>
      </c>
      <c r="G49" s="119">
        <f t="shared" si="3"/>
        <v>25238533.782581199</v>
      </c>
      <c r="H49" s="119">
        <f t="shared" si="4"/>
        <v>83033.002999999997</v>
      </c>
      <c r="I49" s="119">
        <f t="shared" si="5"/>
        <v>4384415.2208000002</v>
      </c>
      <c r="J49" s="119">
        <f t="shared" si="6"/>
        <v>2470685.1736000003</v>
      </c>
      <c r="K49" s="119">
        <f t="shared" si="7"/>
        <v>1912239.3452081359</v>
      </c>
      <c r="L49" s="58">
        <f t="shared" si="8"/>
        <v>9352242.0513942409</v>
      </c>
      <c r="M49" s="147">
        <v>4.0469869129837209E-2</v>
      </c>
      <c r="N49" s="267">
        <v>488.36</v>
      </c>
      <c r="O49" s="268">
        <v>1145.6600000000001</v>
      </c>
      <c r="P49" s="268">
        <v>137.56</v>
      </c>
      <c r="Q49" s="268">
        <v>0</v>
      </c>
      <c r="R49" s="269">
        <v>3.98</v>
      </c>
      <c r="S49" s="141">
        <v>570</v>
      </c>
      <c r="T49" s="119">
        <v>46</v>
      </c>
      <c r="U49" s="119">
        <v>67</v>
      </c>
      <c r="V49" s="119">
        <v>2093</v>
      </c>
      <c r="W49" s="145">
        <v>828</v>
      </c>
      <c r="X49" s="141">
        <v>198927</v>
      </c>
      <c r="Y49" s="58">
        <v>547467</v>
      </c>
      <c r="Z49" s="88">
        <v>18868</v>
      </c>
      <c r="AA49" s="88">
        <f>VLOOKUP(B49,'Renseanlæg 2021'!L:M,2,FALSE)</f>
        <v>25238533.782581199</v>
      </c>
      <c r="AB49" s="145">
        <v>29</v>
      </c>
      <c r="AC49" s="141">
        <v>241</v>
      </c>
      <c r="AD49" s="119">
        <v>4664</v>
      </c>
      <c r="AE49" s="145">
        <v>0</v>
      </c>
      <c r="AF49" s="141">
        <v>2140</v>
      </c>
      <c r="AG49" s="119">
        <v>0</v>
      </c>
      <c r="AH49" s="58">
        <v>0</v>
      </c>
      <c r="AI49" s="88">
        <v>29823</v>
      </c>
      <c r="AJ49" s="58">
        <v>5090305</v>
      </c>
      <c r="AK49" s="99" t="s">
        <v>316</v>
      </c>
      <c r="AL49" s="88">
        <v>47406</v>
      </c>
      <c r="AM49" s="73"/>
      <c r="AN49" s="117">
        <v>17098074.059662186</v>
      </c>
      <c r="AO49" s="119">
        <v>121035487.63333333</v>
      </c>
      <c r="AP49" s="145">
        <v>5073266.666666666</v>
      </c>
      <c r="AQ49" s="266"/>
    </row>
    <row r="50" spans="1:43" x14ac:dyDescent="0.25">
      <c r="A50" s="202" t="s">
        <v>111</v>
      </c>
      <c r="B50" s="202" t="s">
        <v>112</v>
      </c>
      <c r="C50" s="141">
        <f t="shared" si="9"/>
        <v>2985829.9915760006</v>
      </c>
      <c r="D50" s="119">
        <f t="shared" si="0"/>
        <v>2219243.8368000002</v>
      </c>
      <c r="E50" s="119">
        <f t="shared" si="1"/>
        <v>1315436.1115000001</v>
      </c>
      <c r="F50" s="119">
        <f t="shared" si="2"/>
        <v>51416.4</v>
      </c>
      <c r="G50" s="119">
        <f t="shared" si="3"/>
        <v>1296372.3301353068</v>
      </c>
      <c r="H50" s="119">
        <f t="shared" si="4"/>
        <v>0</v>
      </c>
      <c r="I50" s="119">
        <f>IF(SUM(AC50:AE50)&gt;0,738847.7915+277.6197*AC50+767.2944*AD50+1660.4795*AE50,0)</f>
        <v>1038564.3412500001</v>
      </c>
      <c r="J50" s="119">
        <f>IF(SUM(AF50:AH50)&gt;0,336440.7036+997.3105*AF50+2945.6348*AG50+1952.3183*AH50,0)</f>
        <v>1093399.3731</v>
      </c>
      <c r="K50" s="119">
        <f t="shared" si="7"/>
        <v>1299614.9758740719</v>
      </c>
      <c r="L50" s="58">
        <f t="shared" si="8"/>
        <v>4864621.0323900385</v>
      </c>
      <c r="M50" s="147">
        <v>6.3804763304910306E-2</v>
      </c>
      <c r="N50" s="267">
        <v>171.6</v>
      </c>
      <c r="O50" s="268">
        <v>418.6</v>
      </c>
      <c r="P50" s="268">
        <v>63.1</v>
      </c>
      <c r="Q50" s="268">
        <v>0</v>
      </c>
      <c r="R50" s="269">
        <v>0.23</v>
      </c>
      <c r="S50" s="141">
        <v>284</v>
      </c>
      <c r="T50" s="119">
        <v>4</v>
      </c>
      <c r="U50" s="119">
        <v>35</v>
      </c>
      <c r="V50" s="119">
        <v>1279</v>
      </c>
      <c r="W50" s="145">
        <v>680</v>
      </c>
      <c r="X50" s="141">
        <v>204355</v>
      </c>
      <c r="Y50" s="58">
        <v>398295</v>
      </c>
      <c r="Z50" s="88">
        <v>8400</v>
      </c>
      <c r="AA50" s="88">
        <f>VLOOKUP(B50,'Renseanlæg 2021'!L:M,2,FALSE)</f>
        <v>1296372.3301353068</v>
      </c>
      <c r="AB50" s="145">
        <v>0</v>
      </c>
      <c r="AC50" s="141">
        <v>0</v>
      </c>
      <c r="AD50" s="119">
        <v>0</v>
      </c>
      <c r="AE50" s="145">
        <v>180.5</v>
      </c>
      <c r="AF50" s="141">
        <v>759</v>
      </c>
      <c r="AG50" s="119">
        <v>0</v>
      </c>
      <c r="AH50" s="58">
        <v>0</v>
      </c>
      <c r="AI50" s="88">
        <v>11196</v>
      </c>
      <c r="AJ50" s="58">
        <v>2621703</v>
      </c>
      <c r="AK50" s="99" t="s">
        <v>316</v>
      </c>
      <c r="AL50" s="88">
        <v>28210</v>
      </c>
      <c r="AM50" s="73"/>
      <c r="AN50" s="117">
        <v>1175116.8132638789</v>
      </c>
      <c r="AO50" s="119">
        <v>65053323.337333336</v>
      </c>
      <c r="AP50" s="145">
        <v>1363456.6</v>
      </c>
      <c r="AQ50" s="266"/>
    </row>
    <row r="51" spans="1:43" x14ac:dyDescent="0.25">
      <c r="A51" s="202" t="s">
        <v>113</v>
      </c>
      <c r="B51" s="202" t="s">
        <v>114</v>
      </c>
      <c r="C51" s="141">
        <f t="shared" si="9"/>
        <v>1532495.061037</v>
      </c>
      <c r="D51" s="119">
        <f t="shared" si="0"/>
        <v>1715132.9317999999</v>
      </c>
      <c r="E51" s="119">
        <f t="shared" si="1"/>
        <v>29448.92</v>
      </c>
      <c r="F51" s="119">
        <f t="shared" si="2"/>
        <v>98652.157000000007</v>
      </c>
      <c r="G51" s="119">
        <f t="shared" si="3"/>
        <v>4711467.5769842537</v>
      </c>
      <c r="H51" s="119">
        <f t="shared" si="4"/>
        <v>0</v>
      </c>
      <c r="I51" s="119">
        <f t="shared" si="5"/>
        <v>1591311.8699</v>
      </c>
      <c r="J51" s="119">
        <f t="shared" si="6"/>
        <v>1555742.08706</v>
      </c>
      <c r="K51" s="119">
        <f t="shared" si="7"/>
        <v>1140748.5324659715</v>
      </c>
      <c r="L51" s="58">
        <f t="shared" si="8"/>
        <v>3409078.9333104407</v>
      </c>
      <c r="M51" s="147">
        <v>7.6680988184747584E-2</v>
      </c>
      <c r="N51" s="267">
        <v>17.13</v>
      </c>
      <c r="O51" s="268">
        <v>196.13</v>
      </c>
      <c r="P51" s="268">
        <v>19.22</v>
      </c>
      <c r="Q51" s="268">
        <v>0</v>
      </c>
      <c r="R51" s="269">
        <v>1.69</v>
      </c>
      <c r="S51" s="141">
        <v>14</v>
      </c>
      <c r="T51" s="119">
        <v>8</v>
      </c>
      <c r="U51" s="119">
        <v>15</v>
      </c>
      <c r="V51" s="119">
        <v>2512</v>
      </c>
      <c r="W51" s="145">
        <v>2069</v>
      </c>
      <c r="X51" s="141">
        <v>0</v>
      </c>
      <c r="Y51" s="58">
        <v>11600</v>
      </c>
      <c r="Z51" s="88">
        <v>16117</v>
      </c>
      <c r="AA51" s="88">
        <f>VLOOKUP(B51,'Renseanlæg 2021'!L:M,2,FALSE)</f>
        <v>4711467.5769842537</v>
      </c>
      <c r="AB51" s="145">
        <v>0</v>
      </c>
      <c r="AC51" s="141">
        <v>0</v>
      </c>
      <c r="AD51" s="119">
        <v>1111</v>
      </c>
      <c r="AE51" s="145">
        <v>0</v>
      </c>
      <c r="AF51" s="141">
        <v>151.4</v>
      </c>
      <c r="AG51" s="119">
        <v>0</v>
      </c>
      <c r="AH51" s="58">
        <v>547.20000000000005</v>
      </c>
      <c r="AI51" s="88">
        <v>8043</v>
      </c>
      <c r="AJ51" s="58">
        <v>1827410</v>
      </c>
      <c r="AK51" s="99" t="s">
        <v>316</v>
      </c>
      <c r="AL51" s="88">
        <v>14278</v>
      </c>
      <c r="AM51" s="73"/>
      <c r="AN51" s="117">
        <v>5049469.2104005907</v>
      </c>
      <c r="AO51" s="119">
        <v>31270608.468535438</v>
      </c>
      <c r="AP51" s="145">
        <v>1075171.7928020586</v>
      </c>
      <c r="AQ51" s="266"/>
    </row>
    <row r="52" spans="1:43" x14ac:dyDescent="0.25">
      <c r="A52" s="202" t="s">
        <v>115</v>
      </c>
      <c r="B52" s="202" t="s">
        <v>116</v>
      </c>
      <c r="C52" s="141">
        <f t="shared" si="9"/>
        <v>5468813.075065</v>
      </c>
      <c r="D52" s="119">
        <f t="shared" si="0"/>
        <v>2231284.2428000001</v>
      </c>
      <c r="E52" s="119">
        <f t="shared" si="1"/>
        <v>738884.41460000002</v>
      </c>
      <c r="F52" s="119">
        <f t="shared" si="2"/>
        <v>108262.12700000001</v>
      </c>
      <c r="G52" s="119">
        <f t="shared" si="3"/>
        <v>6842079.4690800495</v>
      </c>
      <c r="H52" s="119">
        <f t="shared" si="4"/>
        <v>0</v>
      </c>
      <c r="I52" s="119">
        <f t="shared" si="5"/>
        <v>1308963.2782999999</v>
      </c>
      <c r="J52" s="119">
        <f t="shared" si="6"/>
        <v>988681.77060000005</v>
      </c>
      <c r="K52" s="119">
        <f t="shared" si="7"/>
        <v>1469871.8683504707</v>
      </c>
      <c r="L52" s="58">
        <f t="shared" si="8"/>
        <v>3473715.5019219103</v>
      </c>
      <c r="M52" s="147">
        <v>3.2450531640158882E-2</v>
      </c>
      <c r="N52" s="267">
        <v>204.15</v>
      </c>
      <c r="O52" s="268">
        <v>638.67999999999995</v>
      </c>
      <c r="P52" s="268">
        <v>19.29</v>
      </c>
      <c r="Q52" s="268">
        <v>0</v>
      </c>
      <c r="R52" s="269">
        <v>8.4</v>
      </c>
      <c r="S52" s="141">
        <v>0</v>
      </c>
      <c r="T52" s="119">
        <v>21</v>
      </c>
      <c r="U52" s="119">
        <v>52</v>
      </c>
      <c r="V52" s="119">
        <v>2497</v>
      </c>
      <c r="W52" s="145">
        <v>0</v>
      </c>
      <c r="X52" s="141">
        <v>156585</v>
      </c>
      <c r="Y52" s="58">
        <v>199208</v>
      </c>
      <c r="Z52" s="88">
        <v>17687</v>
      </c>
      <c r="AA52" s="88">
        <f>VLOOKUP(B52,'Renseanlæg 2021'!L:M,2,FALSE)</f>
        <v>6842079.4690800495</v>
      </c>
      <c r="AB52" s="145">
        <v>0</v>
      </c>
      <c r="AC52" s="141">
        <v>654</v>
      </c>
      <c r="AD52" s="119">
        <v>0</v>
      </c>
      <c r="AE52" s="145">
        <v>234</v>
      </c>
      <c r="AF52" s="141">
        <v>654</v>
      </c>
      <c r="AG52" s="119">
        <v>0</v>
      </c>
      <c r="AH52" s="58">
        <v>0</v>
      </c>
      <c r="AI52" s="88">
        <v>15300</v>
      </c>
      <c r="AJ52" s="58">
        <v>1862587</v>
      </c>
      <c r="AK52" s="99" t="s">
        <v>316</v>
      </c>
      <c r="AL52" s="88">
        <v>18220</v>
      </c>
      <c r="AM52" s="73"/>
      <c r="AN52" s="117">
        <v>8358154.000124651</v>
      </c>
      <c r="AO52" s="119">
        <v>70813738.733333334</v>
      </c>
      <c r="AP52" s="145">
        <v>3765600</v>
      </c>
      <c r="AQ52" s="266"/>
    </row>
    <row r="53" spans="1:43" x14ac:dyDescent="0.25">
      <c r="A53" s="202" t="s">
        <v>117</v>
      </c>
      <c r="B53" s="202" t="s">
        <v>118</v>
      </c>
      <c r="C53" s="141">
        <f t="shared" si="9"/>
        <v>1002792.655739</v>
      </c>
      <c r="D53" s="119">
        <f t="shared" si="0"/>
        <v>1224088.7271</v>
      </c>
      <c r="E53" s="119">
        <f t="shared" si="1"/>
        <v>251166.0043</v>
      </c>
      <c r="F53" s="119">
        <f t="shared" si="2"/>
        <v>0</v>
      </c>
      <c r="G53" s="119">
        <f t="shared" si="3"/>
        <v>0</v>
      </c>
      <c r="H53" s="119">
        <f t="shared" si="4"/>
        <v>0</v>
      </c>
      <c r="I53" s="119">
        <f t="shared" si="5"/>
        <v>0</v>
      </c>
      <c r="J53" s="119">
        <f t="shared" si="6"/>
        <v>0</v>
      </c>
      <c r="K53" s="119">
        <f t="shared" si="7"/>
        <v>854183.4996436591</v>
      </c>
      <c r="L53" s="58">
        <f t="shared" si="8"/>
        <v>1486493.0998655427</v>
      </c>
      <c r="M53" s="147">
        <v>3.9285352768498837E-2</v>
      </c>
      <c r="N53" s="267">
        <v>42.64</v>
      </c>
      <c r="O53" s="268">
        <v>126.95</v>
      </c>
      <c r="P53" s="268">
        <v>28</v>
      </c>
      <c r="Q53" s="268">
        <v>0</v>
      </c>
      <c r="R53" s="269">
        <v>0</v>
      </c>
      <c r="S53" s="141">
        <v>66</v>
      </c>
      <c r="T53" s="119">
        <v>0</v>
      </c>
      <c r="U53" s="119">
        <v>18</v>
      </c>
      <c r="V53" s="119">
        <v>1953</v>
      </c>
      <c r="W53" s="145">
        <v>0</v>
      </c>
      <c r="X53" s="141">
        <v>41850</v>
      </c>
      <c r="Y53" s="58">
        <v>74389</v>
      </c>
      <c r="Z53" s="88">
        <v>0</v>
      </c>
      <c r="AA53" s="88">
        <f>VLOOKUP(B53,'Renseanlæg 2021'!L:M,2,FALSE)</f>
        <v>0</v>
      </c>
      <c r="AB53" s="145">
        <v>0</v>
      </c>
      <c r="AC53" s="141">
        <v>0</v>
      </c>
      <c r="AD53" s="119">
        <v>0</v>
      </c>
      <c r="AE53" s="145">
        <v>0</v>
      </c>
      <c r="AF53" s="141">
        <v>0</v>
      </c>
      <c r="AG53" s="119">
        <v>0</v>
      </c>
      <c r="AH53" s="58">
        <v>0</v>
      </c>
      <c r="AI53" s="88">
        <v>3861</v>
      </c>
      <c r="AJ53" s="58">
        <v>1117119</v>
      </c>
      <c r="AK53" s="99" t="s">
        <v>315</v>
      </c>
      <c r="AL53" s="88">
        <v>3881</v>
      </c>
      <c r="AM53" s="73"/>
      <c r="AN53" s="117">
        <v>0</v>
      </c>
      <c r="AO53" s="119">
        <v>17477167.947999999</v>
      </c>
      <c r="AP53" s="145">
        <v>206010.66666666666</v>
      </c>
      <c r="AQ53" s="266"/>
    </row>
    <row r="54" spans="1:43" x14ac:dyDescent="0.25">
      <c r="A54" s="202" t="s">
        <v>119</v>
      </c>
      <c r="B54" s="202" t="s">
        <v>120</v>
      </c>
      <c r="C54" s="141">
        <f t="shared" si="9"/>
        <v>3767714.0257959999</v>
      </c>
      <c r="D54" s="119">
        <f t="shared" si="0"/>
        <v>5593155.5422999999</v>
      </c>
      <c r="E54" s="119">
        <f t="shared" si="1"/>
        <v>132638.44220000002</v>
      </c>
      <c r="F54" s="119">
        <f t="shared" si="2"/>
        <v>106958.35400000001</v>
      </c>
      <c r="G54" s="119">
        <f t="shared" si="3"/>
        <v>9259982.2716479823</v>
      </c>
      <c r="H54" s="119">
        <f t="shared" si="4"/>
        <v>0</v>
      </c>
      <c r="I54" s="119">
        <f t="shared" si="5"/>
        <v>1108465.1076860002</v>
      </c>
      <c r="J54" s="119">
        <f t="shared" si="6"/>
        <v>1664239.9570900002</v>
      </c>
      <c r="K54" s="119">
        <f t="shared" si="7"/>
        <v>1670509.7546998528</v>
      </c>
      <c r="L54" s="58">
        <f t="shared" si="8"/>
        <v>3363803.7591728852</v>
      </c>
      <c r="M54" s="147">
        <v>2.9163239362895381E-2</v>
      </c>
      <c r="N54" s="267">
        <v>459.35</v>
      </c>
      <c r="O54" s="268">
        <v>606.24</v>
      </c>
      <c r="P54" s="268">
        <v>0</v>
      </c>
      <c r="Q54" s="268">
        <v>0</v>
      </c>
      <c r="R54" s="269">
        <v>1.7</v>
      </c>
      <c r="S54" s="141">
        <v>20</v>
      </c>
      <c r="T54" s="119">
        <v>32</v>
      </c>
      <c r="U54" s="119">
        <v>181</v>
      </c>
      <c r="V54" s="119">
        <v>3076</v>
      </c>
      <c r="W54" s="145">
        <v>0</v>
      </c>
      <c r="X54" s="141">
        <v>43563</v>
      </c>
      <c r="Y54" s="58">
        <v>26696</v>
      </c>
      <c r="Z54" s="88">
        <v>17474</v>
      </c>
      <c r="AA54" s="88">
        <f>VLOOKUP(B54,'Renseanlæg 2021'!L:M,2,FALSE)</f>
        <v>9259982.2716479823</v>
      </c>
      <c r="AB54" s="145">
        <v>0</v>
      </c>
      <c r="AC54" s="141">
        <v>1331.38</v>
      </c>
      <c r="AD54" s="119">
        <v>0</v>
      </c>
      <c r="AE54" s="145">
        <v>0</v>
      </c>
      <c r="AF54" s="141">
        <v>1331.38</v>
      </c>
      <c r="AG54" s="119">
        <v>0</v>
      </c>
      <c r="AH54" s="58">
        <v>0</v>
      </c>
      <c r="AI54" s="88">
        <v>21167</v>
      </c>
      <c r="AJ54" s="58">
        <v>1802776</v>
      </c>
      <c r="AK54" s="99" t="s">
        <v>316</v>
      </c>
      <c r="AL54" s="88">
        <v>23400</v>
      </c>
      <c r="AM54" s="73"/>
      <c r="AN54" s="117">
        <v>6864107.2773255762</v>
      </c>
      <c r="AO54" s="119">
        <v>78302316.766666666</v>
      </c>
      <c r="AP54" s="145">
        <v>1843973.3333333335</v>
      </c>
      <c r="AQ54" s="266"/>
    </row>
    <row r="55" spans="1:43" x14ac:dyDescent="0.25">
      <c r="A55" s="202" t="s">
        <v>121</v>
      </c>
      <c r="B55" s="202" t="s">
        <v>122</v>
      </c>
      <c r="C55" s="141">
        <f t="shared" si="9"/>
        <v>35384.843439999997</v>
      </c>
      <c r="D55" s="119">
        <f t="shared" si="0"/>
        <v>667811.03289999999</v>
      </c>
      <c r="E55" s="119">
        <f t="shared" si="1"/>
        <v>0</v>
      </c>
      <c r="F55" s="119">
        <f t="shared" si="2"/>
        <v>0</v>
      </c>
      <c r="G55" s="119">
        <f t="shared" si="3"/>
        <v>6641051.1285171444</v>
      </c>
      <c r="H55" s="119">
        <f t="shared" si="4"/>
        <v>0</v>
      </c>
      <c r="I55" s="119">
        <f t="shared" si="5"/>
        <v>1363313.9065</v>
      </c>
      <c r="J55" s="119">
        <f t="shared" si="6"/>
        <v>1428495.7011000002</v>
      </c>
      <c r="K55" s="119">
        <f t="shared" si="7"/>
        <v>62116.659428912084</v>
      </c>
      <c r="L55" s="58">
        <f t="shared" si="8"/>
        <v>3923307.2601424954</v>
      </c>
      <c r="M55" s="147">
        <v>3.875968992248062E-4</v>
      </c>
      <c r="N55" s="267">
        <v>8.9</v>
      </c>
      <c r="O55" s="268">
        <v>4</v>
      </c>
      <c r="P55" s="268">
        <v>0</v>
      </c>
      <c r="Q55" s="268">
        <v>0</v>
      </c>
      <c r="R55" s="269">
        <v>0</v>
      </c>
      <c r="S55" s="141">
        <v>0</v>
      </c>
      <c r="T55" s="119">
        <v>0</v>
      </c>
      <c r="U55" s="119">
        <v>0</v>
      </c>
      <c r="V55" s="119">
        <v>0</v>
      </c>
      <c r="W55" s="145">
        <v>3113</v>
      </c>
      <c r="X55" s="141">
        <v>0</v>
      </c>
      <c r="Y55" s="58">
        <v>0</v>
      </c>
      <c r="Z55" s="88">
        <v>0</v>
      </c>
      <c r="AA55" s="88">
        <f>VLOOKUP(B55,'Renseanlæg 2021'!L:M,2,FALSE)</f>
        <v>6641051.1285171444</v>
      </c>
      <c r="AB55" s="145">
        <v>0</v>
      </c>
      <c r="AC55" s="141">
        <v>1095</v>
      </c>
      <c r="AD55" s="119">
        <v>0</v>
      </c>
      <c r="AE55" s="145">
        <v>193</v>
      </c>
      <c r="AF55" s="141">
        <v>1095</v>
      </c>
      <c r="AG55" s="119">
        <v>0</v>
      </c>
      <c r="AH55" s="58">
        <v>0</v>
      </c>
      <c r="AI55" s="88">
        <v>5</v>
      </c>
      <c r="AJ55" s="58">
        <v>5989206</v>
      </c>
      <c r="AK55" s="99" t="s">
        <v>317</v>
      </c>
      <c r="AL55" s="88">
        <v>5</v>
      </c>
      <c r="AM55" s="73"/>
      <c r="AN55" s="117">
        <v>12228482.385060871</v>
      </c>
      <c r="AO55" s="119">
        <v>2827111.6733333329</v>
      </c>
      <c r="AP55" s="145">
        <v>3553307.706666667</v>
      </c>
      <c r="AQ55" s="266"/>
    </row>
    <row r="56" spans="1:43" x14ac:dyDescent="0.25">
      <c r="A56" s="202" t="s">
        <v>123</v>
      </c>
      <c r="B56" s="202" t="s">
        <v>124</v>
      </c>
      <c r="C56" s="141">
        <f t="shared" si="9"/>
        <v>3700778.0644299998</v>
      </c>
      <c r="D56" s="119">
        <f t="shared" si="0"/>
        <v>5386829.4601000007</v>
      </c>
      <c r="E56" s="119">
        <f t="shared" si="1"/>
        <v>8071791.3715000004</v>
      </c>
      <c r="F56" s="119">
        <f t="shared" si="2"/>
        <v>150772.47200000001</v>
      </c>
      <c r="G56" s="119">
        <f t="shared" si="3"/>
        <v>0</v>
      </c>
      <c r="H56" s="119">
        <f t="shared" si="4"/>
        <v>2863.2069999999999</v>
      </c>
      <c r="I56" s="119">
        <f t="shared" si="5"/>
        <v>0</v>
      </c>
      <c r="J56" s="119">
        <f t="shared" si="6"/>
        <v>0</v>
      </c>
      <c r="K56" s="119">
        <f t="shared" si="7"/>
        <v>1497863.9743802047</v>
      </c>
      <c r="L56" s="58">
        <f t="shared" si="8"/>
        <v>2404804.2157578319</v>
      </c>
      <c r="M56" s="147">
        <v>2.4637009129111723E-2</v>
      </c>
      <c r="N56" s="267">
        <v>301.60000000000002</v>
      </c>
      <c r="O56" s="268">
        <v>671</v>
      </c>
      <c r="P56" s="268">
        <v>21.9</v>
      </c>
      <c r="Q56" s="268">
        <v>0</v>
      </c>
      <c r="R56" s="269">
        <v>0.7</v>
      </c>
      <c r="S56" s="141">
        <v>21</v>
      </c>
      <c r="T56" s="119">
        <v>100</v>
      </c>
      <c r="U56" s="119">
        <v>148</v>
      </c>
      <c r="V56" s="119">
        <v>2453</v>
      </c>
      <c r="W56" s="145">
        <v>0</v>
      </c>
      <c r="X56" s="141">
        <v>371211</v>
      </c>
      <c r="Y56" s="58">
        <v>2961775</v>
      </c>
      <c r="Z56" s="88">
        <v>24632</v>
      </c>
      <c r="AA56" s="88">
        <f>VLOOKUP(B56,'Renseanlæg 2021'!L:M,2,FALSE)</f>
        <v>0</v>
      </c>
      <c r="AB56" s="145">
        <v>1</v>
      </c>
      <c r="AC56" s="141">
        <v>0</v>
      </c>
      <c r="AD56" s="119">
        <v>0</v>
      </c>
      <c r="AE56" s="145">
        <v>0</v>
      </c>
      <c r="AF56" s="141">
        <v>0</v>
      </c>
      <c r="AG56" s="119">
        <v>0</v>
      </c>
      <c r="AH56" s="58">
        <v>0</v>
      </c>
      <c r="AI56" s="88">
        <v>16050</v>
      </c>
      <c r="AJ56" s="58">
        <v>1758922</v>
      </c>
      <c r="AK56" s="99" t="s">
        <v>315</v>
      </c>
      <c r="AL56" s="88">
        <v>17002</v>
      </c>
      <c r="AM56" s="73"/>
      <c r="AN56" s="117">
        <v>1841.2662786691872</v>
      </c>
      <c r="AO56" s="119">
        <v>87798403.713091493</v>
      </c>
      <c r="AP56" s="145">
        <v>3519519.8800000004</v>
      </c>
      <c r="AQ56" s="266"/>
    </row>
    <row r="57" spans="1:43" x14ac:dyDescent="0.25">
      <c r="A57" s="202" t="s">
        <v>125</v>
      </c>
      <c r="B57" s="202" t="s">
        <v>126</v>
      </c>
      <c r="C57" s="141">
        <f t="shared" si="9"/>
        <v>1909846.4004880001</v>
      </c>
      <c r="D57" s="119">
        <f t="shared" si="0"/>
        <v>6340217.6468000002</v>
      </c>
      <c r="E57" s="119">
        <f t="shared" si="1"/>
        <v>173927.24710000001</v>
      </c>
      <c r="F57" s="119">
        <f t="shared" si="2"/>
        <v>25634.748000000003</v>
      </c>
      <c r="G57" s="119">
        <f t="shared" si="3"/>
        <v>3587981.0905555654</v>
      </c>
      <c r="H57" s="119">
        <f t="shared" si="4"/>
        <v>8589.6209999999992</v>
      </c>
      <c r="I57" s="119">
        <f t="shared" si="5"/>
        <v>834348.96830000007</v>
      </c>
      <c r="J57" s="119">
        <f t="shared" si="6"/>
        <v>854825.33579000004</v>
      </c>
      <c r="K57" s="119">
        <f t="shared" si="7"/>
        <v>1288375.4127423968</v>
      </c>
      <c r="L57" s="58">
        <f t="shared" si="8"/>
        <v>2041687.7177799589</v>
      </c>
      <c r="M57" s="147">
        <v>3.0837444992665691E-2</v>
      </c>
      <c r="N57" s="267">
        <v>236</v>
      </c>
      <c r="O57" s="268">
        <v>368</v>
      </c>
      <c r="P57" s="268">
        <v>0</v>
      </c>
      <c r="Q57" s="268">
        <v>0</v>
      </c>
      <c r="R57" s="269">
        <v>0.04</v>
      </c>
      <c r="S57" s="141">
        <v>0</v>
      </c>
      <c r="T57" s="119">
        <v>323</v>
      </c>
      <c r="U57" s="119">
        <v>62</v>
      </c>
      <c r="V57" s="119">
        <v>4153</v>
      </c>
      <c r="W57" s="145">
        <v>0</v>
      </c>
      <c r="X57" s="141">
        <v>39278</v>
      </c>
      <c r="Y57" s="58">
        <v>45473</v>
      </c>
      <c r="Z57" s="88">
        <v>4188</v>
      </c>
      <c r="AA57" s="88">
        <f>VLOOKUP(B57,'Renseanlæg 2021'!L:M,2,FALSE)</f>
        <v>3587981.0905555654</v>
      </c>
      <c r="AB57" s="145">
        <v>3</v>
      </c>
      <c r="AC57" s="141">
        <v>344</v>
      </c>
      <c r="AD57" s="119">
        <v>0</v>
      </c>
      <c r="AE57" s="145">
        <v>0</v>
      </c>
      <c r="AF57" s="141">
        <v>159</v>
      </c>
      <c r="AG57" s="119">
        <v>0</v>
      </c>
      <c r="AH57" s="58">
        <v>184.3</v>
      </c>
      <c r="AI57" s="88">
        <v>10952</v>
      </c>
      <c r="AJ57" s="58">
        <v>1085977</v>
      </c>
      <c r="AK57" s="99" t="s">
        <v>316</v>
      </c>
      <c r="AL57" s="88">
        <v>13875</v>
      </c>
      <c r="AM57" s="73"/>
      <c r="AN57" s="117">
        <v>2315214.532207631</v>
      </c>
      <c r="AO57" s="119">
        <v>40500203.835973665</v>
      </c>
      <c r="AP57" s="145">
        <v>523362.29669347627</v>
      </c>
      <c r="AQ57" s="266"/>
    </row>
    <row r="58" spans="1:43" x14ac:dyDescent="0.25">
      <c r="A58" s="202" t="s">
        <v>127</v>
      </c>
      <c r="B58" s="202" t="s">
        <v>128</v>
      </c>
      <c r="C58" s="141">
        <f t="shared" si="9"/>
        <v>7975628.6095779995</v>
      </c>
      <c r="D58" s="119">
        <f t="shared" si="0"/>
        <v>15340283.695900001</v>
      </c>
      <c r="E58" s="119">
        <f t="shared" si="1"/>
        <v>988512.69570000004</v>
      </c>
      <c r="F58" s="119">
        <f t="shared" si="2"/>
        <v>284338.81300000002</v>
      </c>
      <c r="G58" s="119">
        <f t="shared" si="3"/>
        <v>15815616.397516036</v>
      </c>
      <c r="H58" s="119">
        <f t="shared" si="4"/>
        <v>100212.245</v>
      </c>
      <c r="I58" s="119">
        <f t="shared" si="5"/>
        <v>3010465.1858999999</v>
      </c>
      <c r="J58" s="119">
        <f t="shared" si="6"/>
        <v>384311.60759999999</v>
      </c>
      <c r="K58" s="119">
        <f t="shared" si="7"/>
        <v>2024040.5077627948</v>
      </c>
      <c r="L58" s="58">
        <f t="shared" si="8"/>
        <v>8018272.9535315186</v>
      </c>
      <c r="M58" s="147">
        <v>3.3871871149226421E-2</v>
      </c>
      <c r="N58" s="267">
        <v>815.83</v>
      </c>
      <c r="O58" s="268">
        <v>1228.9100000000001</v>
      </c>
      <c r="P58" s="268">
        <v>88.41</v>
      </c>
      <c r="Q58" s="268">
        <v>0</v>
      </c>
      <c r="R58" s="269">
        <v>0.67</v>
      </c>
      <c r="S58" s="141">
        <v>1694</v>
      </c>
      <c r="T58" s="119">
        <v>160</v>
      </c>
      <c r="U58" s="119">
        <v>195</v>
      </c>
      <c r="V58" s="119">
        <v>9194</v>
      </c>
      <c r="W58" s="145">
        <v>6000</v>
      </c>
      <c r="X58" s="141">
        <v>124508</v>
      </c>
      <c r="Y58" s="58">
        <v>316351</v>
      </c>
      <c r="Z58" s="88">
        <v>46453</v>
      </c>
      <c r="AA58" s="88">
        <f>VLOOKUP(B58,'Renseanlæg 2021'!L:M,2,FALSE)</f>
        <v>15815616.397516036</v>
      </c>
      <c r="AB58" s="145">
        <v>35</v>
      </c>
      <c r="AC58" s="141">
        <v>48</v>
      </c>
      <c r="AD58" s="119">
        <v>2822</v>
      </c>
      <c r="AE58" s="145">
        <v>56</v>
      </c>
      <c r="AF58" s="141">
        <v>48</v>
      </c>
      <c r="AG58" s="119">
        <v>0</v>
      </c>
      <c r="AH58" s="58">
        <v>0</v>
      </c>
      <c r="AI58" s="88">
        <v>34447</v>
      </c>
      <c r="AJ58" s="58">
        <v>4354096</v>
      </c>
      <c r="AK58" s="99" t="s">
        <v>316</v>
      </c>
      <c r="AL58" s="88">
        <v>54426</v>
      </c>
      <c r="AM58" s="73"/>
      <c r="AN58" s="117">
        <v>12491653.5252138</v>
      </c>
      <c r="AO58" s="119">
        <v>177095238.07066664</v>
      </c>
      <c r="AP58" s="145">
        <v>2145840</v>
      </c>
      <c r="AQ58" s="266"/>
    </row>
    <row r="59" spans="1:43" x14ac:dyDescent="0.25">
      <c r="A59" s="202" t="s">
        <v>129</v>
      </c>
      <c r="B59" s="202" t="s">
        <v>130</v>
      </c>
      <c r="C59" s="141">
        <f t="shared" si="9"/>
        <v>4006502.9374999995</v>
      </c>
      <c r="D59" s="119">
        <f t="shared" si="0"/>
        <v>6759466.7979999995</v>
      </c>
      <c r="E59" s="119">
        <f t="shared" si="1"/>
        <v>988905.06350000005</v>
      </c>
      <c r="F59" s="119">
        <f t="shared" si="2"/>
        <v>49886.15</v>
      </c>
      <c r="G59" s="119">
        <f t="shared" si="3"/>
        <v>10753819.601891862</v>
      </c>
      <c r="H59" s="119">
        <f t="shared" si="4"/>
        <v>71580.175000000003</v>
      </c>
      <c r="I59" s="119">
        <f t="shared" si="5"/>
        <v>1517651.6074999999</v>
      </c>
      <c r="J59" s="119">
        <f t="shared" si="6"/>
        <v>3326260.0255999998</v>
      </c>
      <c r="K59" s="119">
        <f t="shared" si="7"/>
        <v>1564096.3862608182</v>
      </c>
      <c r="L59" s="58">
        <f t="shared" si="8"/>
        <v>7296778.5622922098</v>
      </c>
      <c r="M59" s="147">
        <v>3.9256896551724138E-2</v>
      </c>
      <c r="N59" s="267">
        <v>242</v>
      </c>
      <c r="O59" s="268">
        <v>667</v>
      </c>
      <c r="P59" s="268">
        <v>28</v>
      </c>
      <c r="Q59" s="268">
        <v>0</v>
      </c>
      <c r="R59" s="269">
        <v>2</v>
      </c>
      <c r="S59" s="141">
        <v>191</v>
      </c>
      <c r="T59" s="119">
        <v>16</v>
      </c>
      <c r="U59" s="119">
        <v>194</v>
      </c>
      <c r="V59" s="119">
        <v>1548</v>
      </c>
      <c r="W59" s="145">
        <v>4830</v>
      </c>
      <c r="X59" s="141">
        <v>121440</v>
      </c>
      <c r="Y59" s="58">
        <v>318305</v>
      </c>
      <c r="Z59" s="88">
        <v>8150</v>
      </c>
      <c r="AA59" s="88">
        <f>VLOOKUP(B59,'Renseanlæg 2021'!L:M,2,FALSE)</f>
        <v>10753819.601891862</v>
      </c>
      <c r="AB59" s="145">
        <v>25</v>
      </c>
      <c r="AC59" s="141">
        <v>0</v>
      </c>
      <c r="AD59" s="119">
        <v>1015</v>
      </c>
      <c r="AE59" s="145">
        <v>0</v>
      </c>
      <c r="AF59" s="141">
        <v>0</v>
      </c>
      <c r="AG59" s="119">
        <v>1015</v>
      </c>
      <c r="AH59" s="58">
        <v>0</v>
      </c>
      <c r="AI59" s="88">
        <v>17912</v>
      </c>
      <c r="AJ59" s="58">
        <v>3956662</v>
      </c>
      <c r="AK59" s="99" t="s">
        <v>316</v>
      </c>
      <c r="AL59" s="88">
        <v>22769</v>
      </c>
      <c r="AM59" s="73"/>
      <c r="AN59" s="117">
        <v>10267848.70808081</v>
      </c>
      <c r="AO59" s="119">
        <v>82082633.052000001</v>
      </c>
      <c r="AP59" s="145">
        <v>1481538.9866666666</v>
      </c>
      <c r="AQ59" s="266"/>
    </row>
    <row r="60" spans="1:43" x14ac:dyDescent="0.25">
      <c r="A60" s="202" t="s">
        <v>131</v>
      </c>
      <c r="B60" s="202" t="s">
        <v>132</v>
      </c>
      <c r="C60" s="141">
        <f t="shared" si="9"/>
        <v>2247860.1243000003</v>
      </c>
      <c r="D60" s="119">
        <f t="shared" si="0"/>
        <v>3347066.0168000003</v>
      </c>
      <c r="E60" s="119">
        <f t="shared" si="1"/>
        <v>87271.925199999998</v>
      </c>
      <c r="F60" s="119">
        <f t="shared" si="2"/>
        <v>97268.811000000002</v>
      </c>
      <c r="G60" s="119">
        <f t="shared" si="3"/>
        <v>5794746.4365894897</v>
      </c>
      <c r="H60" s="119">
        <f t="shared" si="4"/>
        <v>8589.6209999999992</v>
      </c>
      <c r="I60" s="119">
        <f t="shared" si="5"/>
        <v>962886.8894000001</v>
      </c>
      <c r="J60" s="119">
        <f t="shared" si="6"/>
        <v>1033981.2763</v>
      </c>
      <c r="K60" s="119">
        <f t="shared" si="7"/>
        <v>1290367.0872245745</v>
      </c>
      <c r="L60" s="58">
        <f t="shared" si="8"/>
        <v>2072083.6018560519</v>
      </c>
      <c r="M60" s="147">
        <v>2.510416666666667E-2</v>
      </c>
      <c r="N60" s="267">
        <v>306</v>
      </c>
      <c r="O60" s="268">
        <v>319.60000000000002</v>
      </c>
      <c r="P60" s="268">
        <v>0</v>
      </c>
      <c r="Q60" s="268">
        <v>0</v>
      </c>
      <c r="R60" s="269">
        <v>1.3</v>
      </c>
      <c r="S60" s="141">
        <v>63</v>
      </c>
      <c r="T60" s="119">
        <v>32</v>
      </c>
      <c r="U60" s="119">
        <v>83</v>
      </c>
      <c r="V60" s="119">
        <v>2791</v>
      </c>
      <c r="W60" s="145">
        <v>0</v>
      </c>
      <c r="X60" s="141">
        <v>22967</v>
      </c>
      <c r="Y60" s="58">
        <v>20906</v>
      </c>
      <c r="Z60" s="88">
        <v>15891</v>
      </c>
      <c r="AA60" s="88">
        <f>VLOOKUP(B60,'Renseanlæg 2021'!L:M,2,FALSE)</f>
        <v>5794746.4365894897</v>
      </c>
      <c r="AB60" s="145">
        <v>3</v>
      </c>
      <c r="AC60" s="141">
        <v>807</v>
      </c>
      <c r="AD60" s="119">
        <v>0</v>
      </c>
      <c r="AE60" s="145">
        <v>0</v>
      </c>
      <c r="AF60" s="141">
        <v>599</v>
      </c>
      <c r="AG60" s="119">
        <v>34</v>
      </c>
      <c r="AH60" s="58">
        <v>0</v>
      </c>
      <c r="AI60" s="88">
        <v>10995</v>
      </c>
      <c r="AJ60" s="58">
        <v>1102391</v>
      </c>
      <c r="AK60" s="99" t="s">
        <v>316</v>
      </c>
      <c r="AL60" s="88">
        <v>11568</v>
      </c>
      <c r="AM60" s="73"/>
      <c r="AN60" s="117">
        <v>4707296.6791277658</v>
      </c>
      <c r="AO60" s="119">
        <v>43349764.696880005</v>
      </c>
      <c r="AP60" s="145">
        <v>2122595.7733333334</v>
      </c>
      <c r="AQ60" s="266"/>
    </row>
    <row r="61" spans="1:43" x14ac:dyDescent="0.25">
      <c r="A61" s="202" t="s">
        <v>133</v>
      </c>
      <c r="B61" s="202" t="s">
        <v>134</v>
      </c>
      <c r="C61" s="141">
        <f t="shared" si="9"/>
        <v>1980102.563322</v>
      </c>
      <c r="D61" s="119">
        <f t="shared" si="0"/>
        <v>5681488.5529000005</v>
      </c>
      <c r="E61" s="119">
        <f t="shared" si="1"/>
        <v>206090.921</v>
      </c>
      <c r="F61" s="119">
        <f t="shared" si="2"/>
        <v>4376.5150000000003</v>
      </c>
      <c r="G61" s="119">
        <f t="shared" si="3"/>
        <v>10441898.795867827</v>
      </c>
      <c r="H61" s="119">
        <f t="shared" si="4"/>
        <v>51537.725999999995</v>
      </c>
      <c r="I61" s="119">
        <f t="shared" si="5"/>
        <v>944286.36950000003</v>
      </c>
      <c r="J61" s="119">
        <f t="shared" si="6"/>
        <v>1074450.4736000001</v>
      </c>
      <c r="K61" s="119">
        <f t="shared" si="7"/>
        <v>1327567.0608566396</v>
      </c>
      <c r="L61" s="58">
        <f t="shared" si="8"/>
        <v>2520330.1368424436</v>
      </c>
      <c r="M61" s="147">
        <v>2.7887420628110518E-2</v>
      </c>
      <c r="N61" s="267">
        <v>340</v>
      </c>
      <c r="O61" s="268">
        <v>324.18</v>
      </c>
      <c r="P61" s="268">
        <v>0</v>
      </c>
      <c r="Q61" s="268">
        <v>0</v>
      </c>
      <c r="R61" s="269">
        <v>0</v>
      </c>
      <c r="S61" s="141">
        <v>154</v>
      </c>
      <c r="T61" s="119">
        <v>65</v>
      </c>
      <c r="U61" s="119">
        <v>174</v>
      </c>
      <c r="V61" s="119">
        <v>1500</v>
      </c>
      <c r="W61" s="145">
        <v>0</v>
      </c>
      <c r="X61" s="141">
        <v>70500</v>
      </c>
      <c r="Y61" s="58">
        <v>39830</v>
      </c>
      <c r="Z61" s="88">
        <v>715</v>
      </c>
      <c r="AA61" s="88">
        <f>VLOOKUP(B61,'Renseanlæg 2021'!L:M,2,FALSE)</f>
        <v>10441898.795867827</v>
      </c>
      <c r="AB61" s="145">
        <v>18</v>
      </c>
      <c r="AC61" s="141">
        <v>740</v>
      </c>
      <c r="AD61" s="119">
        <v>0</v>
      </c>
      <c r="AE61" s="145">
        <v>0</v>
      </c>
      <c r="AF61" s="141">
        <v>740</v>
      </c>
      <c r="AG61" s="119">
        <v>0</v>
      </c>
      <c r="AH61" s="58">
        <v>0</v>
      </c>
      <c r="AI61" s="88">
        <v>11817</v>
      </c>
      <c r="AJ61" s="58">
        <v>1344845</v>
      </c>
      <c r="AK61" s="99" t="s">
        <v>316</v>
      </c>
      <c r="AL61" s="88">
        <v>13000</v>
      </c>
      <c r="AM61" s="73"/>
      <c r="AN61" s="117">
        <v>9103396.00211454</v>
      </c>
      <c r="AO61" s="119">
        <v>41406396.333333343</v>
      </c>
      <c r="AP61" s="145">
        <v>992468.00000000012</v>
      </c>
      <c r="AQ61" s="266"/>
    </row>
    <row r="62" spans="1:43" x14ac:dyDescent="0.25">
      <c r="A62" s="202" t="s">
        <v>135</v>
      </c>
      <c r="B62" s="202" t="s">
        <v>136</v>
      </c>
      <c r="C62" s="141">
        <f t="shared" si="9"/>
        <v>4049785.1814870001</v>
      </c>
      <c r="D62" s="119">
        <f t="shared" si="0"/>
        <v>14143623.838200001</v>
      </c>
      <c r="E62" s="119">
        <f t="shared" si="1"/>
        <v>98233.760599999994</v>
      </c>
      <c r="F62" s="119">
        <f t="shared" si="2"/>
        <v>205065.74200000003</v>
      </c>
      <c r="G62" s="119">
        <f t="shared" si="3"/>
        <v>11008932.815890033</v>
      </c>
      <c r="H62" s="119">
        <f t="shared" si="4"/>
        <v>8589.6209999999992</v>
      </c>
      <c r="I62" s="119">
        <f t="shared" si="5"/>
        <v>1483863.0775610001</v>
      </c>
      <c r="J62" s="119">
        <f t="shared" si="6"/>
        <v>2123238.8349199998</v>
      </c>
      <c r="K62" s="119">
        <f t="shared" si="7"/>
        <v>1620131.9612481031</v>
      </c>
      <c r="L62" s="58">
        <f t="shared" si="8"/>
        <v>4901317.1353824362</v>
      </c>
      <c r="M62" s="147">
        <v>2.0972434004909755E-2</v>
      </c>
      <c r="N62" s="267">
        <v>701.83</v>
      </c>
      <c r="O62" s="268">
        <v>488.77</v>
      </c>
      <c r="P62" s="268">
        <v>0</v>
      </c>
      <c r="Q62" s="268">
        <v>0</v>
      </c>
      <c r="R62" s="269">
        <v>2.23</v>
      </c>
      <c r="S62" s="141">
        <v>439</v>
      </c>
      <c r="T62" s="119">
        <v>299</v>
      </c>
      <c r="U62" s="119">
        <v>336</v>
      </c>
      <c r="V62" s="119">
        <v>5561</v>
      </c>
      <c r="W62" s="145">
        <v>0</v>
      </c>
      <c r="X62" s="141">
        <v>14384</v>
      </c>
      <c r="Y62" s="58">
        <v>30258</v>
      </c>
      <c r="Z62" s="88">
        <v>33502</v>
      </c>
      <c r="AA62" s="88">
        <f>VLOOKUP(B62,'Renseanlæg 2021'!L:M,2,FALSE)</f>
        <v>11008932.815890033</v>
      </c>
      <c r="AB62" s="145">
        <v>3</v>
      </c>
      <c r="AC62" s="141">
        <v>925.13</v>
      </c>
      <c r="AD62" s="119">
        <v>0</v>
      </c>
      <c r="AE62" s="145">
        <v>294</v>
      </c>
      <c r="AF62" s="141">
        <v>482</v>
      </c>
      <c r="AG62" s="119">
        <v>443.4</v>
      </c>
      <c r="AH62" s="58">
        <v>0</v>
      </c>
      <c r="AI62" s="88">
        <v>19585</v>
      </c>
      <c r="AJ62" s="58">
        <v>2641780</v>
      </c>
      <c r="AK62" s="99" t="s">
        <v>316</v>
      </c>
      <c r="AL62" s="88">
        <v>19393</v>
      </c>
      <c r="AM62" s="73"/>
      <c r="AN62" s="117">
        <v>11027757.134013038</v>
      </c>
      <c r="AO62" s="119">
        <v>91012224.416666657</v>
      </c>
      <c r="AP62" s="145">
        <v>699173.33333333326</v>
      </c>
      <c r="AQ62" s="266"/>
    </row>
    <row r="63" spans="1:43" x14ac:dyDescent="0.25">
      <c r="A63" s="202" t="s">
        <v>137</v>
      </c>
      <c r="B63" s="202" t="s">
        <v>138</v>
      </c>
      <c r="C63" s="141">
        <f t="shared" si="9"/>
        <v>3008578.4233159996</v>
      </c>
      <c r="D63" s="119">
        <f t="shared" si="0"/>
        <v>1073376.4150999999</v>
      </c>
      <c r="E63" s="119">
        <f t="shared" si="1"/>
        <v>32622.294999999998</v>
      </c>
      <c r="F63" s="119">
        <f t="shared" si="2"/>
        <v>153392.26</v>
      </c>
      <c r="G63" s="119">
        <f t="shared" si="3"/>
        <v>0</v>
      </c>
      <c r="H63" s="119">
        <f t="shared" si="4"/>
        <v>0</v>
      </c>
      <c r="I63" s="119">
        <f t="shared" si="5"/>
        <v>0</v>
      </c>
      <c r="J63" s="119">
        <f t="shared" si="6"/>
        <v>0</v>
      </c>
      <c r="K63" s="119">
        <f t="shared" si="7"/>
        <v>1317186.1514799388</v>
      </c>
      <c r="L63" s="58">
        <f t="shared" si="8"/>
        <v>3998077.4183200854</v>
      </c>
      <c r="M63" s="147">
        <v>0.11029760419266284</v>
      </c>
      <c r="N63" s="267">
        <v>22.37</v>
      </c>
      <c r="O63" s="268">
        <v>332.09</v>
      </c>
      <c r="P63" s="268">
        <v>98.27</v>
      </c>
      <c r="Q63" s="268">
        <v>0</v>
      </c>
      <c r="R63" s="269">
        <v>0.72</v>
      </c>
      <c r="S63" s="141">
        <v>2</v>
      </c>
      <c r="T63" s="119">
        <v>6</v>
      </c>
      <c r="U63" s="119">
        <v>29</v>
      </c>
      <c r="V63" s="119">
        <v>1034</v>
      </c>
      <c r="W63" s="145">
        <v>0</v>
      </c>
      <c r="X63" s="141">
        <v>0</v>
      </c>
      <c r="Y63" s="58">
        <v>12850</v>
      </c>
      <c r="Z63" s="88">
        <v>25060</v>
      </c>
      <c r="AA63" s="88">
        <f>VLOOKUP(B63,'Renseanlæg 2021'!L:M,2,FALSE)</f>
        <v>0</v>
      </c>
      <c r="AB63" s="145">
        <v>0</v>
      </c>
      <c r="AC63" s="141">
        <v>0</v>
      </c>
      <c r="AD63" s="119">
        <v>0</v>
      </c>
      <c r="AE63" s="145">
        <v>0</v>
      </c>
      <c r="AF63" s="141">
        <v>0</v>
      </c>
      <c r="AG63" s="119">
        <v>0</v>
      </c>
      <c r="AH63" s="58">
        <v>0</v>
      </c>
      <c r="AI63" s="88">
        <v>11584</v>
      </c>
      <c r="AJ63" s="58">
        <v>2841715</v>
      </c>
      <c r="AK63" s="99" t="s">
        <v>315</v>
      </c>
      <c r="AL63" s="88">
        <v>35357</v>
      </c>
      <c r="AM63" s="73"/>
      <c r="AN63" s="117">
        <v>0</v>
      </c>
      <c r="AO63" s="119">
        <v>49317965.724826656</v>
      </c>
      <c r="AP63" s="145">
        <v>1579009.1066666665</v>
      </c>
      <c r="AQ63" s="266"/>
    </row>
    <row r="64" spans="1:43" x14ac:dyDescent="0.25">
      <c r="A64" s="202" t="s">
        <v>139</v>
      </c>
      <c r="B64" s="202" t="s">
        <v>140</v>
      </c>
      <c r="C64" s="141">
        <f t="shared" si="9"/>
        <v>4425508.1569050001</v>
      </c>
      <c r="D64" s="119">
        <f t="shared" si="0"/>
        <v>5547709.9927000003</v>
      </c>
      <c r="E64" s="119">
        <f t="shared" si="1"/>
        <v>610541.19350000005</v>
      </c>
      <c r="F64" s="119">
        <f t="shared" si="2"/>
        <v>85804.178</v>
      </c>
      <c r="G64" s="119">
        <f t="shared" si="3"/>
        <v>7560745.4550563265</v>
      </c>
      <c r="H64" s="119">
        <f t="shared" si="4"/>
        <v>0</v>
      </c>
      <c r="I64" s="119">
        <f t="shared" si="5"/>
        <v>2576517.8794999998</v>
      </c>
      <c r="J64" s="119">
        <f t="shared" si="6"/>
        <v>1175178.8341000001</v>
      </c>
      <c r="K64" s="119">
        <f t="shared" si="7"/>
        <v>1644566.005125799</v>
      </c>
      <c r="L64" s="58">
        <f t="shared" si="8"/>
        <v>4090123.8223403008</v>
      </c>
      <c r="M64" s="147">
        <v>2.4587751960795413E-2</v>
      </c>
      <c r="N64" s="267">
        <v>494.6</v>
      </c>
      <c r="O64" s="268">
        <v>671.93</v>
      </c>
      <c r="P64" s="268">
        <v>16.04</v>
      </c>
      <c r="Q64" s="268">
        <v>0</v>
      </c>
      <c r="R64" s="269">
        <v>2</v>
      </c>
      <c r="S64" s="141">
        <v>21</v>
      </c>
      <c r="T64" s="119">
        <v>256</v>
      </c>
      <c r="U64" s="119">
        <v>81</v>
      </c>
      <c r="V64" s="119">
        <v>1800</v>
      </c>
      <c r="W64" s="145">
        <v>900</v>
      </c>
      <c r="X64" s="141">
        <v>94453</v>
      </c>
      <c r="Y64" s="58">
        <v>185095</v>
      </c>
      <c r="Z64" s="88">
        <v>14018</v>
      </c>
      <c r="AA64" s="88">
        <f>VLOOKUP(B64,'Renseanlæg 2021'!L:M,2,FALSE)</f>
        <v>7560745.4550563265</v>
      </c>
      <c r="AB64" s="145">
        <v>0</v>
      </c>
      <c r="AC64" s="141">
        <v>0</v>
      </c>
      <c r="AD64" s="119">
        <v>2395</v>
      </c>
      <c r="AE64" s="145">
        <v>0</v>
      </c>
      <c r="AF64" s="141">
        <v>841</v>
      </c>
      <c r="AG64" s="119">
        <v>0</v>
      </c>
      <c r="AH64" s="58">
        <v>0</v>
      </c>
      <c r="AI64" s="88">
        <v>20343</v>
      </c>
      <c r="AJ64" s="58">
        <v>2198527</v>
      </c>
      <c r="AK64" s="99" t="s">
        <v>316</v>
      </c>
      <c r="AL64" s="88">
        <v>21725</v>
      </c>
      <c r="AM64" s="73"/>
      <c r="AN64" s="117">
        <v>14007336.131079059</v>
      </c>
      <c r="AO64" s="119">
        <v>101258853.10799998</v>
      </c>
      <c r="AP64" s="145">
        <v>1873160</v>
      </c>
      <c r="AQ64" s="266"/>
    </row>
    <row r="65" spans="1:43" x14ac:dyDescent="0.25">
      <c r="A65" s="202" t="s">
        <v>141</v>
      </c>
      <c r="B65" s="202" t="s">
        <v>142</v>
      </c>
      <c r="C65" s="141">
        <f t="shared" si="9"/>
        <v>4340231.5571399992</v>
      </c>
      <c r="D65" s="119">
        <f t="shared" si="0"/>
        <v>5919559.1935000001</v>
      </c>
      <c r="E65" s="119">
        <f t="shared" si="1"/>
        <v>439139.5453</v>
      </c>
      <c r="F65" s="119">
        <f t="shared" si="2"/>
        <v>58100.532000000007</v>
      </c>
      <c r="G65" s="119">
        <f t="shared" si="3"/>
        <v>7573227.0398622863</v>
      </c>
      <c r="H65" s="119">
        <f t="shared" si="4"/>
        <v>146023.557</v>
      </c>
      <c r="I65" s="119">
        <f t="shared" si="5"/>
        <v>1310917.427201</v>
      </c>
      <c r="J65" s="119">
        <f t="shared" si="6"/>
        <v>1223561.0587499999</v>
      </c>
      <c r="K65" s="119">
        <f t="shared" si="7"/>
        <v>1571812.0635484541</v>
      </c>
      <c r="L65" s="58">
        <f t="shared" si="8"/>
        <v>3006738.6527458262</v>
      </c>
      <c r="M65" s="147">
        <v>2.0176954207590709E-2</v>
      </c>
      <c r="N65" s="267">
        <v>374.52</v>
      </c>
      <c r="O65" s="268">
        <v>588.91999999999996</v>
      </c>
      <c r="P65" s="268">
        <v>22.16</v>
      </c>
      <c r="Q65" s="268">
        <v>0</v>
      </c>
      <c r="R65" s="269">
        <v>3.44</v>
      </c>
      <c r="S65" s="141">
        <v>385</v>
      </c>
      <c r="T65" s="119">
        <v>67</v>
      </c>
      <c r="U65" s="119">
        <v>142</v>
      </c>
      <c r="V65" s="119">
        <v>984</v>
      </c>
      <c r="W65" s="145">
        <v>2160</v>
      </c>
      <c r="X65" s="141">
        <v>56092</v>
      </c>
      <c r="Y65" s="58">
        <v>140079</v>
      </c>
      <c r="Z65" s="88">
        <v>9492</v>
      </c>
      <c r="AA65" s="88">
        <f>VLOOKUP(B65,'Renseanlæg 2021'!L:M,2,FALSE)</f>
        <v>7573227.0398622863</v>
      </c>
      <c r="AB65" s="145">
        <v>51</v>
      </c>
      <c r="AC65" s="141">
        <v>223.13</v>
      </c>
      <c r="AD65" s="119">
        <v>444.1</v>
      </c>
      <c r="AE65" s="145">
        <v>102</v>
      </c>
      <c r="AF65" s="141">
        <v>737.8</v>
      </c>
      <c r="AG65" s="119">
        <v>0</v>
      </c>
      <c r="AH65" s="58">
        <v>77.5</v>
      </c>
      <c r="AI65" s="88">
        <v>18137</v>
      </c>
      <c r="AJ65" s="58">
        <v>1608680</v>
      </c>
      <c r="AK65" s="99" t="s">
        <v>316</v>
      </c>
      <c r="AL65" s="88">
        <v>17400</v>
      </c>
      <c r="AM65" s="73"/>
      <c r="AN65" s="117">
        <v>6219959.3936942648</v>
      </c>
      <c r="AO65" s="119">
        <v>100333066.66666666</v>
      </c>
      <c r="AP65" s="145">
        <v>2065653.3333333333</v>
      </c>
      <c r="AQ65" s="266"/>
    </row>
    <row r="66" spans="1:43" x14ac:dyDescent="0.25">
      <c r="A66" s="202" t="s">
        <v>143</v>
      </c>
      <c r="B66" s="202" t="s">
        <v>144</v>
      </c>
      <c r="C66" s="141">
        <f t="shared" si="9"/>
        <v>2574883.4116400001</v>
      </c>
      <c r="D66" s="119">
        <f t="shared" si="0"/>
        <v>5917808.4265000001</v>
      </c>
      <c r="E66" s="119">
        <f t="shared" si="1"/>
        <v>104770.85309999999</v>
      </c>
      <c r="F66" s="119">
        <f t="shared" si="2"/>
        <v>38849.987000000001</v>
      </c>
      <c r="G66" s="119">
        <f t="shared" si="3"/>
        <v>9201006.9766087197</v>
      </c>
      <c r="H66" s="119">
        <f t="shared" si="4"/>
        <v>0</v>
      </c>
      <c r="I66" s="119">
        <f t="shared" si="5"/>
        <v>913192.96310000005</v>
      </c>
      <c r="J66" s="119">
        <f t="shared" si="6"/>
        <v>2186299.358</v>
      </c>
      <c r="K66" s="119">
        <f t="shared" si="7"/>
        <v>1157773.0239917766</v>
      </c>
      <c r="L66" s="58">
        <f t="shared" si="8"/>
        <v>1601051.3054485517</v>
      </c>
      <c r="M66" s="147">
        <v>1.6876807403123192E-2</v>
      </c>
      <c r="N66" s="267">
        <v>371</v>
      </c>
      <c r="O66" s="268">
        <v>337</v>
      </c>
      <c r="P66" s="268">
        <v>0</v>
      </c>
      <c r="Q66" s="268">
        <v>0</v>
      </c>
      <c r="R66" s="269">
        <v>1.7</v>
      </c>
      <c r="S66" s="141">
        <v>598</v>
      </c>
      <c r="T66" s="119">
        <v>72</v>
      </c>
      <c r="U66" s="119">
        <v>124</v>
      </c>
      <c r="V66" s="119">
        <v>1669</v>
      </c>
      <c r="W66" s="145">
        <v>0</v>
      </c>
      <c r="X66" s="141">
        <v>20573</v>
      </c>
      <c r="Y66" s="58">
        <v>29203</v>
      </c>
      <c r="Z66" s="88">
        <v>6347</v>
      </c>
      <c r="AA66" s="88">
        <f>VLOOKUP(B66,'Renseanlæg 2021'!L:M,2,FALSE)</f>
        <v>9201006.9766087197</v>
      </c>
      <c r="AB66" s="145">
        <v>0</v>
      </c>
      <c r="AC66" s="141">
        <v>628</v>
      </c>
      <c r="AD66" s="119">
        <v>0</v>
      </c>
      <c r="AE66" s="145">
        <v>0</v>
      </c>
      <c r="AF66" s="141">
        <v>0</v>
      </c>
      <c r="AG66" s="119">
        <v>628</v>
      </c>
      <c r="AH66" s="58">
        <v>0</v>
      </c>
      <c r="AI66" s="88">
        <v>8351</v>
      </c>
      <c r="AJ66" s="58">
        <v>848476</v>
      </c>
      <c r="AK66" s="99" t="s">
        <v>316</v>
      </c>
      <c r="AL66" s="88">
        <v>8754</v>
      </c>
      <c r="AM66" s="73"/>
      <c r="AN66" s="117">
        <v>12400462.29068399</v>
      </c>
      <c r="AO66" s="119">
        <v>56952938.100000001</v>
      </c>
      <c r="AP66" s="145">
        <v>1237586.6666666665</v>
      </c>
      <c r="AQ66" s="266"/>
    </row>
    <row r="67" spans="1:43" x14ac:dyDescent="0.25">
      <c r="A67" s="202" t="s">
        <v>145</v>
      </c>
      <c r="B67" s="202" t="s">
        <v>146</v>
      </c>
      <c r="C67" s="141">
        <f t="shared" si="9"/>
        <v>35473.029214000002</v>
      </c>
      <c r="D67" s="119">
        <f t="shared" si="0"/>
        <v>0</v>
      </c>
      <c r="E67" s="119">
        <f t="shared" si="1"/>
        <v>0</v>
      </c>
      <c r="F67" s="119">
        <f t="shared" si="2"/>
        <v>0</v>
      </c>
      <c r="G67" s="119">
        <f t="shared" si="3"/>
        <v>12604848.99862038</v>
      </c>
      <c r="H67" s="119">
        <f t="shared" si="4"/>
        <v>0</v>
      </c>
      <c r="I67" s="119">
        <f t="shared" si="5"/>
        <v>3530264.8186999997</v>
      </c>
      <c r="J67" s="119">
        <f t="shared" si="6"/>
        <v>3860435.4920999999</v>
      </c>
      <c r="K67" s="119">
        <f t="shared" si="7"/>
        <v>56886.100554427154</v>
      </c>
      <c r="L67" s="58">
        <f t="shared" si="8"/>
        <v>3607592.9137851982</v>
      </c>
      <c r="M67" s="147">
        <v>5.6179775280898881E-4</v>
      </c>
      <c r="N67" s="267">
        <v>4.51</v>
      </c>
      <c r="O67" s="268">
        <v>5.83</v>
      </c>
      <c r="P67" s="268">
        <v>0.23</v>
      </c>
      <c r="Q67" s="268">
        <v>0</v>
      </c>
      <c r="R67" s="269">
        <v>0</v>
      </c>
      <c r="S67" s="141">
        <v>0</v>
      </c>
      <c r="T67" s="119">
        <v>0</v>
      </c>
      <c r="U67" s="119">
        <v>0</v>
      </c>
      <c r="V67" s="119">
        <v>0</v>
      </c>
      <c r="W67" s="145">
        <v>0</v>
      </c>
      <c r="X67" s="141">
        <v>0</v>
      </c>
      <c r="Y67" s="58">
        <v>0</v>
      </c>
      <c r="Z67" s="88">
        <v>0</v>
      </c>
      <c r="AA67" s="88">
        <f>VLOOKUP(B67,'Renseanlæg 2021'!L:M,2,FALSE)</f>
        <v>12604848.99862038</v>
      </c>
      <c r="AB67" s="145">
        <v>0</v>
      </c>
      <c r="AC67" s="141">
        <v>0</v>
      </c>
      <c r="AD67" s="119">
        <v>3638</v>
      </c>
      <c r="AE67" s="145">
        <v>0</v>
      </c>
      <c r="AF67" s="141">
        <v>49</v>
      </c>
      <c r="AG67" s="119">
        <v>0</v>
      </c>
      <c r="AH67" s="58">
        <v>1780</v>
      </c>
      <c r="AI67" s="88">
        <v>4</v>
      </c>
      <c r="AJ67" s="58">
        <v>5277236</v>
      </c>
      <c r="AK67" s="99" t="s">
        <v>317</v>
      </c>
      <c r="AL67" s="88">
        <v>4</v>
      </c>
      <c r="AM67" s="73"/>
      <c r="AN67" s="117">
        <v>19285372.840308189</v>
      </c>
      <c r="AO67" s="119">
        <v>5082341.6525000008</v>
      </c>
      <c r="AP67" s="145">
        <v>1608733.7733333334</v>
      </c>
      <c r="AQ67" s="266"/>
    </row>
    <row r="68" spans="1:43" x14ac:dyDescent="0.25">
      <c r="A68" s="202" t="s">
        <v>147</v>
      </c>
      <c r="B68" s="202" t="s">
        <v>148</v>
      </c>
      <c r="C68" s="141">
        <f t="shared" si="9"/>
        <v>3252.666311</v>
      </c>
      <c r="D68" s="119">
        <f t="shared" si="0"/>
        <v>289155.79610000004</v>
      </c>
      <c r="E68" s="119">
        <f>1.489*X68+2.5387*Y68</f>
        <v>0</v>
      </c>
      <c r="F68" s="119">
        <f t="shared" si="2"/>
        <v>24484</v>
      </c>
      <c r="G68" s="119">
        <f t="shared" si="3"/>
        <v>5692149.90489545</v>
      </c>
      <c r="H68" s="119">
        <f t="shared" si="4"/>
        <v>0</v>
      </c>
      <c r="I68" s="119">
        <f t="shared" si="5"/>
        <v>1580569.7483000001</v>
      </c>
      <c r="J68" s="119">
        <f t="shared" si="6"/>
        <v>3880882.2206000001</v>
      </c>
      <c r="K68" s="119">
        <f t="shared" si="7"/>
        <v>56886.100554427154</v>
      </c>
      <c r="L68" s="58">
        <f t="shared" si="8"/>
        <v>1971703.5675106</v>
      </c>
      <c r="M68" s="147">
        <v>4.3478260869565227E-3</v>
      </c>
      <c r="N68" s="267">
        <v>0.09</v>
      </c>
      <c r="O68" s="268">
        <v>0.83</v>
      </c>
      <c r="P68" s="268">
        <v>0</v>
      </c>
      <c r="Q68" s="268">
        <v>0</v>
      </c>
      <c r="R68" s="269">
        <v>0</v>
      </c>
      <c r="S68" s="141">
        <v>0</v>
      </c>
      <c r="T68" s="119">
        <v>0</v>
      </c>
      <c r="U68" s="119">
        <v>7</v>
      </c>
      <c r="V68" s="119">
        <v>400</v>
      </c>
      <c r="W68" s="145">
        <v>0</v>
      </c>
      <c r="X68" s="141">
        <v>0</v>
      </c>
      <c r="Y68" s="58">
        <v>0</v>
      </c>
      <c r="Z68" s="88">
        <v>4000</v>
      </c>
      <c r="AA68" s="88">
        <f>VLOOKUP(B68,'Renseanlæg 2021'!L:M,2,FALSE)</f>
        <v>5692149.90489545</v>
      </c>
      <c r="AB68" s="145">
        <v>0</v>
      </c>
      <c r="AC68" s="141">
        <v>0</v>
      </c>
      <c r="AD68" s="119">
        <v>1097</v>
      </c>
      <c r="AE68" s="145">
        <v>0</v>
      </c>
      <c r="AF68" s="141">
        <v>3554</v>
      </c>
      <c r="AG68" s="119">
        <v>0</v>
      </c>
      <c r="AH68" s="58">
        <v>0</v>
      </c>
      <c r="AI68" s="88">
        <v>4</v>
      </c>
      <c r="AJ68" s="58">
        <v>2121321</v>
      </c>
      <c r="AK68" s="99" t="s">
        <v>317</v>
      </c>
      <c r="AL68" s="88">
        <v>4</v>
      </c>
      <c r="AM68" s="73"/>
      <c r="AN68" s="117">
        <v>6449719.4342603236</v>
      </c>
      <c r="AO68" s="119">
        <v>1002550.5133333333</v>
      </c>
      <c r="AP68" s="145">
        <v>541813.83631245513</v>
      </c>
      <c r="AQ68" s="266"/>
    </row>
    <row r="69" spans="1:43" x14ac:dyDescent="0.25">
      <c r="A69" s="202" t="s">
        <v>149</v>
      </c>
      <c r="B69" s="202" t="s">
        <v>150</v>
      </c>
      <c r="C69" s="141">
        <f t="shared" si="9"/>
        <v>3010482.9235990001</v>
      </c>
      <c r="D69" s="119">
        <f t="shared" ref="D69:D105" si="10">2855.5628*S69+11103.2371*T69+23253.3823*U69+315.9553*V69+214.5233*W69</f>
        <v>6103835.9671000009</v>
      </c>
      <c r="E69" s="119">
        <f t="shared" ref="E69:E105" si="11">1.489*X69+2.5387*Y69</f>
        <v>160967.3554</v>
      </c>
      <c r="F69" s="119">
        <f t="shared" ref="F69:F105" si="12">6.121*Z69</f>
        <v>67955.342000000004</v>
      </c>
      <c r="G69" s="119">
        <f t="shared" ref="G69:G105" si="13">AA69</f>
        <v>9427208.0862832833</v>
      </c>
      <c r="H69" s="119">
        <f t="shared" ref="H69:H105" si="14">2863.207*AB69</f>
        <v>71580.175000000003</v>
      </c>
      <c r="I69" s="119">
        <f t="shared" ref="I69:I105" si="15">IF(SUM(AC69:AE69)&gt;0,738847.7915+277.6197*AC69+767.2944*AD69+1660.4795*AE69,0)</f>
        <v>1790041.1195</v>
      </c>
      <c r="J69" s="119">
        <f t="shared" ref="J69:J105" si="16">IF(SUM(AF69:AH69)&gt;0,336440.7036+997.3105*AF69+2945.6348*AG69+1952.3183*AH69,0)</f>
        <v>1611304.5534999999</v>
      </c>
      <c r="K69" s="119">
        <f t="shared" ref="K69:K105" si="17">1.3366*24641.8131*(AI69^0.3942)</f>
        <v>1411888.6161895301</v>
      </c>
      <c r="L69" s="58">
        <f t="shared" ref="L69:L105" si="18">IF(AK69="t+r",1.4147*1.6347*(AJ69^0.9851),IF(AK69="t",1.1533*0.5024*(AJ69^1.0597),IF(AK69="r",1.3329*94.6535*(AJ69^0.6629),"FEJL")))</f>
        <v>3448689.5439778664</v>
      </c>
      <c r="M69" s="147">
        <v>2.5208283302237084E-2</v>
      </c>
      <c r="N69" s="267">
        <v>339.47</v>
      </c>
      <c r="O69" s="268">
        <v>313.93</v>
      </c>
      <c r="P69" s="268">
        <v>31.86</v>
      </c>
      <c r="Q69" s="268">
        <v>0</v>
      </c>
      <c r="R69" s="269">
        <v>2.04</v>
      </c>
      <c r="S69" s="141">
        <v>725</v>
      </c>
      <c r="T69" s="119">
        <v>33</v>
      </c>
      <c r="U69" s="119">
        <v>80</v>
      </c>
      <c r="V69" s="119">
        <v>2806</v>
      </c>
      <c r="W69" s="145">
        <v>4290</v>
      </c>
      <c r="X69" s="141">
        <v>19272</v>
      </c>
      <c r="Y69" s="58">
        <v>52102</v>
      </c>
      <c r="Z69" s="88">
        <v>11102</v>
      </c>
      <c r="AA69" s="88">
        <f>VLOOKUP(B69,'Renseanlæg 2021'!L:M,2,FALSE)</f>
        <v>9427208.0862832833</v>
      </c>
      <c r="AB69" s="145">
        <v>25</v>
      </c>
      <c r="AC69" s="141">
        <v>0</v>
      </c>
      <c r="AD69" s="119">
        <v>1370</v>
      </c>
      <c r="AE69" s="145">
        <v>0</v>
      </c>
      <c r="AF69" s="141">
        <v>0</v>
      </c>
      <c r="AG69" s="119">
        <v>0</v>
      </c>
      <c r="AH69" s="58">
        <v>653</v>
      </c>
      <c r="AI69" s="88">
        <v>13815</v>
      </c>
      <c r="AJ69" s="58">
        <v>1848966</v>
      </c>
      <c r="AK69" s="99" t="s">
        <v>316</v>
      </c>
      <c r="AL69" s="88">
        <v>13646</v>
      </c>
      <c r="AM69" s="73"/>
      <c r="AN69" s="117">
        <v>7440753.487423907</v>
      </c>
      <c r="AO69" s="119">
        <v>53385424.850666665</v>
      </c>
      <c r="AP69" s="145">
        <v>0</v>
      </c>
      <c r="AQ69" s="266"/>
    </row>
    <row r="70" spans="1:43" x14ac:dyDescent="0.25">
      <c r="A70" s="202" t="s">
        <v>151</v>
      </c>
      <c r="B70" s="202" t="s">
        <v>152</v>
      </c>
      <c r="C70" s="141">
        <f t="shared" ref="C70:C105" si="19">2327.9856*N70+3666.4429*O70+15645.4437*P70+15645.4437*Q70+279770.2922*R70</f>
        <v>7638266.3678000011</v>
      </c>
      <c r="D70" s="119">
        <f t="shared" si="10"/>
        <v>14387553.2246</v>
      </c>
      <c r="E70" s="119">
        <f t="shared" si="11"/>
        <v>781553.30780000007</v>
      </c>
      <c r="F70" s="119">
        <f t="shared" si="12"/>
        <v>527832.19300000009</v>
      </c>
      <c r="G70" s="119">
        <f t="shared" si="13"/>
        <v>11608068.786383122</v>
      </c>
      <c r="H70" s="119">
        <f t="shared" si="14"/>
        <v>11452.828</v>
      </c>
      <c r="I70" s="119">
        <f t="shared" si="15"/>
        <v>2307497.9545</v>
      </c>
      <c r="J70" s="119">
        <f t="shared" si="16"/>
        <v>1500302.0570999999</v>
      </c>
      <c r="K70" s="119">
        <f t="shared" si="17"/>
        <v>1813689.2238545076</v>
      </c>
      <c r="L70" s="58">
        <f t="shared" si="18"/>
        <v>5868054.05526271</v>
      </c>
      <c r="M70" s="147">
        <v>6.2509953409572216E-2</v>
      </c>
      <c r="N70" s="267">
        <v>487</v>
      </c>
      <c r="O70" s="268">
        <v>885</v>
      </c>
      <c r="P70" s="268">
        <v>110</v>
      </c>
      <c r="Q70" s="268">
        <v>0</v>
      </c>
      <c r="R70" s="269">
        <v>5.5</v>
      </c>
      <c r="S70" s="141">
        <v>110</v>
      </c>
      <c r="T70" s="119">
        <v>580</v>
      </c>
      <c r="U70" s="119">
        <v>168</v>
      </c>
      <c r="V70" s="119">
        <v>7824</v>
      </c>
      <c r="W70" s="145">
        <v>5850</v>
      </c>
      <c r="X70" s="141">
        <v>35364</v>
      </c>
      <c r="Y70" s="58">
        <v>287114</v>
      </c>
      <c r="Z70" s="88">
        <v>86233</v>
      </c>
      <c r="AA70" s="88">
        <f>VLOOKUP(B70,'Renseanlæg 2021'!L:M,2,FALSE)</f>
        <v>11608068.786383122</v>
      </c>
      <c r="AB70" s="145">
        <v>4</v>
      </c>
      <c r="AC70" s="141">
        <v>0</v>
      </c>
      <c r="AD70" s="119">
        <v>1815</v>
      </c>
      <c r="AE70" s="145">
        <v>106</v>
      </c>
      <c r="AF70" s="141">
        <v>1167</v>
      </c>
      <c r="AG70" s="119">
        <v>0</v>
      </c>
      <c r="AH70" s="58">
        <v>0</v>
      </c>
      <c r="AI70" s="88">
        <v>26077</v>
      </c>
      <c r="AJ70" s="58">
        <v>3171469</v>
      </c>
      <c r="AK70" s="99" t="s">
        <v>316</v>
      </c>
      <c r="AL70" s="88">
        <v>73793</v>
      </c>
      <c r="AM70" s="73"/>
      <c r="AN70" s="117">
        <v>23037222.645914696</v>
      </c>
      <c r="AO70" s="119">
        <v>150438499.03113323</v>
      </c>
      <c r="AP70" s="145">
        <v>2895315.7066666665</v>
      </c>
      <c r="AQ70" s="266"/>
    </row>
    <row r="71" spans="1:43" x14ac:dyDescent="0.25">
      <c r="A71" s="202" t="s">
        <v>153</v>
      </c>
      <c r="B71" s="202" t="s">
        <v>154</v>
      </c>
      <c r="C71" s="141">
        <f t="shared" si="19"/>
        <v>1936153.5031950001</v>
      </c>
      <c r="D71" s="119">
        <f t="shared" si="10"/>
        <v>1727705.7577</v>
      </c>
      <c r="E71" s="119">
        <f t="shared" si="11"/>
        <v>235320.57260000001</v>
      </c>
      <c r="F71" s="119">
        <f t="shared" si="12"/>
        <v>12927.552000000001</v>
      </c>
      <c r="G71" s="119">
        <f t="shared" si="13"/>
        <v>3680286.7384799505</v>
      </c>
      <c r="H71" s="119">
        <f t="shared" si="14"/>
        <v>62990.553999999996</v>
      </c>
      <c r="I71" s="119">
        <f t="shared" si="15"/>
        <v>926796.3284</v>
      </c>
      <c r="J71" s="119">
        <f t="shared" si="16"/>
        <v>811160.50160000008</v>
      </c>
      <c r="K71" s="119">
        <f t="shared" si="17"/>
        <v>1222211.2284133253</v>
      </c>
      <c r="L71" s="58">
        <f t="shared" si="18"/>
        <v>1865785.7421265002</v>
      </c>
      <c r="M71" s="147">
        <v>3.3290485192186518E-2</v>
      </c>
      <c r="N71" s="267">
        <v>307.58</v>
      </c>
      <c r="O71" s="268">
        <v>259.44</v>
      </c>
      <c r="P71" s="268">
        <v>16.649999999999999</v>
      </c>
      <c r="Q71" s="268">
        <v>0</v>
      </c>
      <c r="R71" s="269">
        <v>0.03</v>
      </c>
      <c r="S71" s="141">
        <v>81</v>
      </c>
      <c r="T71" s="119">
        <v>9</v>
      </c>
      <c r="U71" s="119">
        <v>50</v>
      </c>
      <c r="V71" s="119">
        <v>740</v>
      </c>
      <c r="W71" s="145">
        <v>0</v>
      </c>
      <c r="X71" s="141">
        <v>78881</v>
      </c>
      <c r="Y71" s="58">
        <v>46428</v>
      </c>
      <c r="Z71" s="88">
        <v>2112</v>
      </c>
      <c r="AA71" s="88">
        <f>VLOOKUP(B71,'Renseanlæg 2021'!L:M,2,FALSE)</f>
        <v>3680286.7384799505</v>
      </c>
      <c r="AB71" s="145">
        <v>22</v>
      </c>
      <c r="AC71" s="141">
        <v>677</v>
      </c>
      <c r="AD71" s="119">
        <v>0</v>
      </c>
      <c r="AE71" s="145">
        <v>0</v>
      </c>
      <c r="AF71" s="141">
        <v>476</v>
      </c>
      <c r="AG71" s="119">
        <v>0</v>
      </c>
      <c r="AH71" s="58">
        <v>0</v>
      </c>
      <c r="AI71" s="88">
        <v>9581</v>
      </c>
      <c r="AJ71" s="58">
        <v>991063</v>
      </c>
      <c r="AK71" s="99" t="s">
        <v>316</v>
      </c>
      <c r="AL71" s="88">
        <v>13208</v>
      </c>
      <c r="AM71" s="73"/>
      <c r="AN71" s="117">
        <v>3887143.875827665</v>
      </c>
      <c r="AO71" s="119">
        <v>30123954.614142682</v>
      </c>
      <c r="AP71" s="145">
        <v>513800</v>
      </c>
      <c r="AQ71" s="266"/>
    </row>
    <row r="72" spans="1:43" x14ac:dyDescent="0.25">
      <c r="A72" s="202" t="s">
        <v>155</v>
      </c>
      <c r="B72" s="202" t="s">
        <v>156</v>
      </c>
      <c r="C72" s="141">
        <f t="shared" si="19"/>
        <v>3830588.4862199998</v>
      </c>
      <c r="D72" s="119">
        <f t="shared" si="10"/>
        <v>3402841.8922999999</v>
      </c>
      <c r="E72" s="119">
        <f t="shared" si="11"/>
        <v>233606.6</v>
      </c>
      <c r="F72" s="119">
        <f t="shared" si="12"/>
        <v>18363</v>
      </c>
      <c r="G72" s="119">
        <f t="shared" si="13"/>
        <v>6213106.9140753169</v>
      </c>
      <c r="H72" s="119">
        <f t="shared" si="14"/>
        <v>0</v>
      </c>
      <c r="I72" s="119">
        <f t="shared" si="15"/>
        <v>1778170.7995</v>
      </c>
      <c r="J72" s="119">
        <f t="shared" si="16"/>
        <v>822130.91709999996</v>
      </c>
      <c r="K72" s="119">
        <f t="shared" si="17"/>
        <v>855924.97737088031</v>
      </c>
      <c r="L72" s="58">
        <f t="shared" si="18"/>
        <v>2275611.5946154441</v>
      </c>
      <c r="M72" s="147">
        <v>2.0118724073809182E-2</v>
      </c>
      <c r="N72" s="267">
        <v>507</v>
      </c>
      <c r="O72" s="268">
        <v>410</v>
      </c>
      <c r="P72" s="268">
        <v>0</v>
      </c>
      <c r="Q72" s="268">
        <v>0</v>
      </c>
      <c r="R72" s="269">
        <v>4.0999999999999996</v>
      </c>
      <c r="S72" s="141">
        <v>290</v>
      </c>
      <c r="T72" s="119">
        <v>150</v>
      </c>
      <c r="U72" s="119">
        <v>28</v>
      </c>
      <c r="V72" s="119">
        <v>318</v>
      </c>
      <c r="W72" s="145">
        <v>735</v>
      </c>
      <c r="X72" s="141">
        <v>58000</v>
      </c>
      <c r="Y72" s="58">
        <v>58000</v>
      </c>
      <c r="Z72" s="88">
        <v>3000</v>
      </c>
      <c r="AA72" s="88">
        <f>VLOOKUP(B72,'Renseanlæg 2021'!L:M,2,FALSE)</f>
        <v>6213106.9140753169</v>
      </c>
      <c r="AB72" s="145">
        <v>0</v>
      </c>
      <c r="AC72" s="141">
        <v>827</v>
      </c>
      <c r="AD72" s="119">
        <v>339</v>
      </c>
      <c r="AE72" s="145">
        <v>331</v>
      </c>
      <c r="AF72" s="141">
        <v>487</v>
      </c>
      <c r="AG72" s="119">
        <v>0</v>
      </c>
      <c r="AH72" s="58">
        <v>0</v>
      </c>
      <c r="AI72" s="88">
        <v>3881</v>
      </c>
      <c r="AJ72" s="58">
        <v>1212389</v>
      </c>
      <c r="AK72" s="99" t="s">
        <v>316</v>
      </c>
      <c r="AL72" s="88">
        <v>14065</v>
      </c>
      <c r="AM72" s="73"/>
      <c r="AN72" s="117">
        <v>5421991.901980781</v>
      </c>
      <c r="AO72" s="119">
        <v>59532901.952759393</v>
      </c>
      <c r="AP72" s="145">
        <v>925240</v>
      </c>
      <c r="AQ72" s="266"/>
    </row>
    <row r="73" spans="1:43" x14ac:dyDescent="0.25">
      <c r="A73" s="202" t="s">
        <v>157</v>
      </c>
      <c r="B73" s="202" t="s">
        <v>158</v>
      </c>
      <c r="C73" s="141">
        <f t="shared" si="19"/>
        <v>7695761.4252660004</v>
      </c>
      <c r="D73" s="119">
        <f t="shared" si="10"/>
        <v>8478113.6260000002</v>
      </c>
      <c r="E73" s="119">
        <f t="shared" si="11"/>
        <v>1153413.4358999999</v>
      </c>
      <c r="F73" s="119">
        <f t="shared" si="12"/>
        <v>137844.92000000001</v>
      </c>
      <c r="G73" s="119">
        <f t="shared" si="13"/>
        <v>15467496.765777569</v>
      </c>
      <c r="H73" s="119">
        <f t="shared" si="14"/>
        <v>0</v>
      </c>
      <c r="I73" s="119">
        <f t="shared" si="15"/>
        <v>4005679.0047199996</v>
      </c>
      <c r="J73" s="119">
        <f t="shared" si="16"/>
        <v>5602816.2507399991</v>
      </c>
      <c r="K73" s="119">
        <f t="shared" si="17"/>
        <v>1978890.4677303713</v>
      </c>
      <c r="L73" s="58">
        <f t="shared" si="18"/>
        <v>8373292.8187931953</v>
      </c>
      <c r="M73" s="147">
        <v>3.8187180658829409E-2</v>
      </c>
      <c r="N73" s="267">
        <v>708.67</v>
      </c>
      <c r="O73" s="268">
        <v>1125.05</v>
      </c>
      <c r="P73" s="268">
        <v>95.07</v>
      </c>
      <c r="Q73" s="268">
        <v>0</v>
      </c>
      <c r="R73" s="269">
        <v>1.55</v>
      </c>
      <c r="S73" s="141">
        <v>225</v>
      </c>
      <c r="T73" s="119">
        <v>12</v>
      </c>
      <c r="U73" s="119">
        <v>121</v>
      </c>
      <c r="V73" s="119">
        <v>7664</v>
      </c>
      <c r="W73" s="145">
        <v>11501</v>
      </c>
      <c r="X73" s="141">
        <v>448723</v>
      </c>
      <c r="Y73" s="58">
        <v>191147</v>
      </c>
      <c r="Z73" s="88">
        <v>22520</v>
      </c>
      <c r="AA73" s="88">
        <f>VLOOKUP(B73,'Renseanlæg 2021'!L:M,2,FALSE)</f>
        <v>15467496.765777569</v>
      </c>
      <c r="AB73" s="145">
        <v>0</v>
      </c>
      <c r="AC73" s="141">
        <v>225.8</v>
      </c>
      <c r="AD73" s="119">
        <v>4175.8999999999996</v>
      </c>
      <c r="AE73" s="145">
        <v>0</v>
      </c>
      <c r="AF73" s="141">
        <v>179.6</v>
      </c>
      <c r="AG73" s="119">
        <v>1727.05</v>
      </c>
      <c r="AH73" s="58">
        <v>0</v>
      </c>
      <c r="AI73" s="88">
        <v>32531</v>
      </c>
      <c r="AJ73" s="58">
        <v>4549860</v>
      </c>
      <c r="AK73" s="99" t="s">
        <v>316</v>
      </c>
      <c r="AL73" s="88">
        <v>45964</v>
      </c>
      <c r="AM73" s="73"/>
      <c r="AN73" s="117">
        <v>22059197.761434071</v>
      </c>
      <c r="AO73" s="119">
        <v>172181065.39211917</v>
      </c>
      <c r="AP73" s="145">
        <v>3508572.4540181742</v>
      </c>
      <c r="AQ73" s="266"/>
    </row>
    <row r="74" spans="1:43" x14ac:dyDescent="0.25">
      <c r="A74" s="202" t="s">
        <v>159</v>
      </c>
      <c r="B74" s="202" t="s">
        <v>160</v>
      </c>
      <c r="C74" s="141">
        <f t="shared" si="19"/>
        <v>2804467.8891440001</v>
      </c>
      <c r="D74" s="119">
        <f t="shared" si="10"/>
        <v>2290929.0829000003</v>
      </c>
      <c r="E74" s="119">
        <f t="shared" si="11"/>
        <v>411519.23239999998</v>
      </c>
      <c r="F74" s="119">
        <f t="shared" si="12"/>
        <v>5343.6330000000007</v>
      </c>
      <c r="G74" s="119">
        <f t="shared" si="13"/>
        <v>2210466.6871675509</v>
      </c>
      <c r="H74" s="119">
        <f t="shared" si="14"/>
        <v>0</v>
      </c>
      <c r="I74" s="119">
        <f t="shared" si="15"/>
        <v>784099.80260000005</v>
      </c>
      <c r="J74" s="119">
        <f t="shared" si="16"/>
        <v>662477.85969999991</v>
      </c>
      <c r="K74" s="119">
        <f t="shared" si="17"/>
        <v>1265146.3560741472</v>
      </c>
      <c r="L74" s="58">
        <f t="shared" si="18"/>
        <v>2226183.3948657927</v>
      </c>
      <c r="M74" s="147">
        <v>2.4907652699526137E-2</v>
      </c>
      <c r="N74" s="267">
        <v>271</v>
      </c>
      <c r="O74" s="268">
        <v>515</v>
      </c>
      <c r="P74" s="268">
        <v>0</v>
      </c>
      <c r="Q74" s="268">
        <v>0</v>
      </c>
      <c r="R74" s="269">
        <v>1.02</v>
      </c>
      <c r="S74" s="141">
        <v>4</v>
      </c>
      <c r="T74" s="119">
        <v>32</v>
      </c>
      <c r="U74" s="119">
        <v>75</v>
      </c>
      <c r="V74" s="119">
        <v>0</v>
      </c>
      <c r="W74" s="145">
        <v>840</v>
      </c>
      <c r="X74" s="141">
        <v>108788</v>
      </c>
      <c r="Y74" s="58">
        <v>98292</v>
      </c>
      <c r="Z74" s="88">
        <v>873</v>
      </c>
      <c r="AA74" s="88">
        <f>VLOOKUP(B74,'Renseanlæg 2021'!L:M,2,FALSE)</f>
        <v>2210466.6871675509</v>
      </c>
      <c r="AB74" s="145">
        <v>0</v>
      </c>
      <c r="AC74" s="141">
        <v>163</v>
      </c>
      <c r="AD74" s="119">
        <v>0</v>
      </c>
      <c r="AE74" s="145">
        <v>0</v>
      </c>
      <c r="AF74" s="141">
        <v>0</v>
      </c>
      <c r="AG74" s="119">
        <v>0</v>
      </c>
      <c r="AH74" s="58">
        <v>167</v>
      </c>
      <c r="AI74" s="88">
        <v>10458</v>
      </c>
      <c r="AJ74" s="58">
        <v>1185661</v>
      </c>
      <c r="AK74" s="99" t="s">
        <v>316</v>
      </c>
      <c r="AL74" s="88">
        <v>13351</v>
      </c>
      <c r="AM74" s="73"/>
      <c r="AN74" s="117">
        <v>1576624.5018012528</v>
      </c>
      <c r="AO74" s="119">
        <v>62233315</v>
      </c>
      <c r="AP74" s="145">
        <v>814160</v>
      </c>
      <c r="AQ74" s="266"/>
    </row>
    <row r="75" spans="1:43" x14ac:dyDescent="0.25">
      <c r="A75" s="202" t="s">
        <v>161</v>
      </c>
      <c r="B75" s="202" t="s">
        <v>162</v>
      </c>
      <c r="C75" s="141">
        <f t="shared" si="19"/>
        <v>5238983.50825</v>
      </c>
      <c r="D75" s="119">
        <f t="shared" si="10"/>
        <v>6009591.3978000013</v>
      </c>
      <c r="E75" s="119">
        <f t="shared" si="11"/>
        <v>465129.31450000004</v>
      </c>
      <c r="F75" s="119">
        <f t="shared" si="12"/>
        <v>126386.40800000001</v>
      </c>
      <c r="G75" s="119">
        <f t="shared" si="13"/>
        <v>0</v>
      </c>
      <c r="H75" s="119">
        <f t="shared" si="14"/>
        <v>0</v>
      </c>
      <c r="I75" s="119">
        <f t="shared" si="15"/>
        <v>0</v>
      </c>
      <c r="J75" s="119">
        <f t="shared" si="16"/>
        <v>0</v>
      </c>
      <c r="K75" s="119">
        <f t="shared" si="17"/>
        <v>1750512.2240203461</v>
      </c>
      <c r="L75" s="58">
        <f t="shared" si="18"/>
        <v>3025491.348637878</v>
      </c>
      <c r="M75" s="147">
        <v>2.6373719334523926E-2</v>
      </c>
      <c r="N75" s="267">
        <v>694.8</v>
      </c>
      <c r="O75" s="268">
        <v>827.5</v>
      </c>
      <c r="P75" s="268">
        <v>0</v>
      </c>
      <c r="Q75" s="268">
        <v>0</v>
      </c>
      <c r="R75" s="269">
        <v>2.1</v>
      </c>
      <c r="S75" s="141">
        <v>136</v>
      </c>
      <c r="T75" s="119">
        <v>60</v>
      </c>
      <c r="U75" s="119">
        <v>170</v>
      </c>
      <c r="V75" s="119">
        <v>1926</v>
      </c>
      <c r="W75" s="145">
        <v>1834</v>
      </c>
      <c r="X75" s="141">
        <v>92308</v>
      </c>
      <c r="Y75" s="58">
        <v>129075</v>
      </c>
      <c r="Z75" s="88">
        <v>20648</v>
      </c>
      <c r="AA75" s="88">
        <f>VLOOKUP(B75,'Renseanlæg 2021'!L:M,2,FALSE)</f>
        <v>0</v>
      </c>
      <c r="AB75" s="145">
        <v>0</v>
      </c>
      <c r="AC75" s="141">
        <v>0</v>
      </c>
      <c r="AD75" s="119">
        <v>0</v>
      </c>
      <c r="AE75" s="145">
        <v>0</v>
      </c>
      <c r="AF75" s="141">
        <v>0</v>
      </c>
      <c r="AG75" s="119">
        <v>0</v>
      </c>
      <c r="AH75" s="58">
        <v>0</v>
      </c>
      <c r="AI75" s="88">
        <v>23834</v>
      </c>
      <c r="AJ75" s="58">
        <v>2184465</v>
      </c>
      <c r="AK75" s="99" t="s">
        <v>315</v>
      </c>
      <c r="AL75" s="88">
        <v>28059</v>
      </c>
      <c r="AM75" s="73"/>
      <c r="AN75" s="117">
        <v>0</v>
      </c>
      <c r="AO75" s="119">
        <v>99427088.466666654</v>
      </c>
      <c r="AP75" s="145">
        <v>338733.33333333331</v>
      </c>
      <c r="AQ75" s="266"/>
    </row>
    <row r="76" spans="1:43" x14ac:dyDescent="0.25">
      <c r="A76" s="202" t="s">
        <v>163</v>
      </c>
      <c r="B76" s="202" t="s">
        <v>164</v>
      </c>
      <c r="C76" s="141">
        <f t="shared" si="19"/>
        <v>2016.5435950000001</v>
      </c>
      <c r="D76" s="119">
        <f t="shared" si="10"/>
        <v>0</v>
      </c>
      <c r="E76" s="119">
        <f t="shared" si="11"/>
        <v>8123.84</v>
      </c>
      <c r="F76" s="119">
        <f t="shared" si="12"/>
        <v>0</v>
      </c>
      <c r="G76" s="119">
        <f t="shared" si="13"/>
        <v>10268268.47354883</v>
      </c>
      <c r="H76" s="119">
        <f t="shared" si="14"/>
        <v>0</v>
      </c>
      <c r="I76" s="119">
        <f t="shared" si="15"/>
        <v>1126682.5124000001</v>
      </c>
      <c r="J76" s="119">
        <f t="shared" si="16"/>
        <v>1729683.4720999999</v>
      </c>
      <c r="K76" s="119">
        <f t="shared" si="17"/>
        <v>105137.77587651089</v>
      </c>
      <c r="L76" s="58">
        <f t="shared" si="18"/>
        <v>1946542.1703134621</v>
      </c>
      <c r="M76" s="147">
        <v>0</v>
      </c>
      <c r="N76" s="267">
        <v>0</v>
      </c>
      <c r="O76" s="268">
        <v>0.55000000000000004</v>
      </c>
      <c r="P76" s="268">
        <v>0</v>
      </c>
      <c r="Q76" s="268">
        <v>0</v>
      </c>
      <c r="R76" s="269">
        <v>0</v>
      </c>
      <c r="S76" s="141">
        <v>0</v>
      </c>
      <c r="T76" s="119">
        <v>0</v>
      </c>
      <c r="U76" s="119">
        <v>0</v>
      </c>
      <c r="V76" s="119">
        <v>0</v>
      </c>
      <c r="W76" s="145">
        <v>0</v>
      </c>
      <c r="X76" s="141">
        <v>0</v>
      </c>
      <c r="Y76" s="58">
        <v>3200</v>
      </c>
      <c r="Z76" s="88">
        <v>0</v>
      </c>
      <c r="AA76" s="88">
        <f>VLOOKUP(B76,'Renseanlæg 2021'!L:M,2,FALSE)</f>
        <v>10268268.47354883</v>
      </c>
      <c r="AB76" s="145">
        <v>0</v>
      </c>
      <c r="AC76" s="141">
        <v>1397</v>
      </c>
      <c r="AD76" s="119">
        <v>0</v>
      </c>
      <c r="AE76" s="145">
        <v>0</v>
      </c>
      <c r="AF76" s="141">
        <v>1397</v>
      </c>
      <c r="AG76" s="119">
        <v>0</v>
      </c>
      <c r="AH76" s="58">
        <v>0</v>
      </c>
      <c r="AI76" s="88">
        <v>19</v>
      </c>
      <c r="AJ76" s="58">
        <v>2080617</v>
      </c>
      <c r="AK76" s="99" t="s">
        <v>317</v>
      </c>
      <c r="AL76" s="88">
        <v>2</v>
      </c>
      <c r="AM76" s="73"/>
      <c r="AN76" s="117">
        <v>11342681.766855493</v>
      </c>
      <c r="AO76" s="119">
        <v>840865.01199999999</v>
      </c>
      <c r="AP76" s="145">
        <v>536894.06666666665</v>
      </c>
      <c r="AQ76" s="266"/>
    </row>
    <row r="77" spans="1:43" x14ac:dyDescent="0.25">
      <c r="A77" s="202" t="s">
        <v>165</v>
      </c>
      <c r="B77" s="202" t="s">
        <v>166</v>
      </c>
      <c r="C77" s="141">
        <f t="shared" si="19"/>
        <v>2813501.2859430001</v>
      </c>
      <c r="D77" s="119">
        <f t="shared" si="10"/>
        <v>8357193.9372999994</v>
      </c>
      <c r="E77" s="119">
        <f t="shared" si="11"/>
        <v>510489.7341</v>
      </c>
      <c r="F77" s="119">
        <f t="shared" si="12"/>
        <v>189720.39500000002</v>
      </c>
      <c r="G77" s="119">
        <f t="shared" si="13"/>
        <v>688661.72064747475</v>
      </c>
      <c r="H77" s="119">
        <f t="shared" si="14"/>
        <v>60127.346999999994</v>
      </c>
      <c r="I77" s="119">
        <f t="shared" si="15"/>
        <v>827686.09550000005</v>
      </c>
      <c r="J77" s="119">
        <f t="shared" si="16"/>
        <v>655580.06359999999</v>
      </c>
      <c r="K77" s="119">
        <f t="shared" si="17"/>
        <v>1251780.8119626895</v>
      </c>
      <c r="L77" s="58">
        <f t="shared" si="18"/>
        <v>2673852.5636805263</v>
      </c>
      <c r="M77" s="147">
        <v>2.2894559759821936E-2</v>
      </c>
      <c r="N77" s="267">
        <v>335.01</v>
      </c>
      <c r="O77" s="268">
        <v>409.44</v>
      </c>
      <c r="P77" s="268">
        <v>34.03</v>
      </c>
      <c r="Q77" s="268">
        <v>0</v>
      </c>
      <c r="R77" s="269">
        <v>0</v>
      </c>
      <c r="S77" s="141">
        <v>992</v>
      </c>
      <c r="T77" s="119">
        <v>233</v>
      </c>
      <c r="U77" s="119">
        <v>62</v>
      </c>
      <c r="V77" s="119">
        <v>3376</v>
      </c>
      <c r="W77" s="145">
        <v>2000</v>
      </c>
      <c r="X77" s="141">
        <v>65795</v>
      </c>
      <c r="Y77" s="58">
        <v>162493</v>
      </c>
      <c r="Z77" s="88">
        <v>30995</v>
      </c>
      <c r="AA77" s="88">
        <f>VLOOKUP(B77,'Renseanlæg 2021'!L:M,2,FALSE)</f>
        <v>688661.72064747475</v>
      </c>
      <c r="AB77" s="145">
        <v>21</v>
      </c>
      <c r="AC77" s="141">
        <v>320</v>
      </c>
      <c r="AD77" s="119">
        <v>0</v>
      </c>
      <c r="AE77" s="145">
        <v>0</v>
      </c>
      <c r="AF77" s="141">
        <v>320</v>
      </c>
      <c r="AG77" s="119">
        <v>0</v>
      </c>
      <c r="AH77" s="58">
        <v>0</v>
      </c>
      <c r="AI77" s="88">
        <v>10180</v>
      </c>
      <c r="AJ77" s="58">
        <v>1428041</v>
      </c>
      <c r="AK77" s="99" t="s">
        <v>316</v>
      </c>
      <c r="AL77" s="88">
        <v>13269</v>
      </c>
      <c r="AM77" s="73"/>
      <c r="AN77" s="117">
        <v>245207.54198009879</v>
      </c>
      <c r="AO77" s="119">
        <v>66858872.650730275</v>
      </c>
      <c r="AP77" s="145">
        <v>956281.06666666665</v>
      </c>
      <c r="AQ77" s="266"/>
    </row>
    <row r="78" spans="1:43" x14ac:dyDescent="0.25">
      <c r="A78" s="202" t="s">
        <v>167</v>
      </c>
      <c r="B78" s="202" t="s">
        <v>168</v>
      </c>
      <c r="C78" s="141">
        <f t="shared" si="19"/>
        <v>5230300.8380300002</v>
      </c>
      <c r="D78" s="119">
        <f t="shared" si="10"/>
        <v>5770472.2784000002</v>
      </c>
      <c r="E78" s="119">
        <f t="shared" si="11"/>
        <v>555557.71360000002</v>
      </c>
      <c r="F78" s="119">
        <f t="shared" si="12"/>
        <v>204582.18300000002</v>
      </c>
      <c r="G78" s="119">
        <f t="shared" si="13"/>
        <v>15107088.637224853</v>
      </c>
      <c r="H78" s="119">
        <f t="shared" si="14"/>
        <v>5726.4139999999998</v>
      </c>
      <c r="I78" s="119">
        <f t="shared" si="15"/>
        <v>2245011.7047199998</v>
      </c>
      <c r="J78" s="119">
        <f t="shared" si="16"/>
        <v>3418529.523</v>
      </c>
      <c r="K78" s="119">
        <f t="shared" si="17"/>
        <v>1752276.9542236098</v>
      </c>
      <c r="L78" s="58">
        <f t="shared" si="18"/>
        <v>7359753.9034205284</v>
      </c>
      <c r="M78" s="147">
        <v>4.7211427249595192E-2</v>
      </c>
      <c r="N78" s="267">
        <v>269</v>
      </c>
      <c r="O78" s="268">
        <v>819</v>
      </c>
      <c r="P78" s="268">
        <v>79.099999999999994</v>
      </c>
      <c r="Q78" s="268">
        <v>0</v>
      </c>
      <c r="R78" s="269">
        <v>1.3</v>
      </c>
      <c r="S78" s="141">
        <v>130</v>
      </c>
      <c r="T78" s="119">
        <v>158</v>
      </c>
      <c r="U78" s="119">
        <v>121</v>
      </c>
      <c r="V78" s="119">
        <v>2631</v>
      </c>
      <c r="W78" s="145">
        <v>0</v>
      </c>
      <c r="X78" s="141">
        <v>76583</v>
      </c>
      <c r="Y78" s="58">
        <v>173918</v>
      </c>
      <c r="Z78" s="88">
        <v>33423</v>
      </c>
      <c r="AA78" s="88">
        <f>VLOOKUP(B78,'Renseanlæg 2021'!L:M,2,FALSE)</f>
        <v>15107088.637224853</v>
      </c>
      <c r="AB78" s="145">
        <v>2</v>
      </c>
      <c r="AC78" s="141">
        <v>494.6</v>
      </c>
      <c r="AD78" s="119">
        <v>1784</v>
      </c>
      <c r="AE78" s="145">
        <v>0</v>
      </c>
      <c r="AF78" s="141">
        <v>1398</v>
      </c>
      <c r="AG78" s="119">
        <v>573</v>
      </c>
      <c r="AH78" s="58">
        <v>0</v>
      </c>
      <c r="AI78" s="88">
        <v>23895</v>
      </c>
      <c r="AJ78" s="58">
        <v>3991329</v>
      </c>
      <c r="AK78" s="99" t="s">
        <v>316</v>
      </c>
      <c r="AL78" s="88">
        <v>40819</v>
      </c>
      <c r="AM78" s="73"/>
      <c r="AN78" s="117">
        <v>14641511.834968396</v>
      </c>
      <c r="AO78" s="119">
        <v>106787157.99261333</v>
      </c>
      <c r="AP78" s="145">
        <v>2849778.3343602736</v>
      </c>
      <c r="AQ78" s="266"/>
    </row>
    <row r="79" spans="1:43" x14ac:dyDescent="0.25">
      <c r="A79" s="202" t="s">
        <v>169</v>
      </c>
      <c r="B79" s="202" t="s">
        <v>170</v>
      </c>
      <c r="C79" s="141">
        <f t="shared" si="19"/>
        <v>2726074.6986199999</v>
      </c>
      <c r="D79" s="119">
        <f t="shared" si="10"/>
        <v>2031049.6377000001</v>
      </c>
      <c r="E79" s="119">
        <f t="shared" si="11"/>
        <v>11303.4583</v>
      </c>
      <c r="F79" s="119">
        <f t="shared" si="12"/>
        <v>182846.51200000002</v>
      </c>
      <c r="G79" s="119">
        <f t="shared" si="13"/>
        <v>5269410.2678584568</v>
      </c>
      <c r="H79" s="119">
        <f t="shared" si="14"/>
        <v>0</v>
      </c>
      <c r="I79" s="119">
        <f t="shared" si="15"/>
        <v>1078654.3043</v>
      </c>
      <c r="J79" s="119">
        <f t="shared" si="16"/>
        <v>1557148.7556000003</v>
      </c>
      <c r="K79" s="119">
        <f t="shared" si="17"/>
        <v>1488957.2554203402</v>
      </c>
      <c r="L79" s="58">
        <f t="shared" si="18"/>
        <v>4909943.5970430439</v>
      </c>
      <c r="M79" s="147">
        <v>6.897918080518399E-2</v>
      </c>
      <c r="N79" s="267">
        <v>93.69</v>
      </c>
      <c r="O79" s="268">
        <v>403.1</v>
      </c>
      <c r="P79" s="268">
        <v>19.7</v>
      </c>
      <c r="Q79" s="268">
        <v>0</v>
      </c>
      <c r="R79" s="269">
        <v>2.58</v>
      </c>
      <c r="S79" s="141">
        <v>58</v>
      </c>
      <c r="T79" s="119">
        <v>23</v>
      </c>
      <c r="U79" s="119">
        <v>60</v>
      </c>
      <c r="V79" s="119">
        <v>680</v>
      </c>
      <c r="W79" s="145">
        <v>0</v>
      </c>
      <c r="X79" s="141">
        <v>5530</v>
      </c>
      <c r="Y79" s="58">
        <v>1209</v>
      </c>
      <c r="Z79" s="88">
        <v>29872</v>
      </c>
      <c r="AA79" s="88">
        <f>VLOOKUP(B79,'Renseanlæg 2021'!L:M,2,FALSE)</f>
        <v>5269410.2678584568</v>
      </c>
      <c r="AB79" s="145">
        <v>0</v>
      </c>
      <c r="AC79" s="141">
        <v>1224</v>
      </c>
      <c r="AD79" s="119">
        <v>0</v>
      </c>
      <c r="AE79" s="145">
        <v>0</v>
      </c>
      <c r="AF79" s="141">
        <v>1224</v>
      </c>
      <c r="AG79" s="119">
        <v>0</v>
      </c>
      <c r="AH79" s="58">
        <v>0</v>
      </c>
      <c r="AI79" s="88">
        <v>15809</v>
      </c>
      <c r="AJ79" s="58">
        <v>2646500</v>
      </c>
      <c r="AK79" s="99" t="s">
        <v>316</v>
      </c>
      <c r="AL79" s="88">
        <v>31509</v>
      </c>
      <c r="AM79" s="73"/>
      <c r="AN79" s="117">
        <v>4414298.6292461986</v>
      </c>
      <c r="AO79" s="119">
        <v>62451196.97591164</v>
      </c>
      <c r="AP79" s="145">
        <v>1597253.3401446491</v>
      </c>
      <c r="AQ79" s="266"/>
    </row>
    <row r="80" spans="1:43" x14ac:dyDescent="0.25">
      <c r="A80" s="202" t="s">
        <v>171</v>
      </c>
      <c r="B80" s="202" t="s">
        <v>172</v>
      </c>
      <c r="C80" s="141">
        <f t="shared" si="19"/>
        <v>7956383.9961019987</v>
      </c>
      <c r="D80" s="119">
        <f t="shared" si="10"/>
        <v>6114977.7885180004</v>
      </c>
      <c r="E80" s="119">
        <f t="shared" si="11"/>
        <v>1778619.2295000001</v>
      </c>
      <c r="F80" s="119">
        <f t="shared" si="12"/>
        <v>62134.271000000008</v>
      </c>
      <c r="G80" s="119">
        <f t="shared" si="13"/>
        <v>15703375.479757665</v>
      </c>
      <c r="H80" s="119">
        <f t="shared" si="14"/>
        <v>37221.690999999999</v>
      </c>
      <c r="I80" s="119">
        <f t="shared" si="15"/>
        <v>2930281.7913000002</v>
      </c>
      <c r="J80" s="119">
        <f t="shared" si="16"/>
        <v>1750626.9926</v>
      </c>
      <c r="K80" s="119">
        <f t="shared" si="17"/>
        <v>1965197.3700959838</v>
      </c>
      <c r="L80" s="58">
        <f t="shared" si="18"/>
        <v>7346079.3925516643</v>
      </c>
      <c r="M80" s="147">
        <v>5.6280431226623552E-2</v>
      </c>
      <c r="N80" s="267">
        <v>495.1</v>
      </c>
      <c r="O80" s="268">
        <v>1156.3</v>
      </c>
      <c r="P80" s="268">
        <v>76.099999999999994</v>
      </c>
      <c r="Q80" s="268">
        <v>0</v>
      </c>
      <c r="R80" s="269">
        <v>4.91</v>
      </c>
      <c r="S80" s="141">
        <v>147</v>
      </c>
      <c r="T80" s="119">
        <v>30</v>
      </c>
      <c r="U80" s="119">
        <v>127</v>
      </c>
      <c r="V80" s="119">
        <v>7115.06</v>
      </c>
      <c r="W80" s="145">
        <v>750</v>
      </c>
      <c r="X80" s="141">
        <v>364501</v>
      </c>
      <c r="Y80" s="58">
        <v>486815</v>
      </c>
      <c r="Z80" s="88">
        <v>10151</v>
      </c>
      <c r="AA80" s="88">
        <f>VLOOKUP(B80,'Renseanlæg 2021'!L:M,2,FALSE)</f>
        <v>15703375.479757665</v>
      </c>
      <c r="AB80" s="145">
        <v>13</v>
      </c>
      <c r="AC80" s="141">
        <v>69</v>
      </c>
      <c r="AD80" s="119">
        <v>2210</v>
      </c>
      <c r="AE80" s="145">
        <v>287</v>
      </c>
      <c r="AF80" s="141">
        <v>1418</v>
      </c>
      <c r="AG80" s="119">
        <v>0</v>
      </c>
      <c r="AH80" s="58">
        <v>0</v>
      </c>
      <c r="AI80" s="88">
        <v>31963</v>
      </c>
      <c r="AJ80" s="58">
        <v>3983801</v>
      </c>
      <c r="AK80" s="99" t="s">
        <v>316</v>
      </c>
      <c r="AL80" s="88">
        <v>58835</v>
      </c>
      <c r="AM80" s="73"/>
      <c r="AN80" s="117">
        <v>16653616.324112456</v>
      </c>
      <c r="AO80" s="119">
        <v>164729686.96666667</v>
      </c>
      <c r="AP80" s="145">
        <v>2604406.6666666665</v>
      </c>
      <c r="AQ80" s="266"/>
    </row>
    <row r="81" spans="1:43" x14ac:dyDescent="0.25">
      <c r="A81" s="202" t="s">
        <v>173</v>
      </c>
      <c r="B81" s="202" t="s">
        <v>174</v>
      </c>
      <c r="C81" s="141">
        <f t="shared" si="19"/>
        <v>5808042.0586099997</v>
      </c>
      <c r="D81" s="119">
        <f t="shared" si="10"/>
        <v>13392624.7152</v>
      </c>
      <c r="E81" s="119">
        <f t="shared" si="11"/>
        <v>691764.27240000002</v>
      </c>
      <c r="F81" s="119">
        <f t="shared" si="12"/>
        <v>340254.14800000004</v>
      </c>
      <c r="G81" s="119">
        <f t="shared" si="13"/>
        <v>20253243.907813054</v>
      </c>
      <c r="H81" s="119">
        <f t="shared" si="14"/>
        <v>17179.241999999998</v>
      </c>
      <c r="I81" s="119">
        <f t="shared" si="15"/>
        <v>3050732.9134499999</v>
      </c>
      <c r="J81" s="119">
        <f t="shared" si="16"/>
        <v>1811462.9331</v>
      </c>
      <c r="K81" s="119">
        <f t="shared" si="17"/>
        <v>1924988.858371163</v>
      </c>
      <c r="L81" s="58">
        <f t="shared" si="18"/>
        <v>6355833.0225675786</v>
      </c>
      <c r="M81" s="147">
        <v>3.6200034766379084E-2</v>
      </c>
      <c r="N81" s="267">
        <v>408.8</v>
      </c>
      <c r="O81" s="268">
        <v>904.28</v>
      </c>
      <c r="P81" s="268">
        <v>90.44</v>
      </c>
      <c r="Q81" s="268">
        <v>0</v>
      </c>
      <c r="R81" s="269">
        <v>0.45</v>
      </c>
      <c r="S81" s="141">
        <v>79</v>
      </c>
      <c r="T81" s="119">
        <v>565</v>
      </c>
      <c r="U81" s="119">
        <v>157</v>
      </c>
      <c r="V81" s="119">
        <v>6131</v>
      </c>
      <c r="W81" s="145">
        <v>6087</v>
      </c>
      <c r="X81" s="141">
        <v>45106</v>
      </c>
      <c r="Y81" s="58">
        <v>246032</v>
      </c>
      <c r="Z81" s="88">
        <v>55588</v>
      </c>
      <c r="AA81" s="88">
        <f>VLOOKUP(B81,'Renseanlæg 2021'!L:M,2,FALSE)</f>
        <v>20253243.907813054</v>
      </c>
      <c r="AB81" s="145">
        <v>6</v>
      </c>
      <c r="AC81" s="141">
        <v>0</v>
      </c>
      <c r="AD81" s="119">
        <v>2973</v>
      </c>
      <c r="AE81" s="145">
        <v>18.5</v>
      </c>
      <c r="AF81" s="141">
        <v>1479</v>
      </c>
      <c r="AG81" s="119">
        <v>0</v>
      </c>
      <c r="AH81" s="58">
        <v>0</v>
      </c>
      <c r="AI81" s="88">
        <v>30330</v>
      </c>
      <c r="AJ81" s="58">
        <v>3439247</v>
      </c>
      <c r="AK81" s="99" t="s">
        <v>316</v>
      </c>
      <c r="AL81" s="88">
        <v>39567</v>
      </c>
      <c r="AM81" s="73"/>
      <c r="AN81" s="117">
        <v>57967067.584396482</v>
      </c>
      <c r="AO81" s="119">
        <v>125821261.71066669</v>
      </c>
      <c r="AP81" s="145">
        <v>3078051.1999999997</v>
      </c>
      <c r="AQ81" s="266"/>
    </row>
    <row r="82" spans="1:43" x14ac:dyDescent="0.25">
      <c r="A82" s="202" t="s">
        <v>175</v>
      </c>
      <c r="B82" s="202" t="s">
        <v>176</v>
      </c>
      <c r="C82" s="141">
        <f t="shared" si="19"/>
        <v>4487041.016303</v>
      </c>
      <c r="D82" s="119">
        <f t="shared" si="10"/>
        <v>4818663.8589000003</v>
      </c>
      <c r="E82" s="119">
        <f t="shared" si="11"/>
        <v>567415.53279999993</v>
      </c>
      <c r="F82" s="119">
        <f t="shared" si="12"/>
        <v>111518.49900000001</v>
      </c>
      <c r="G82" s="119">
        <f t="shared" si="13"/>
        <v>11069042.241369957</v>
      </c>
      <c r="H82" s="119">
        <f t="shared" si="14"/>
        <v>25768.862999999998</v>
      </c>
      <c r="I82" s="119">
        <f t="shared" si="15"/>
        <v>1181928.8327000001</v>
      </c>
      <c r="J82" s="119">
        <f t="shared" si="16"/>
        <v>1928148.2615999999</v>
      </c>
      <c r="K82" s="119">
        <f t="shared" si="17"/>
        <v>1665958.1037701366</v>
      </c>
      <c r="L82" s="58">
        <f t="shared" si="18"/>
        <v>4813052.6073343363</v>
      </c>
      <c r="M82" s="147">
        <v>3.8512448376043874E-2</v>
      </c>
      <c r="N82" s="267">
        <v>358.46</v>
      </c>
      <c r="O82" s="268">
        <v>798.25</v>
      </c>
      <c r="P82" s="268">
        <v>29.94</v>
      </c>
      <c r="Q82" s="268">
        <v>0</v>
      </c>
      <c r="R82" s="269">
        <v>0.92</v>
      </c>
      <c r="S82" s="141">
        <v>182</v>
      </c>
      <c r="T82" s="119">
        <v>10</v>
      </c>
      <c r="U82" s="119">
        <v>117</v>
      </c>
      <c r="V82" s="119">
        <v>3544</v>
      </c>
      <c r="W82" s="145">
        <v>1620</v>
      </c>
      <c r="X82" s="141">
        <v>190756</v>
      </c>
      <c r="Y82" s="58">
        <v>111624</v>
      </c>
      <c r="Z82" s="88">
        <v>18219</v>
      </c>
      <c r="AA82" s="88">
        <f>VLOOKUP(B82,'Renseanlæg 2021'!L:M,2,FALSE)</f>
        <v>11069042.241369957</v>
      </c>
      <c r="AB82" s="145">
        <v>9</v>
      </c>
      <c r="AC82" s="141">
        <v>1596</v>
      </c>
      <c r="AD82" s="119">
        <v>0</v>
      </c>
      <c r="AE82" s="145">
        <v>0</v>
      </c>
      <c r="AF82" s="141">
        <v>1596</v>
      </c>
      <c r="AG82" s="119">
        <v>0</v>
      </c>
      <c r="AH82" s="58">
        <v>0</v>
      </c>
      <c r="AI82" s="88">
        <v>21021</v>
      </c>
      <c r="AJ82" s="58">
        <v>2593493</v>
      </c>
      <c r="AK82" s="99" t="s">
        <v>316</v>
      </c>
      <c r="AL82" s="88">
        <v>29561</v>
      </c>
      <c r="AM82" s="73"/>
      <c r="AN82" s="117">
        <v>10422859.328575397</v>
      </c>
      <c r="AO82" s="119">
        <v>90630663.399449632</v>
      </c>
      <c r="AP82" s="145">
        <v>2326253.3333333335</v>
      </c>
      <c r="AQ82" s="266"/>
    </row>
    <row r="83" spans="1:43" x14ac:dyDescent="0.25">
      <c r="A83" s="202" t="s">
        <v>177</v>
      </c>
      <c r="B83" s="202" t="s">
        <v>178</v>
      </c>
      <c r="C83" s="141">
        <f t="shared" si="19"/>
        <v>4268798.4813839998</v>
      </c>
      <c r="D83" s="119">
        <f t="shared" si="10"/>
        <v>4296288.5454000002</v>
      </c>
      <c r="E83" s="119">
        <f t="shared" si="11"/>
        <v>336596.89</v>
      </c>
      <c r="F83" s="119">
        <f t="shared" si="12"/>
        <v>183630</v>
      </c>
      <c r="G83" s="119">
        <f t="shared" si="13"/>
        <v>7675424.1858186498</v>
      </c>
      <c r="H83" s="119">
        <f t="shared" si="14"/>
        <v>0</v>
      </c>
      <c r="I83" s="119">
        <f t="shared" si="15"/>
        <v>1916615.7716839998</v>
      </c>
      <c r="J83" s="119">
        <f t="shared" si="16"/>
        <v>566819.42910000007</v>
      </c>
      <c r="K83" s="119">
        <f t="shared" si="17"/>
        <v>1511563.2903800393</v>
      </c>
      <c r="L83" s="58">
        <f t="shared" si="18"/>
        <v>3447098.3434950244</v>
      </c>
      <c r="M83" s="147">
        <v>1.9115740962987855E-2</v>
      </c>
      <c r="N83" s="267">
        <v>407.3</v>
      </c>
      <c r="O83" s="268">
        <v>659.08</v>
      </c>
      <c r="P83" s="268">
        <v>31.86</v>
      </c>
      <c r="Q83" s="268">
        <v>0</v>
      </c>
      <c r="R83" s="269">
        <v>1.45</v>
      </c>
      <c r="S83" s="141">
        <v>0</v>
      </c>
      <c r="T83" s="119">
        <v>255</v>
      </c>
      <c r="U83" s="119">
        <v>63</v>
      </c>
      <c r="V83" s="119">
        <v>0</v>
      </c>
      <c r="W83" s="145">
        <v>0</v>
      </c>
      <c r="X83" s="141">
        <v>66300</v>
      </c>
      <c r="Y83" s="58">
        <v>93700</v>
      </c>
      <c r="Z83" s="88">
        <v>30000</v>
      </c>
      <c r="AA83" s="88">
        <f>VLOOKUP(B83,'Renseanlæg 2021'!L:M,2,FALSE)</f>
        <v>7675424.1858186498</v>
      </c>
      <c r="AB83" s="145">
        <v>0</v>
      </c>
      <c r="AC83" s="141">
        <v>330.72</v>
      </c>
      <c r="AD83" s="119">
        <v>0</v>
      </c>
      <c r="AE83" s="145">
        <v>654</v>
      </c>
      <c r="AF83" s="141">
        <v>231</v>
      </c>
      <c r="AG83" s="119">
        <v>0</v>
      </c>
      <c r="AH83" s="58">
        <v>0</v>
      </c>
      <c r="AI83" s="88">
        <v>16425</v>
      </c>
      <c r="AJ83" s="58">
        <v>1848100</v>
      </c>
      <c r="AK83" s="99" t="s">
        <v>316</v>
      </c>
      <c r="AL83" s="88">
        <v>15928</v>
      </c>
      <c r="AM83" s="73"/>
      <c r="AN83" s="117">
        <v>11908209.611354603</v>
      </c>
      <c r="AO83" s="119">
        <v>85649305.722389206</v>
      </c>
      <c r="AP83" s="145">
        <v>1702110.9454841337</v>
      </c>
      <c r="AQ83" s="266"/>
    </row>
    <row r="84" spans="1:43" x14ac:dyDescent="0.25">
      <c r="A84" s="202" t="s">
        <v>179</v>
      </c>
      <c r="B84" s="202" t="s">
        <v>180</v>
      </c>
      <c r="C84" s="141">
        <f t="shared" si="19"/>
        <v>1790722.649803</v>
      </c>
      <c r="D84" s="119">
        <f t="shared" si="10"/>
        <v>2050745.0608000001</v>
      </c>
      <c r="E84" s="119">
        <f t="shared" si="11"/>
        <v>237305.39369999999</v>
      </c>
      <c r="F84" s="119">
        <f t="shared" si="12"/>
        <v>7161.5700000000006</v>
      </c>
      <c r="G84" s="119">
        <f t="shared" si="13"/>
        <v>2982523.9982320392</v>
      </c>
      <c r="H84" s="119">
        <f t="shared" si="14"/>
        <v>0</v>
      </c>
      <c r="I84" s="119">
        <f t="shared" si="15"/>
        <v>857391.40340000007</v>
      </c>
      <c r="J84" s="119">
        <f t="shared" si="16"/>
        <v>563827.4976</v>
      </c>
      <c r="K84" s="119">
        <f t="shared" si="17"/>
        <v>1099050.3835796465</v>
      </c>
      <c r="L84" s="58">
        <f t="shared" si="18"/>
        <v>1822574.2917902479</v>
      </c>
      <c r="M84" s="147">
        <v>4.1182872013248155E-2</v>
      </c>
      <c r="N84" s="267">
        <v>61.6</v>
      </c>
      <c r="O84" s="268">
        <v>266.45</v>
      </c>
      <c r="P84" s="268">
        <v>35.159999999999997</v>
      </c>
      <c r="Q84" s="268">
        <v>0</v>
      </c>
      <c r="R84" s="269">
        <v>0.43</v>
      </c>
      <c r="S84" s="141">
        <v>107</v>
      </c>
      <c r="T84" s="119">
        <v>7</v>
      </c>
      <c r="U84" s="119">
        <v>15</v>
      </c>
      <c r="V84" s="119">
        <v>2870</v>
      </c>
      <c r="W84" s="145">
        <v>1920</v>
      </c>
      <c r="X84" s="141">
        <v>44916</v>
      </c>
      <c r="Y84" s="58">
        <v>67131</v>
      </c>
      <c r="Z84" s="88">
        <v>1170</v>
      </c>
      <c r="AA84" s="88">
        <f>VLOOKUP(B84,'Renseanlæg 2021'!L:M,2,FALSE)</f>
        <v>2982523.9982320392</v>
      </c>
      <c r="AB84" s="145">
        <v>0</v>
      </c>
      <c r="AC84" s="141">
        <v>427</v>
      </c>
      <c r="AD84" s="119">
        <v>0</v>
      </c>
      <c r="AE84" s="145">
        <v>0</v>
      </c>
      <c r="AF84" s="141">
        <v>228</v>
      </c>
      <c r="AG84" s="119">
        <v>0</v>
      </c>
      <c r="AH84" s="58">
        <v>0</v>
      </c>
      <c r="AI84" s="88">
        <v>7318</v>
      </c>
      <c r="AJ84" s="58">
        <v>967767</v>
      </c>
      <c r="AK84" s="99" t="s">
        <v>316</v>
      </c>
      <c r="AL84" s="88">
        <v>8704</v>
      </c>
      <c r="AM84" s="73"/>
      <c r="AN84" s="117">
        <v>1918000.7702984554</v>
      </c>
      <c r="AO84" s="119">
        <v>28627459.509333327</v>
      </c>
      <c r="AP84" s="145">
        <v>796692.42666666675</v>
      </c>
      <c r="AQ84" s="266"/>
    </row>
    <row r="85" spans="1:43" x14ac:dyDescent="0.25">
      <c r="A85" s="270" t="s">
        <v>181</v>
      </c>
      <c r="B85" s="270" t="s">
        <v>182</v>
      </c>
      <c r="C85" s="148">
        <f t="shared" si="19"/>
        <v>0</v>
      </c>
      <c r="D85" s="149">
        <f t="shared" si="10"/>
        <v>0</v>
      </c>
      <c r="E85" s="149">
        <f t="shared" si="11"/>
        <v>0</v>
      </c>
      <c r="F85" s="149">
        <f t="shared" si="12"/>
        <v>0</v>
      </c>
      <c r="G85" s="149">
        <f t="shared" si="13"/>
        <v>0</v>
      </c>
      <c r="H85" s="149">
        <f t="shared" si="14"/>
        <v>0</v>
      </c>
      <c r="I85" s="149">
        <f t="shared" si="15"/>
        <v>0</v>
      </c>
      <c r="J85" s="149">
        <f t="shared" si="16"/>
        <v>0</v>
      </c>
      <c r="K85" s="149">
        <f t="shared" si="17"/>
        <v>0</v>
      </c>
      <c r="L85" s="61">
        <f t="shared" si="18"/>
        <v>1959852.6704303247</v>
      </c>
      <c r="M85" s="59">
        <v>0</v>
      </c>
      <c r="N85" s="271">
        <v>0</v>
      </c>
      <c r="O85" s="272">
        <v>0</v>
      </c>
      <c r="P85" s="272">
        <v>0</v>
      </c>
      <c r="Q85" s="272">
        <v>0</v>
      </c>
      <c r="R85" s="273">
        <v>0</v>
      </c>
      <c r="S85" s="148">
        <v>0</v>
      </c>
      <c r="T85" s="149">
        <v>0</v>
      </c>
      <c r="U85" s="149">
        <v>0</v>
      </c>
      <c r="V85" s="149">
        <v>0</v>
      </c>
      <c r="W85" s="274">
        <v>0</v>
      </c>
      <c r="X85" s="148">
        <v>0</v>
      </c>
      <c r="Y85" s="61">
        <v>0</v>
      </c>
      <c r="Z85" s="150">
        <v>0</v>
      </c>
      <c r="AA85" s="150">
        <f>VLOOKUP(B85,'Renseanlæg 2021'!L:M,2,FALSE)</f>
        <v>0</v>
      </c>
      <c r="AB85" s="274">
        <v>0</v>
      </c>
      <c r="AC85" s="148">
        <v>0</v>
      </c>
      <c r="AD85" s="149">
        <v>0</v>
      </c>
      <c r="AE85" s="274">
        <v>0</v>
      </c>
      <c r="AF85" s="148">
        <v>0</v>
      </c>
      <c r="AG85" s="149">
        <v>0</v>
      </c>
      <c r="AH85" s="61">
        <v>0</v>
      </c>
      <c r="AI85" s="150">
        <v>0</v>
      </c>
      <c r="AJ85" s="61">
        <v>1041804</v>
      </c>
      <c r="AK85" s="99" t="s">
        <v>316</v>
      </c>
      <c r="AL85" s="150">
        <v>0</v>
      </c>
      <c r="AM85" s="73"/>
      <c r="AN85" s="117" t="e">
        <v>#N/A</v>
      </c>
      <c r="AO85" s="119" t="e">
        <v>#N/A</v>
      </c>
      <c r="AP85" s="145" t="e">
        <v>#N/A</v>
      </c>
      <c r="AQ85" s="266"/>
    </row>
    <row r="86" spans="1:43" x14ac:dyDescent="0.25">
      <c r="A86" s="202" t="s">
        <v>183</v>
      </c>
      <c r="B86" s="202" t="s">
        <v>184</v>
      </c>
      <c r="C86" s="141">
        <f t="shared" si="19"/>
        <v>1808631.0819900001</v>
      </c>
      <c r="D86" s="119">
        <f t="shared" si="10"/>
        <v>5467667.9419</v>
      </c>
      <c r="E86" s="119">
        <f t="shared" si="11"/>
        <v>186861.57209999999</v>
      </c>
      <c r="F86" s="119">
        <f t="shared" si="12"/>
        <v>43795.755000000005</v>
      </c>
      <c r="G86" s="119">
        <f>AA86</f>
        <v>4161339.7387472261</v>
      </c>
      <c r="H86" s="119">
        <f t="shared" si="14"/>
        <v>0</v>
      </c>
      <c r="I86" s="119">
        <f t="shared" si="15"/>
        <v>1208155.895</v>
      </c>
      <c r="J86" s="119">
        <f t="shared" si="16"/>
        <v>830109.40110000002</v>
      </c>
      <c r="K86" s="119">
        <f t="shared" si="17"/>
        <v>1222311.795203021</v>
      </c>
      <c r="L86" s="58">
        <f t="shared" si="18"/>
        <v>1677226.3027455634</v>
      </c>
      <c r="M86" s="147">
        <v>1.9412019022913968E-2</v>
      </c>
      <c r="N86" s="267">
        <v>329.6</v>
      </c>
      <c r="O86" s="268">
        <v>235.18</v>
      </c>
      <c r="P86" s="268">
        <v>0</v>
      </c>
      <c r="Q86" s="268">
        <v>0</v>
      </c>
      <c r="R86" s="269">
        <v>0.64</v>
      </c>
      <c r="S86" s="141">
        <v>678</v>
      </c>
      <c r="T86" s="119">
        <v>11</v>
      </c>
      <c r="U86" s="119">
        <v>82</v>
      </c>
      <c r="V86" s="119">
        <v>4756</v>
      </c>
      <c r="W86" s="145">
        <v>0</v>
      </c>
      <c r="X86" s="141">
        <v>58399</v>
      </c>
      <c r="Y86" s="58">
        <v>39353</v>
      </c>
      <c r="Z86" s="88">
        <v>7155</v>
      </c>
      <c r="AA86" s="88">
        <f>VLOOKUP(B86,'Renseanlæg 2021'!L:M,2,FALSE)</f>
        <v>4161339.7387472261</v>
      </c>
      <c r="AB86" s="145">
        <v>0</v>
      </c>
      <c r="AC86" s="141">
        <v>255</v>
      </c>
      <c r="AD86" s="119">
        <v>0</v>
      </c>
      <c r="AE86" s="145">
        <v>240</v>
      </c>
      <c r="AF86" s="141">
        <v>495</v>
      </c>
      <c r="AG86" s="119">
        <v>0</v>
      </c>
      <c r="AH86" s="58">
        <v>0</v>
      </c>
      <c r="AI86" s="88">
        <v>9583</v>
      </c>
      <c r="AJ86" s="58">
        <v>889470</v>
      </c>
      <c r="AK86" s="99" t="s">
        <v>316</v>
      </c>
      <c r="AL86" s="88">
        <v>8531</v>
      </c>
      <c r="AM86" s="73"/>
      <c r="AN86" s="117">
        <v>6275324.4221387673</v>
      </c>
      <c r="AO86" s="119">
        <v>39443867.762666672</v>
      </c>
      <c r="AP86" s="145">
        <v>1812033.4933333334</v>
      </c>
      <c r="AQ86" s="266"/>
    </row>
    <row r="87" spans="1:43" x14ac:dyDescent="0.25">
      <c r="A87" s="202" t="s">
        <v>185</v>
      </c>
      <c r="B87" s="202" t="s">
        <v>186</v>
      </c>
      <c r="C87" s="141">
        <f t="shared" si="19"/>
        <v>1803772.8503259998</v>
      </c>
      <c r="D87" s="119">
        <f t="shared" si="10"/>
        <v>1974696.3446</v>
      </c>
      <c r="E87" s="119">
        <f t="shared" si="11"/>
        <v>63872.639199999998</v>
      </c>
      <c r="F87" s="119">
        <f t="shared" si="12"/>
        <v>2968.6850000000004</v>
      </c>
      <c r="G87" s="119">
        <f t="shared" si="13"/>
        <v>6796301.3069340941</v>
      </c>
      <c r="H87" s="119">
        <f t="shared" si="14"/>
        <v>2863.2069999999999</v>
      </c>
      <c r="I87" s="119">
        <f t="shared" si="15"/>
        <v>881544.3173</v>
      </c>
      <c r="J87" s="119">
        <f t="shared" si="16"/>
        <v>790290.17451000004</v>
      </c>
      <c r="K87" s="119">
        <f t="shared" si="17"/>
        <v>1177302.9410171907</v>
      </c>
      <c r="L87" s="58">
        <f t="shared" si="18"/>
        <v>1628123.9750520689</v>
      </c>
      <c r="M87" s="147">
        <v>3.0341941999711443E-2</v>
      </c>
      <c r="N87" s="267">
        <v>198.43</v>
      </c>
      <c r="O87" s="268">
        <v>290.02</v>
      </c>
      <c r="P87" s="268">
        <v>17.8</v>
      </c>
      <c r="Q87" s="268">
        <v>0</v>
      </c>
      <c r="R87" s="269">
        <v>0</v>
      </c>
      <c r="S87" s="141">
        <v>109</v>
      </c>
      <c r="T87" s="119">
        <v>54</v>
      </c>
      <c r="U87" s="119">
        <v>34</v>
      </c>
      <c r="V87" s="119">
        <v>101</v>
      </c>
      <c r="W87" s="145">
        <v>1125</v>
      </c>
      <c r="X87" s="141">
        <v>23296</v>
      </c>
      <c r="Y87" s="58">
        <v>11496</v>
      </c>
      <c r="Z87" s="88">
        <v>485</v>
      </c>
      <c r="AA87" s="88">
        <f>VLOOKUP(B87,'Renseanlæg 2021'!L:M,2,FALSE)</f>
        <v>6796301.3069340941</v>
      </c>
      <c r="AB87" s="145">
        <v>1</v>
      </c>
      <c r="AC87" s="141">
        <v>514</v>
      </c>
      <c r="AD87" s="119">
        <v>0</v>
      </c>
      <c r="AE87" s="145">
        <v>0</v>
      </c>
      <c r="AF87" s="141">
        <v>440</v>
      </c>
      <c r="AG87" s="119">
        <v>0</v>
      </c>
      <c r="AH87" s="58">
        <v>7.7</v>
      </c>
      <c r="AI87" s="88">
        <v>8713</v>
      </c>
      <c r="AJ87" s="58">
        <v>863042</v>
      </c>
      <c r="AK87" s="99" t="s">
        <v>316</v>
      </c>
      <c r="AL87" s="88">
        <v>10515</v>
      </c>
      <c r="AM87" s="73"/>
      <c r="AN87" s="117">
        <v>4559420.8517770935</v>
      </c>
      <c r="AO87" s="119">
        <v>33871032.433333337</v>
      </c>
      <c r="AP87" s="145">
        <v>122040</v>
      </c>
      <c r="AQ87" s="266"/>
    </row>
    <row r="88" spans="1:43" x14ac:dyDescent="0.25">
      <c r="A88" s="202" t="s">
        <v>187</v>
      </c>
      <c r="B88" s="202" t="s">
        <v>188</v>
      </c>
      <c r="C88" s="141">
        <f t="shared" si="19"/>
        <v>4381408.7026359998</v>
      </c>
      <c r="D88" s="119">
        <f t="shared" si="10"/>
        <v>7725450.097000001</v>
      </c>
      <c r="E88" s="119">
        <f t="shared" si="11"/>
        <v>403437.23770000006</v>
      </c>
      <c r="F88" s="119">
        <f t="shared" si="12"/>
        <v>259775.24000000002</v>
      </c>
      <c r="G88" s="119">
        <f t="shared" si="13"/>
        <v>11975102.789697081</v>
      </c>
      <c r="H88" s="119">
        <f t="shared" si="14"/>
        <v>54400.932999999997</v>
      </c>
      <c r="I88" s="119">
        <f t="shared" si="15"/>
        <v>2349445.3992799995</v>
      </c>
      <c r="J88" s="119">
        <f t="shared" si="16"/>
        <v>1779548.9971000003</v>
      </c>
      <c r="K88" s="119">
        <f t="shared" si="17"/>
        <v>1678290.6074322974</v>
      </c>
      <c r="L88" s="58">
        <f t="shared" si="18"/>
        <v>4984604.1283299234</v>
      </c>
      <c r="M88" s="147">
        <v>3.4549925502404516E-2</v>
      </c>
      <c r="N88" s="267">
        <v>419.1</v>
      </c>
      <c r="O88" s="268">
        <v>600.9</v>
      </c>
      <c r="P88" s="268">
        <v>35.200000000000003</v>
      </c>
      <c r="Q88" s="268">
        <v>0</v>
      </c>
      <c r="R88" s="269">
        <v>2.33</v>
      </c>
      <c r="S88" s="141">
        <v>293</v>
      </c>
      <c r="T88" s="119">
        <v>148</v>
      </c>
      <c r="U88" s="119">
        <v>162</v>
      </c>
      <c r="V88" s="119">
        <v>524</v>
      </c>
      <c r="W88" s="145">
        <v>6120</v>
      </c>
      <c r="X88" s="141">
        <v>69774</v>
      </c>
      <c r="Y88" s="58">
        <v>117991</v>
      </c>
      <c r="Z88" s="88">
        <v>42440</v>
      </c>
      <c r="AA88" s="88">
        <f>VLOOKUP(B88,'Renseanlæg 2021'!L:M,2,FALSE)</f>
        <v>11975102.789697081</v>
      </c>
      <c r="AB88" s="145">
        <v>19</v>
      </c>
      <c r="AC88" s="141">
        <v>2171</v>
      </c>
      <c r="AD88" s="119">
        <v>1178</v>
      </c>
      <c r="AE88" s="145">
        <v>62.64</v>
      </c>
      <c r="AF88" s="141">
        <v>1447</v>
      </c>
      <c r="AG88" s="119">
        <v>0</v>
      </c>
      <c r="AH88" s="58">
        <v>0</v>
      </c>
      <c r="AI88" s="88">
        <v>21418</v>
      </c>
      <c r="AJ88" s="58">
        <v>2687356</v>
      </c>
      <c r="AK88" s="99" t="s">
        <v>316</v>
      </c>
      <c r="AL88" s="88">
        <v>28522</v>
      </c>
      <c r="AM88" s="73"/>
      <c r="AN88" s="117">
        <v>12044797.356914774</v>
      </c>
      <c r="AO88" s="119">
        <v>93099185.966666669</v>
      </c>
      <c r="AP88" s="145">
        <v>3716346.6666666665</v>
      </c>
      <c r="AQ88" s="266"/>
    </row>
    <row r="89" spans="1:43" x14ac:dyDescent="0.25">
      <c r="A89" s="202" t="s">
        <v>189</v>
      </c>
      <c r="B89" s="202" t="s">
        <v>190</v>
      </c>
      <c r="C89" s="141">
        <f t="shared" si="19"/>
        <v>3644533.7982569998</v>
      </c>
      <c r="D89" s="119">
        <f t="shared" si="10"/>
        <v>7258480.0512000006</v>
      </c>
      <c r="E89" s="119">
        <f t="shared" si="11"/>
        <v>513670.07079999999</v>
      </c>
      <c r="F89" s="119">
        <f t="shared" si="12"/>
        <v>93883.898000000001</v>
      </c>
      <c r="G89" s="119">
        <f t="shared" si="13"/>
        <v>7227551.5566670895</v>
      </c>
      <c r="H89" s="119">
        <f t="shared" si="14"/>
        <v>186108.45499999999</v>
      </c>
      <c r="I89" s="119">
        <f t="shared" si="15"/>
        <v>916246.77980000013</v>
      </c>
      <c r="J89" s="119">
        <f t="shared" si="16"/>
        <v>973722.11310000008</v>
      </c>
      <c r="K89" s="119">
        <f t="shared" si="17"/>
        <v>1549465.3150471596</v>
      </c>
      <c r="L89" s="58">
        <f t="shared" si="18"/>
        <v>3111769.5487179402</v>
      </c>
      <c r="M89" s="147">
        <v>2.5722961924783929E-2</v>
      </c>
      <c r="N89" s="267">
        <v>566.66999999999996</v>
      </c>
      <c r="O89" s="268">
        <v>461.77</v>
      </c>
      <c r="P89" s="268">
        <v>0</v>
      </c>
      <c r="Q89" s="268">
        <v>0</v>
      </c>
      <c r="R89" s="269">
        <v>2.2599999999999998</v>
      </c>
      <c r="S89" s="141">
        <v>72</v>
      </c>
      <c r="T89" s="119">
        <v>61</v>
      </c>
      <c r="U89" s="119">
        <v>75</v>
      </c>
      <c r="V89" s="119">
        <v>13980</v>
      </c>
      <c r="W89" s="145">
        <v>1000</v>
      </c>
      <c r="X89" s="141">
        <v>75414</v>
      </c>
      <c r="Y89" s="58">
        <v>158104</v>
      </c>
      <c r="Z89" s="88">
        <v>15338</v>
      </c>
      <c r="AA89" s="88">
        <f>VLOOKUP(B89,'Renseanlæg 2021'!L:M,2,FALSE)</f>
        <v>7227551.5566670895</v>
      </c>
      <c r="AB89" s="145">
        <v>65</v>
      </c>
      <c r="AC89" s="141">
        <v>639</v>
      </c>
      <c r="AD89" s="119">
        <v>0</v>
      </c>
      <c r="AE89" s="145">
        <v>0</v>
      </c>
      <c r="AF89" s="141">
        <v>639</v>
      </c>
      <c r="AG89" s="119">
        <v>0</v>
      </c>
      <c r="AH89" s="58">
        <v>0</v>
      </c>
      <c r="AI89" s="88">
        <v>17490</v>
      </c>
      <c r="AJ89" s="58">
        <v>1665739</v>
      </c>
      <c r="AK89" s="99" t="s">
        <v>316</v>
      </c>
      <c r="AL89" s="88">
        <v>22024</v>
      </c>
      <c r="AM89" s="73"/>
      <c r="AN89" s="117">
        <v>6118269.221702314</v>
      </c>
      <c r="AO89" s="119">
        <v>72591613.553333327</v>
      </c>
      <c r="AP89" s="145">
        <v>1907465.3271337028</v>
      </c>
      <c r="AQ89" s="266"/>
    </row>
    <row r="90" spans="1:43" x14ac:dyDescent="0.25">
      <c r="A90" s="202" t="s">
        <v>191</v>
      </c>
      <c r="B90" s="202" t="s">
        <v>192</v>
      </c>
      <c r="C90" s="141">
        <f t="shared" si="19"/>
        <v>7057200.4886679994</v>
      </c>
      <c r="D90" s="119">
        <f t="shared" si="10"/>
        <v>21236769.798900001</v>
      </c>
      <c r="E90" s="119">
        <f t="shared" si="11"/>
        <v>395706.03500000003</v>
      </c>
      <c r="F90" s="119">
        <f t="shared" si="12"/>
        <v>131105.69900000002</v>
      </c>
      <c r="G90" s="119">
        <f t="shared" si="13"/>
        <v>11755737.562145719</v>
      </c>
      <c r="H90" s="119">
        <f t="shared" si="14"/>
        <v>128844.31499999999</v>
      </c>
      <c r="I90" s="119">
        <f t="shared" si="15"/>
        <v>1219407.4922000002</v>
      </c>
      <c r="J90" s="119">
        <f t="shared" si="16"/>
        <v>2062785.1791000003</v>
      </c>
      <c r="K90" s="119">
        <f t="shared" si="17"/>
        <v>2013715.9513249649</v>
      </c>
      <c r="L90" s="58">
        <f t="shared" si="18"/>
        <v>6106745.49463192</v>
      </c>
      <c r="M90" s="147">
        <v>3.1015025206761342E-2</v>
      </c>
      <c r="N90" s="267">
        <v>569.97</v>
      </c>
      <c r="O90" s="268">
        <v>1215.6099999999999</v>
      </c>
      <c r="P90" s="268">
        <v>8.43</v>
      </c>
      <c r="Q90" s="268">
        <v>0</v>
      </c>
      <c r="R90" s="269">
        <v>4.08</v>
      </c>
      <c r="S90" s="141">
        <v>11</v>
      </c>
      <c r="T90" s="119">
        <v>488</v>
      </c>
      <c r="U90" s="119">
        <v>147</v>
      </c>
      <c r="V90" s="119">
        <v>20669</v>
      </c>
      <c r="W90" s="145">
        <v>27215</v>
      </c>
      <c r="X90" s="141">
        <v>83969</v>
      </c>
      <c r="Y90" s="58">
        <v>106620</v>
      </c>
      <c r="Z90" s="88">
        <v>21419</v>
      </c>
      <c r="AA90" s="88">
        <f>VLOOKUP(B90,'Renseanlæg 2021'!L:M,2,FALSE)</f>
        <v>11755737.562145719</v>
      </c>
      <c r="AB90" s="145">
        <v>45</v>
      </c>
      <c r="AC90" s="141">
        <v>1731</v>
      </c>
      <c r="AD90" s="119">
        <v>0</v>
      </c>
      <c r="AE90" s="145">
        <v>0</v>
      </c>
      <c r="AF90" s="141">
        <v>1731</v>
      </c>
      <c r="AG90" s="119">
        <v>0</v>
      </c>
      <c r="AH90" s="58">
        <v>0</v>
      </c>
      <c r="AI90" s="88">
        <v>34003</v>
      </c>
      <c r="AJ90" s="58">
        <v>3302464</v>
      </c>
      <c r="AK90" s="99" t="s">
        <v>316</v>
      </c>
      <c r="AL90" s="88">
        <v>37651</v>
      </c>
      <c r="AM90" s="73"/>
      <c r="AN90" s="117">
        <v>12715438.246780626</v>
      </c>
      <c r="AO90" s="119">
        <v>120617896.93557645</v>
      </c>
      <c r="AP90" s="145">
        <v>7097986.666666667</v>
      </c>
      <c r="AQ90" s="266"/>
    </row>
    <row r="91" spans="1:43" x14ac:dyDescent="0.25">
      <c r="A91" s="202" t="s">
        <v>193</v>
      </c>
      <c r="B91" s="202" t="s">
        <v>194</v>
      </c>
      <c r="C91" s="141">
        <f t="shared" si="19"/>
        <v>0</v>
      </c>
      <c r="D91" s="119">
        <f t="shared" si="10"/>
        <v>0</v>
      </c>
      <c r="E91" s="119">
        <f t="shared" si="11"/>
        <v>0</v>
      </c>
      <c r="F91" s="119">
        <f t="shared" si="12"/>
        <v>0</v>
      </c>
      <c r="G91" s="119">
        <f t="shared" si="13"/>
        <v>20348651.631561764</v>
      </c>
      <c r="H91" s="119">
        <f t="shared" si="14"/>
        <v>0</v>
      </c>
      <c r="I91" s="119">
        <f t="shared" si="15"/>
        <v>2439284.0891300002</v>
      </c>
      <c r="J91" s="119">
        <f t="shared" si="16"/>
        <v>2838815.7180999997</v>
      </c>
      <c r="K91" s="119">
        <f t="shared" si="17"/>
        <v>127517.23751609342</v>
      </c>
      <c r="L91" s="58">
        <f t="shared" si="18"/>
        <v>2242568.2696565655</v>
      </c>
      <c r="M91" s="147">
        <v>0</v>
      </c>
      <c r="N91" s="267">
        <v>0</v>
      </c>
      <c r="O91" s="268">
        <v>0</v>
      </c>
      <c r="P91" s="268">
        <v>0</v>
      </c>
      <c r="Q91" s="268">
        <v>0</v>
      </c>
      <c r="R91" s="269">
        <v>0</v>
      </c>
      <c r="S91" s="141">
        <v>0</v>
      </c>
      <c r="T91" s="119">
        <v>0</v>
      </c>
      <c r="U91" s="119">
        <v>0</v>
      </c>
      <c r="V91" s="119">
        <v>0</v>
      </c>
      <c r="W91" s="145">
        <v>0</v>
      </c>
      <c r="X91" s="141">
        <v>0</v>
      </c>
      <c r="Y91" s="58">
        <v>0</v>
      </c>
      <c r="Z91" s="88">
        <v>0</v>
      </c>
      <c r="AA91" s="88">
        <f>VLOOKUP(B91,'Renseanlæg 2021'!L:M,2,FALSE)</f>
        <v>20348651.631561764</v>
      </c>
      <c r="AB91" s="145">
        <v>0</v>
      </c>
      <c r="AC91" s="141">
        <v>1006.3</v>
      </c>
      <c r="AD91" s="119">
        <v>1852.05</v>
      </c>
      <c r="AE91" s="145">
        <v>0</v>
      </c>
      <c r="AF91" s="141">
        <v>1961</v>
      </c>
      <c r="AG91" s="119">
        <v>0</v>
      </c>
      <c r="AH91" s="58">
        <v>280</v>
      </c>
      <c r="AI91" s="88">
        <v>31</v>
      </c>
      <c r="AJ91" s="58">
        <v>2575959</v>
      </c>
      <c r="AK91" s="99" t="s">
        <v>317</v>
      </c>
      <c r="AL91" s="88">
        <v>15</v>
      </c>
      <c r="AM91" s="73"/>
      <c r="AN91" s="117">
        <v>26418896.314856905</v>
      </c>
      <c r="AO91" s="119">
        <v>0</v>
      </c>
      <c r="AP91" s="145">
        <v>2886600.0000000005</v>
      </c>
      <c r="AQ91" s="266"/>
    </row>
    <row r="92" spans="1:43" x14ac:dyDescent="0.25">
      <c r="A92" s="202" t="s">
        <v>195</v>
      </c>
      <c r="B92" s="202" t="s">
        <v>196</v>
      </c>
      <c r="C92" s="141">
        <f t="shared" si="19"/>
        <v>3373091.8107869998</v>
      </c>
      <c r="D92" s="119">
        <f t="shared" si="10"/>
        <v>5917800.8857999993</v>
      </c>
      <c r="E92" s="119">
        <f t="shared" si="11"/>
        <v>162753.2205</v>
      </c>
      <c r="F92" s="119">
        <f t="shared" si="12"/>
        <v>118116.93700000001</v>
      </c>
      <c r="G92" s="119">
        <f t="shared" si="13"/>
        <v>0</v>
      </c>
      <c r="H92" s="119">
        <f t="shared" si="14"/>
        <v>0</v>
      </c>
      <c r="I92" s="119">
        <f t="shared" si="15"/>
        <v>0</v>
      </c>
      <c r="J92" s="119">
        <f t="shared" si="16"/>
        <v>0</v>
      </c>
      <c r="K92" s="119">
        <f t="shared" si="17"/>
        <v>1528789.0755480716</v>
      </c>
      <c r="L92" s="58">
        <f t="shared" si="18"/>
        <v>2654983.6597309923</v>
      </c>
      <c r="M92" s="147">
        <v>2.7438716444582567E-2</v>
      </c>
      <c r="N92" s="267">
        <v>431.07</v>
      </c>
      <c r="O92" s="268">
        <v>584.88</v>
      </c>
      <c r="P92" s="268">
        <v>14.39</v>
      </c>
      <c r="Q92" s="268">
        <v>0</v>
      </c>
      <c r="R92" s="269">
        <v>0</v>
      </c>
      <c r="S92" s="141">
        <v>68</v>
      </c>
      <c r="T92" s="119">
        <v>150</v>
      </c>
      <c r="U92" s="119">
        <v>103</v>
      </c>
      <c r="V92" s="119">
        <v>3505</v>
      </c>
      <c r="W92" s="145">
        <v>2590</v>
      </c>
      <c r="X92" s="141">
        <v>40619</v>
      </c>
      <c r="Y92" s="58">
        <v>40285</v>
      </c>
      <c r="Z92" s="88">
        <v>19297</v>
      </c>
      <c r="AA92" s="88">
        <f>VLOOKUP(B92,'Renseanlæg 2021'!L:M,2,FALSE)</f>
        <v>0</v>
      </c>
      <c r="AB92" s="145">
        <v>0</v>
      </c>
      <c r="AC92" s="141">
        <v>0</v>
      </c>
      <c r="AD92" s="119">
        <v>0</v>
      </c>
      <c r="AE92" s="145">
        <v>0</v>
      </c>
      <c r="AF92" s="141">
        <v>0</v>
      </c>
      <c r="AG92" s="119">
        <v>0</v>
      </c>
      <c r="AH92" s="58">
        <v>0</v>
      </c>
      <c r="AI92" s="88">
        <v>16904</v>
      </c>
      <c r="AJ92" s="58">
        <v>1931111</v>
      </c>
      <c r="AK92" s="99" t="s">
        <v>315</v>
      </c>
      <c r="AL92" s="88">
        <v>21189</v>
      </c>
      <c r="AM92" s="73"/>
      <c r="AN92" s="117">
        <v>0</v>
      </c>
      <c r="AO92" s="119">
        <v>93660719.323333308</v>
      </c>
      <c r="AP92" s="145">
        <v>2287546.6666666665</v>
      </c>
      <c r="AQ92" s="266"/>
    </row>
    <row r="93" spans="1:43" x14ac:dyDescent="0.25">
      <c r="A93" s="202" t="s">
        <v>197</v>
      </c>
      <c r="B93" s="202" t="s">
        <v>198</v>
      </c>
      <c r="C93" s="141">
        <f t="shared" si="19"/>
        <v>3055883.1688999999</v>
      </c>
      <c r="D93" s="119">
        <f t="shared" si="10"/>
        <v>6069031.6009999998</v>
      </c>
      <c r="E93" s="119">
        <f t="shared" si="11"/>
        <v>349106.0428</v>
      </c>
      <c r="F93" s="119">
        <f t="shared" si="12"/>
        <v>41377.960000000006</v>
      </c>
      <c r="G93" s="119">
        <f t="shared" si="13"/>
        <v>10412787.471743852</v>
      </c>
      <c r="H93" s="119">
        <f t="shared" si="14"/>
        <v>8589.6209999999992</v>
      </c>
      <c r="I93" s="119">
        <f t="shared" si="15"/>
        <v>2352786.8427999998</v>
      </c>
      <c r="J93" s="119">
        <f t="shared" si="16"/>
        <v>1189141.1811000002</v>
      </c>
      <c r="K93" s="119">
        <f t="shared" si="17"/>
        <v>1641885.7492077008</v>
      </c>
      <c r="L93" s="58">
        <f t="shared" si="18"/>
        <v>3250166.9348016246</v>
      </c>
      <c r="M93" s="147">
        <v>2.882788051209104E-2</v>
      </c>
      <c r="N93" s="267">
        <v>394</v>
      </c>
      <c r="O93" s="268">
        <v>507</v>
      </c>
      <c r="P93" s="268">
        <v>0</v>
      </c>
      <c r="Q93" s="268">
        <v>0</v>
      </c>
      <c r="R93" s="269">
        <v>1</v>
      </c>
      <c r="S93" s="141">
        <v>0</v>
      </c>
      <c r="T93" s="119">
        <v>400</v>
      </c>
      <c r="U93" s="119">
        <v>70</v>
      </c>
      <c r="V93" s="119">
        <v>0</v>
      </c>
      <c r="W93" s="145">
        <v>0</v>
      </c>
      <c r="X93" s="141">
        <v>101377</v>
      </c>
      <c r="Y93" s="58">
        <v>78054</v>
      </c>
      <c r="Z93" s="88">
        <v>6760</v>
      </c>
      <c r="AA93" s="88">
        <f>VLOOKUP(B93,'Renseanlæg 2021'!L:M,2,FALSE)</f>
        <v>10412787.471743852</v>
      </c>
      <c r="AB93" s="145">
        <v>3</v>
      </c>
      <c r="AC93" s="141">
        <v>1214</v>
      </c>
      <c r="AD93" s="119">
        <v>0</v>
      </c>
      <c r="AE93" s="145">
        <v>769</v>
      </c>
      <c r="AF93" s="141">
        <v>855</v>
      </c>
      <c r="AG93" s="119">
        <v>0</v>
      </c>
      <c r="AH93" s="58">
        <v>0</v>
      </c>
      <c r="AI93" s="88">
        <v>20259</v>
      </c>
      <c r="AJ93" s="58">
        <v>1740969</v>
      </c>
      <c r="AK93" s="99" t="s">
        <v>316</v>
      </c>
      <c r="AL93" s="88">
        <v>20266</v>
      </c>
      <c r="AM93" s="73"/>
      <c r="AN93" s="117">
        <v>8100401.6652607638</v>
      </c>
      <c r="AO93" s="119">
        <v>106973875.28755043</v>
      </c>
      <c r="AP93" s="145">
        <v>1736520</v>
      </c>
      <c r="AQ93" s="266"/>
    </row>
    <row r="94" spans="1:43" x14ac:dyDescent="0.25">
      <c r="A94" s="202" t="s">
        <v>199</v>
      </c>
      <c r="B94" s="202" t="s">
        <v>200</v>
      </c>
      <c r="C94" s="141">
        <f t="shared" si="19"/>
        <v>2047100.2858000002</v>
      </c>
      <c r="D94" s="119">
        <f t="shared" si="10"/>
        <v>3570341.7834999999</v>
      </c>
      <c r="E94" s="119">
        <f t="shared" si="11"/>
        <v>125696.11439999999</v>
      </c>
      <c r="F94" s="119">
        <f t="shared" si="12"/>
        <v>80185.100000000006</v>
      </c>
      <c r="G94" s="119">
        <f t="shared" si="13"/>
        <v>5950636.2673489321</v>
      </c>
      <c r="H94" s="119">
        <f t="shared" si="14"/>
        <v>0</v>
      </c>
      <c r="I94" s="119">
        <f t="shared" si="15"/>
        <v>1070603.3330000001</v>
      </c>
      <c r="J94" s="119">
        <f t="shared" si="16"/>
        <v>1528226.7511</v>
      </c>
      <c r="K94" s="119">
        <f t="shared" si="17"/>
        <v>1227823.5061914157</v>
      </c>
      <c r="L94" s="58">
        <f t="shared" si="18"/>
        <v>3714167.249781122</v>
      </c>
      <c r="M94" s="147">
        <v>5.632549019607843E-2</v>
      </c>
      <c r="N94" s="267">
        <v>20</v>
      </c>
      <c r="O94" s="268">
        <v>201</v>
      </c>
      <c r="P94" s="268">
        <v>45</v>
      </c>
      <c r="Q94" s="268">
        <v>0</v>
      </c>
      <c r="R94" s="269">
        <v>2</v>
      </c>
      <c r="S94" s="141">
        <v>0</v>
      </c>
      <c r="T94" s="119">
        <v>19</v>
      </c>
      <c r="U94" s="119">
        <v>40</v>
      </c>
      <c r="V94" s="119">
        <v>2542</v>
      </c>
      <c r="W94" s="145">
        <v>7580</v>
      </c>
      <c r="X94" s="141">
        <v>0</v>
      </c>
      <c r="Y94" s="58">
        <v>49512</v>
      </c>
      <c r="Z94" s="88">
        <v>13100</v>
      </c>
      <c r="AA94" s="88">
        <f>VLOOKUP(B94,'Renseanlæg 2021'!L:M,2,FALSE)</f>
        <v>5950636.2673489321</v>
      </c>
      <c r="AB94" s="145">
        <v>0</v>
      </c>
      <c r="AC94" s="141">
        <v>1195</v>
      </c>
      <c r="AD94" s="119">
        <v>0</v>
      </c>
      <c r="AE94" s="145">
        <v>0</v>
      </c>
      <c r="AF94" s="141">
        <v>1195</v>
      </c>
      <c r="AG94" s="119">
        <v>0</v>
      </c>
      <c r="AH94" s="58">
        <v>0</v>
      </c>
      <c r="AI94" s="88">
        <v>9693</v>
      </c>
      <c r="AJ94" s="58">
        <v>1993533</v>
      </c>
      <c r="AK94" s="99" t="s">
        <v>316</v>
      </c>
      <c r="AL94" s="88">
        <v>14363</v>
      </c>
      <c r="AM94" s="73"/>
      <c r="AN94" s="117">
        <v>8021087.6761179212</v>
      </c>
      <c r="AO94" s="119">
        <v>38892885.220133334</v>
      </c>
      <c r="AP94" s="145">
        <v>1318130.9333333333</v>
      </c>
      <c r="AQ94" s="266"/>
    </row>
    <row r="95" spans="1:43" x14ac:dyDescent="0.25">
      <c r="A95" s="202" t="s">
        <v>201</v>
      </c>
      <c r="B95" s="202" t="s">
        <v>202</v>
      </c>
      <c r="C95" s="141">
        <f t="shared" si="19"/>
        <v>15952849.798848998</v>
      </c>
      <c r="D95" s="119">
        <f t="shared" si="10"/>
        <v>16818134.029800002</v>
      </c>
      <c r="E95" s="119">
        <f t="shared" si="11"/>
        <v>1988936.4664</v>
      </c>
      <c r="F95" s="119">
        <f t="shared" si="12"/>
        <v>252136.23200000002</v>
      </c>
      <c r="G95" s="119">
        <f t="shared" si="13"/>
        <v>35947880.298650347</v>
      </c>
      <c r="H95" s="119">
        <f t="shared" si="14"/>
        <v>343584.83999999997</v>
      </c>
      <c r="I95" s="119">
        <f t="shared" si="15"/>
        <v>7863291.3134000003</v>
      </c>
      <c r="J95" s="119">
        <f t="shared" si="16"/>
        <v>14551987.420299999</v>
      </c>
      <c r="K95" s="119">
        <f t="shared" si="17"/>
        <v>2831694.3806795874</v>
      </c>
      <c r="L95" s="58">
        <f t="shared" si="18"/>
        <v>20414558.419358127</v>
      </c>
      <c r="M95" s="147">
        <v>6.5544664484593812E-2</v>
      </c>
      <c r="N95" s="267">
        <v>939.45</v>
      </c>
      <c r="O95" s="268">
        <v>1731.62</v>
      </c>
      <c r="P95" s="268">
        <v>179.33</v>
      </c>
      <c r="Q95" s="268">
        <v>93.92</v>
      </c>
      <c r="R95" s="269">
        <v>11.23</v>
      </c>
      <c r="S95" s="141">
        <v>2337</v>
      </c>
      <c r="T95" s="119">
        <v>68</v>
      </c>
      <c r="U95" s="119">
        <v>220</v>
      </c>
      <c r="V95" s="119">
        <v>11854</v>
      </c>
      <c r="W95" s="145">
        <v>2464</v>
      </c>
      <c r="X95" s="141">
        <v>269922</v>
      </c>
      <c r="Y95" s="58">
        <v>625132</v>
      </c>
      <c r="Z95" s="88">
        <v>41192</v>
      </c>
      <c r="AA95" s="88">
        <f>VLOOKUP(B95,'Renseanlæg 2021'!L:M,2,FALSE)</f>
        <v>35947880.298650347</v>
      </c>
      <c r="AB95" s="145">
        <v>120</v>
      </c>
      <c r="AC95" s="141">
        <v>567</v>
      </c>
      <c r="AD95" s="119">
        <v>9080</v>
      </c>
      <c r="AE95" s="145">
        <v>0</v>
      </c>
      <c r="AF95" s="141">
        <v>567</v>
      </c>
      <c r="AG95" s="119">
        <v>4634</v>
      </c>
      <c r="AH95" s="58">
        <v>0</v>
      </c>
      <c r="AI95" s="88">
        <v>80739</v>
      </c>
      <c r="AJ95" s="58">
        <v>11243355</v>
      </c>
      <c r="AK95" s="99" t="s">
        <v>316</v>
      </c>
      <c r="AL95" s="88">
        <v>150990</v>
      </c>
      <c r="AM95" s="73"/>
      <c r="AN95" s="117">
        <v>52849675.511830628</v>
      </c>
      <c r="AO95" s="119">
        <v>269598480.86666667</v>
      </c>
      <c r="AP95" s="145">
        <v>10949440</v>
      </c>
      <c r="AQ95" s="266"/>
    </row>
    <row r="96" spans="1:43" x14ac:dyDescent="0.25">
      <c r="A96" s="202" t="s">
        <v>203</v>
      </c>
      <c r="B96" s="202" t="s">
        <v>204</v>
      </c>
      <c r="C96" s="141">
        <f t="shared" si="19"/>
        <v>0</v>
      </c>
      <c r="D96" s="119">
        <f t="shared" si="10"/>
        <v>0</v>
      </c>
      <c r="E96" s="119">
        <f t="shared" si="11"/>
        <v>0</v>
      </c>
      <c r="F96" s="119">
        <f t="shared" si="12"/>
        <v>0</v>
      </c>
      <c r="G96" s="119">
        <f t="shared" si="13"/>
        <v>9462296.1674089562</v>
      </c>
      <c r="H96" s="119">
        <f t="shared" si="14"/>
        <v>0</v>
      </c>
      <c r="I96" s="119">
        <f t="shared" si="15"/>
        <v>1088543.8395000002</v>
      </c>
      <c r="J96" s="119">
        <f t="shared" si="16"/>
        <v>1678220.4767</v>
      </c>
      <c r="K96" s="119">
        <f t="shared" si="17"/>
        <v>1200751.9809086497</v>
      </c>
      <c r="L96" s="58">
        <f t="shared" si="18"/>
        <v>1942418.2133891892</v>
      </c>
      <c r="M96" s="147">
        <v>0</v>
      </c>
      <c r="N96" s="267">
        <v>0</v>
      </c>
      <c r="O96" s="268">
        <v>0</v>
      </c>
      <c r="P96" s="268">
        <v>0</v>
      </c>
      <c r="Q96" s="268">
        <v>0</v>
      </c>
      <c r="R96" s="269">
        <v>0</v>
      </c>
      <c r="S96" s="141">
        <v>0</v>
      </c>
      <c r="T96" s="119">
        <v>0</v>
      </c>
      <c r="U96" s="119">
        <v>0</v>
      </c>
      <c r="V96" s="119">
        <v>0</v>
      </c>
      <c r="W96" s="145">
        <v>0</v>
      </c>
      <c r="X96" s="141">
        <v>0</v>
      </c>
      <c r="Y96" s="58">
        <v>0</v>
      </c>
      <c r="Z96" s="88">
        <v>0</v>
      </c>
      <c r="AA96" s="88">
        <f>VLOOKUP(B96,'Renseanlæg 2021'!L:M,2,FALSE)</f>
        <v>9462296.1674089562</v>
      </c>
      <c r="AB96" s="145">
        <v>0</v>
      </c>
      <c r="AC96" s="141">
        <v>1140</v>
      </c>
      <c r="AD96" s="119">
        <v>0</v>
      </c>
      <c r="AE96" s="145">
        <v>20</v>
      </c>
      <c r="AF96" s="141">
        <v>711</v>
      </c>
      <c r="AG96" s="119">
        <v>122</v>
      </c>
      <c r="AH96" s="58">
        <v>140</v>
      </c>
      <c r="AI96" s="88">
        <v>9160</v>
      </c>
      <c r="AJ96" s="58">
        <v>2073971</v>
      </c>
      <c r="AK96" s="99" t="s">
        <v>317</v>
      </c>
      <c r="AL96" s="88">
        <v>17857</v>
      </c>
      <c r="AM96" s="73"/>
      <c r="AN96" s="117">
        <v>8749715.6152046323</v>
      </c>
      <c r="AO96" s="119">
        <v>0</v>
      </c>
      <c r="AP96" s="145">
        <v>3391094.471856195</v>
      </c>
      <c r="AQ96" s="266"/>
    </row>
    <row r="97" spans="1:43" x14ac:dyDescent="0.25">
      <c r="A97" s="202" t="s">
        <v>205</v>
      </c>
      <c r="B97" s="202" t="s">
        <v>206</v>
      </c>
      <c r="C97" s="141">
        <f t="shared" si="19"/>
        <v>3343796.4662879999</v>
      </c>
      <c r="D97" s="119">
        <f t="shared" si="10"/>
        <v>3164755.3580000005</v>
      </c>
      <c r="E97" s="119">
        <f t="shared" si="11"/>
        <v>380297.8996</v>
      </c>
      <c r="F97" s="119">
        <f t="shared" si="12"/>
        <v>228490.80900000001</v>
      </c>
      <c r="G97" s="119">
        <f t="shared" si="13"/>
        <v>0</v>
      </c>
      <c r="H97" s="119">
        <f t="shared" si="14"/>
        <v>0</v>
      </c>
      <c r="I97" s="119">
        <f t="shared" si="15"/>
        <v>0</v>
      </c>
      <c r="J97" s="119">
        <f t="shared" si="16"/>
        <v>0</v>
      </c>
      <c r="K97" s="119">
        <f t="shared" si="17"/>
        <v>1200751.9809086497</v>
      </c>
      <c r="L97" s="58">
        <f t="shared" si="18"/>
        <v>2530178.0518787778</v>
      </c>
      <c r="M97" s="147">
        <v>2.6810702059936339E-2</v>
      </c>
      <c r="N97" s="267">
        <v>316</v>
      </c>
      <c r="O97" s="268">
        <v>632</v>
      </c>
      <c r="P97" s="268">
        <v>0</v>
      </c>
      <c r="Q97" s="268">
        <v>0</v>
      </c>
      <c r="R97" s="269">
        <v>1.04</v>
      </c>
      <c r="S97" s="141">
        <v>186</v>
      </c>
      <c r="T97" s="119">
        <v>6</v>
      </c>
      <c r="U97" s="119">
        <v>78</v>
      </c>
      <c r="V97" s="119">
        <v>2384</v>
      </c>
      <c r="W97" s="145">
        <v>0</v>
      </c>
      <c r="X97" s="141">
        <v>61468</v>
      </c>
      <c r="Y97" s="58">
        <v>113748</v>
      </c>
      <c r="Z97" s="88">
        <v>37329</v>
      </c>
      <c r="AA97" s="88">
        <f>VLOOKUP(B97,'Renseanlæg 2021'!L:M,2,FALSE)</f>
        <v>0</v>
      </c>
      <c r="AB97" s="145">
        <v>0</v>
      </c>
      <c r="AC97" s="141">
        <v>0</v>
      </c>
      <c r="AD97" s="119">
        <v>0</v>
      </c>
      <c r="AE97" s="145">
        <v>0</v>
      </c>
      <c r="AF97" s="141">
        <v>0</v>
      </c>
      <c r="AG97" s="119">
        <v>0</v>
      </c>
      <c r="AH97" s="58">
        <v>0</v>
      </c>
      <c r="AI97" s="88">
        <v>9160</v>
      </c>
      <c r="AJ97" s="58">
        <v>1845332</v>
      </c>
      <c r="AK97" s="99" t="s">
        <v>315</v>
      </c>
      <c r="AL97" s="88">
        <v>17857</v>
      </c>
      <c r="AM97" s="73"/>
      <c r="AN97" s="117">
        <v>0</v>
      </c>
      <c r="AO97" s="119">
        <v>82296529.69751744</v>
      </c>
      <c r="AP97" s="145">
        <v>2607706.6666666665</v>
      </c>
      <c r="AQ97" s="266"/>
    </row>
    <row r="98" spans="1:43" x14ac:dyDescent="0.25">
      <c r="A98" s="202" t="s">
        <v>207</v>
      </c>
      <c r="B98" s="202" t="s">
        <v>208</v>
      </c>
      <c r="C98" s="141">
        <f t="shared" si="19"/>
        <v>9967554.603379</v>
      </c>
      <c r="D98" s="119">
        <f t="shared" si="10"/>
        <v>10053124.751600001</v>
      </c>
      <c r="E98" s="119">
        <f t="shared" si="11"/>
        <v>1848605.1878</v>
      </c>
      <c r="F98" s="119">
        <f t="shared" si="12"/>
        <v>240647.11500000002</v>
      </c>
      <c r="G98" s="119">
        <f t="shared" si="13"/>
        <v>22076046.153175965</v>
      </c>
      <c r="H98" s="119">
        <f t="shared" si="14"/>
        <v>297773.52799999999</v>
      </c>
      <c r="I98" s="119">
        <f t="shared" si="15"/>
        <v>2116454.1435000002</v>
      </c>
      <c r="J98" s="119">
        <f t="shared" si="16"/>
        <v>2849663.1636000001</v>
      </c>
      <c r="K98" s="119">
        <f t="shared" si="17"/>
        <v>2054538.8209773349</v>
      </c>
      <c r="L98" s="58">
        <f t="shared" si="18"/>
        <v>9817316.7128465194</v>
      </c>
      <c r="M98" s="147">
        <v>3.5628839314581315E-2</v>
      </c>
      <c r="N98" s="267">
        <v>636.47</v>
      </c>
      <c r="O98" s="268">
        <v>1556.37</v>
      </c>
      <c r="P98" s="268">
        <v>98.44</v>
      </c>
      <c r="Q98" s="268">
        <v>0</v>
      </c>
      <c r="R98" s="269">
        <v>4.43</v>
      </c>
      <c r="S98" s="141">
        <v>596</v>
      </c>
      <c r="T98" s="119">
        <v>262</v>
      </c>
      <c r="U98" s="119">
        <v>157</v>
      </c>
      <c r="V98" s="119">
        <v>625</v>
      </c>
      <c r="W98" s="145">
        <v>7430</v>
      </c>
      <c r="X98" s="141">
        <v>317953</v>
      </c>
      <c r="Y98" s="58">
        <v>541684</v>
      </c>
      <c r="Z98" s="88">
        <v>39315</v>
      </c>
      <c r="AA98" s="88">
        <f>VLOOKUP(B98,'Renseanlæg 2021'!L:M,2,FALSE)</f>
        <v>22076046.153175965</v>
      </c>
      <c r="AB98" s="145">
        <v>104</v>
      </c>
      <c r="AC98" s="141">
        <v>805</v>
      </c>
      <c r="AD98" s="119">
        <v>1431</v>
      </c>
      <c r="AE98" s="145">
        <v>33.799999999999997</v>
      </c>
      <c r="AF98" s="141">
        <v>2520</v>
      </c>
      <c r="AG98" s="119">
        <v>0</v>
      </c>
      <c r="AH98" s="58">
        <v>0</v>
      </c>
      <c r="AI98" s="88">
        <v>35779</v>
      </c>
      <c r="AJ98" s="58">
        <v>5347363</v>
      </c>
      <c r="AK98" s="99" t="s">
        <v>316</v>
      </c>
      <c r="AL98" s="88">
        <v>56202</v>
      </c>
      <c r="AM98" s="48"/>
      <c r="AN98" s="117">
        <v>20535206.480643976</v>
      </c>
      <c r="AO98" s="119">
        <v>214908987.87833339</v>
      </c>
      <c r="AP98" s="145">
        <v>3407652.1054972992</v>
      </c>
      <c r="AQ98" s="266"/>
    </row>
    <row r="99" spans="1:43" x14ac:dyDescent="0.25">
      <c r="A99" s="202" t="s">
        <v>209</v>
      </c>
      <c r="B99" s="202" t="s">
        <v>210</v>
      </c>
      <c r="C99" s="141">
        <f t="shared" si="19"/>
        <v>7710546.3605010007</v>
      </c>
      <c r="D99" s="119">
        <f t="shared" si="10"/>
        <v>10141101.801200001</v>
      </c>
      <c r="E99" s="119">
        <f t="shared" si="11"/>
        <v>1042189.2276999999</v>
      </c>
      <c r="F99" s="119">
        <f t="shared" si="12"/>
        <v>73660.114000000001</v>
      </c>
      <c r="G99" s="119">
        <f t="shared" si="13"/>
        <v>15480319.866517304</v>
      </c>
      <c r="H99" s="119">
        <f t="shared" si="14"/>
        <v>0</v>
      </c>
      <c r="I99" s="119">
        <f t="shared" si="15"/>
        <v>2503624.9114999999</v>
      </c>
      <c r="J99" s="119">
        <f t="shared" si="16"/>
        <v>2156382.3376000002</v>
      </c>
      <c r="K99" s="119">
        <f t="shared" si="17"/>
        <v>1681190.3293574252</v>
      </c>
      <c r="L99" s="58">
        <f t="shared" si="18"/>
        <v>6695751.9273078488</v>
      </c>
      <c r="M99" s="147">
        <v>2.4359714093943934E-2</v>
      </c>
      <c r="N99" s="267">
        <v>383</v>
      </c>
      <c r="O99" s="268">
        <v>877.14</v>
      </c>
      <c r="P99" s="268">
        <v>69.349999999999994</v>
      </c>
      <c r="Q99" s="268">
        <v>0</v>
      </c>
      <c r="R99" s="269">
        <v>9</v>
      </c>
      <c r="S99" s="141">
        <v>138</v>
      </c>
      <c r="T99" s="119">
        <v>59</v>
      </c>
      <c r="U99" s="119">
        <v>286</v>
      </c>
      <c r="V99" s="119">
        <v>4915</v>
      </c>
      <c r="W99" s="145">
        <v>4142</v>
      </c>
      <c r="X99" s="141">
        <v>127378</v>
      </c>
      <c r="Y99" s="58">
        <v>335811</v>
      </c>
      <c r="Z99" s="88">
        <v>12034</v>
      </c>
      <c r="AA99" s="88">
        <f>VLOOKUP(B99,'Renseanlæg 2021'!L:M,2,FALSE)</f>
        <v>15480319.866517304</v>
      </c>
      <c r="AB99" s="145">
        <v>0</v>
      </c>
      <c r="AC99" s="141">
        <v>0</v>
      </c>
      <c r="AD99" s="119">
        <v>2300</v>
      </c>
      <c r="AE99" s="145">
        <v>0</v>
      </c>
      <c r="AF99" s="141">
        <v>1541</v>
      </c>
      <c r="AG99" s="119">
        <v>0</v>
      </c>
      <c r="AH99" s="58">
        <v>145</v>
      </c>
      <c r="AI99" s="88">
        <v>21512</v>
      </c>
      <c r="AJ99" s="58">
        <v>3626039.1</v>
      </c>
      <c r="AK99" s="99" t="s">
        <v>316</v>
      </c>
      <c r="AL99" s="88">
        <v>20687</v>
      </c>
      <c r="AM99" s="48"/>
      <c r="AN99" s="117">
        <v>17804164.617226548</v>
      </c>
      <c r="AO99" s="119">
        <v>122193456.00000003</v>
      </c>
      <c r="AP99" s="145">
        <v>4863346.666666666</v>
      </c>
      <c r="AQ99" s="266"/>
    </row>
    <row r="100" spans="1:43" x14ac:dyDescent="0.25">
      <c r="A100" s="202" t="s">
        <v>211</v>
      </c>
      <c r="B100" s="202" t="s">
        <v>212</v>
      </c>
      <c r="C100" s="141">
        <f t="shared" si="19"/>
        <v>4151617.8504039999</v>
      </c>
      <c r="D100" s="119">
        <f t="shared" si="10"/>
        <v>3894333.9198000003</v>
      </c>
      <c r="E100" s="119">
        <f t="shared" si="11"/>
        <v>778100.39</v>
      </c>
      <c r="F100" s="119">
        <f t="shared" si="12"/>
        <v>88815.71</v>
      </c>
      <c r="G100" s="119">
        <f t="shared" si="13"/>
        <v>14137068.011790544</v>
      </c>
      <c r="H100" s="119">
        <f t="shared" si="14"/>
        <v>0</v>
      </c>
      <c r="I100" s="119">
        <f t="shared" si="15"/>
        <v>1432723.2047000001</v>
      </c>
      <c r="J100" s="119">
        <f t="shared" si="16"/>
        <v>1686799.1206</v>
      </c>
      <c r="K100" s="119">
        <f t="shared" si="17"/>
        <v>1459170.3794407921</v>
      </c>
      <c r="L100" s="58">
        <f t="shared" si="18"/>
        <v>3758758.4947833135</v>
      </c>
      <c r="M100" s="147">
        <v>3.2107699033663492E-2</v>
      </c>
      <c r="N100" s="267">
        <v>357.57</v>
      </c>
      <c r="O100" s="268">
        <v>707.66</v>
      </c>
      <c r="P100" s="268">
        <v>0</v>
      </c>
      <c r="Q100" s="268">
        <v>0</v>
      </c>
      <c r="R100" s="269">
        <v>2.59</v>
      </c>
      <c r="S100" s="141">
        <v>42</v>
      </c>
      <c r="T100" s="119">
        <v>23</v>
      </c>
      <c r="U100" s="119">
        <v>90</v>
      </c>
      <c r="V100" s="119">
        <v>2803</v>
      </c>
      <c r="W100" s="145">
        <v>2520</v>
      </c>
      <c r="X100" s="141">
        <v>313383</v>
      </c>
      <c r="Y100" s="58">
        <v>122690</v>
      </c>
      <c r="Z100" s="88">
        <v>14510</v>
      </c>
      <c r="AA100" s="88">
        <f>VLOOKUP(B100,'Renseanlæg 2021'!L:M,2,FALSE)</f>
        <v>14137068.011790544</v>
      </c>
      <c r="AB100" s="145">
        <v>0</v>
      </c>
      <c r="AC100" s="141">
        <v>1076</v>
      </c>
      <c r="AD100" s="119">
        <v>515</v>
      </c>
      <c r="AE100" s="145">
        <v>0</v>
      </c>
      <c r="AF100" s="141">
        <v>1354</v>
      </c>
      <c r="AG100" s="119">
        <v>0</v>
      </c>
      <c r="AH100" s="58">
        <v>0</v>
      </c>
      <c r="AI100" s="88">
        <v>15019</v>
      </c>
      <c r="AJ100" s="58">
        <v>2017831</v>
      </c>
      <c r="AK100" s="99" t="s">
        <v>316</v>
      </c>
      <c r="AL100" s="88">
        <v>21298</v>
      </c>
      <c r="AM100" s="48"/>
      <c r="AN100" s="117">
        <v>19440772.621422339</v>
      </c>
      <c r="AO100" s="119">
        <v>80419580.803333312</v>
      </c>
      <c r="AP100" s="145">
        <v>1836053.3333333333</v>
      </c>
      <c r="AQ100" s="266"/>
    </row>
    <row r="101" spans="1:43" x14ac:dyDescent="0.25">
      <c r="A101" s="202" t="s">
        <v>213</v>
      </c>
      <c r="B101" s="202" t="s">
        <v>214</v>
      </c>
      <c r="C101" s="141">
        <f t="shared" si="19"/>
        <v>2909809.7604980003</v>
      </c>
      <c r="D101" s="119">
        <f t="shared" si="10"/>
        <v>9781619.2011000011</v>
      </c>
      <c r="E101" s="119">
        <f t="shared" si="11"/>
        <v>464728.08290000004</v>
      </c>
      <c r="F101" s="119">
        <f t="shared" si="12"/>
        <v>1255888.4170000001</v>
      </c>
      <c r="G101" s="119">
        <f t="shared" si="13"/>
        <v>10101205.241357299</v>
      </c>
      <c r="H101" s="119">
        <f t="shared" si="14"/>
        <v>34358.483999999997</v>
      </c>
      <c r="I101" s="119">
        <f t="shared" si="15"/>
        <v>3370850.4131</v>
      </c>
      <c r="J101" s="119">
        <f t="shared" si="16"/>
        <v>4373553.6075999998</v>
      </c>
      <c r="K101" s="119">
        <f t="shared" si="17"/>
        <v>1636087.4654906443</v>
      </c>
      <c r="L101" s="58">
        <f t="shared" si="18"/>
        <v>3688555.1025197776</v>
      </c>
      <c r="M101" s="147">
        <v>3.636676468748045E-2</v>
      </c>
      <c r="N101" s="267">
        <v>422.61</v>
      </c>
      <c r="O101" s="268">
        <v>440.6</v>
      </c>
      <c r="P101" s="268">
        <v>0</v>
      </c>
      <c r="Q101" s="268">
        <v>0</v>
      </c>
      <c r="R101" s="269">
        <v>1.1100000000000001</v>
      </c>
      <c r="S101" s="141">
        <v>40</v>
      </c>
      <c r="T101" s="119">
        <v>434</v>
      </c>
      <c r="U101" s="119">
        <v>199</v>
      </c>
      <c r="V101" s="119">
        <v>700</v>
      </c>
      <c r="W101" s="145">
        <v>0</v>
      </c>
      <c r="X101" s="141">
        <v>37101</v>
      </c>
      <c r="Y101" s="58">
        <v>161297</v>
      </c>
      <c r="Z101" s="88">
        <v>205177</v>
      </c>
      <c r="AA101" s="88">
        <f>VLOOKUP(B101,'Renseanlæg 2021'!L:M,2,FALSE)</f>
        <v>10101205.241357299</v>
      </c>
      <c r="AB101" s="145">
        <v>12</v>
      </c>
      <c r="AC101" s="141">
        <v>968</v>
      </c>
      <c r="AD101" s="119">
        <v>3080</v>
      </c>
      <c r="AE101" s="145">
        <v>0</v>
      </c>
      <c r="AF101" s="141">
        <v>4048</v>
      </c>
      <c r="AG101" s="119">
        <v>0</v>
      </c>
      <c r="AH101" s="58">
        <v>0</v>
      </c>
      <c r="AI101" s="88">
        <v>20078</v>
      </c>
      <c r="AJ101" s="58">
        <v>1979578.8</v>
      </c>
      <c r="AK101" s="99" t="s">
        <v>316</v>
      </c>
      <c r="AL101" s="88">
        <v>23250</v>
      </c>
      <c r="AM101" s="48"/>
      <c r="AN101" s="117">
        <v>9209569.775413882</v>
      </c>
      <c r="AO101" s="119">
        <v>84497091.333333343</v>
      </c>
      <c r="AP101" s="145">
        <v>1755933.3333333333</v>
      </c>
      <c r="AQ101" s="266"/>
    </row>
    <row r="102" spans="1:43" x14ac:dyDescent="0.25">
      <c r="A102" s="202" t="s">
        <v>215</v>
      </c>
      <c r="B102" s="202" t="s">
        <v>216</v>
      </c>
      <c r="C102" s="141">
        <f t="shared" si="19"/>
        <v>17314751.445886999</v>
      </c>
      <c r="D102" s="119">
        <f t="shared" si="10"/>
        <v>7074216.9216</v>
      </c>
      <c r="E102" s="119">
        <f t="shared" si="11"/>
        <v>1823190.8814999999</v>
      </c>
      <c r="F102" s="119">
        <f t="shared" si="12"/>
        <v>142496.88</v>
      </c>
      <c r="G102" s="119">
        <f t="shared" si="13"/>
        <v>26674036.819015518</v>
      </c>
      <c r="H102" s="119">
        <f t="shared" si="14"/>
        <v>105938.659</v>
      </c>
      <c r="I102" s="119">
        <f t="shared" si="15"/>
        <v>7816371.3371000001</v>
      </c>
      <c r="J102" s="119">
        <f t="shared" si="16"/>
        <v>7827082.19312</v>
      </c>
      <c r="K102" s="119">
        <f t="shared" si="17"/>
        <v>2421361.7539732456</v>
      </c>
      <c r="L102" s="58">
        <f t="shared" si="18"/>
        <v>20041488.008943468</v>
      </c>
      <c r="M102" s="147">
        <v>8.349516150124231E-2</v>
      </c>
      <c r="N102" s="267">
        <v>608.72</v>
      </c>
      <c r="O102" s="268">
        <v>1723.17</v>
      </c>
      <c r="P102" s="268">
        <v>115.48</v>
      </c>
      <c r="Q102" s="268">
        <v>158.13999999999999</v>
      </c>
      <c r="R102" s="269">
        <v>18.940000000000001</v>
      </c>
      <c r="S102" s="141">
        <v>4</v>
      </c>
      <c r="T102" s="119">
        <v>152</v>
      </c>
      <c r="U102" s="119">
        <v>120</v>
      </c>
      <c r="V102" s="119">
        <v>5720</v>
      </c>
      <c r="W102" s="145">
        <v>3624</v>
      </c>
      <c r="X102" s="141">
        <v>115195</v>
      </c>
      <c r="Y102" s="58">
        <v>650595</v>
      </c>
      <c r="Z102" s="88">
        <v>23280</v>
      </c>
      <c r="AA102" s="88">
        <f>VLOOKUP(B102,'Renseanlæg 2021'!L:M,2,FALSE)</f>
        <v>26674036.819015518</v>
      </c>
      <c r="AB102" s="145">
        <v>37</v>
      </c>
      <c r="AC102" s="141">
        <v>0</v>
      </c>
      <c r="AD102" s="119">
        <v>9224</v>
      </c>
      <c r="AE102" s="145">
        <v>0</v>
      </c>
      <c r="AF102" s="141">
        <v>0</v>
      </c>
      <c r="AG102" s="119">
        <v>10.6</v>
      </c>
      <c r="AH102" s="58">
        <v>3820.8</v>
      </c>
      <c r="AI102" s="88">
        <v>54277</v>
      </c>
      <c r="AJ102" s="58">
        <v>11034807</v>
      </c>
      <c r="AK102" s="99" t="s">
        <v>316</v>
      </c>
      <c r="AL102" s="88">
        <v>153237</v>
      </c>
      <c r="AM102" s="48"/>
      <c r="AN102" s="117">
        <v>39502952.486429371</v>
      </c>
      <c r="AO102" s="119">
        <v>207915396.40933326</v>
      </c>
      <c r="AP102" s="145">
        <v>0</v>
      </c>
      <c r="AQ102" s="266"/>
    </row>
    <row r="103" spans="1:43" x14ac:dyDescent="0.25">
      <c r="A103" s="202" t="s">
        <v>217</v>
      </c>
      <c r="B103" s="202" t="s">
        <v>218</v>
      </c>
      <c r="C103" s="141">
        <f t="shared" si="19"/>
        <v>21338639.2344</v>
      </c>
      <c r="D103" s="119">
        <f t="shared" si="10"/>
        <v>7395747.6444000006</v>
      </c>
      <c r="E103" s="119">
        <f t="shared" si="11"/>
        <v>5520628.8607000001</v>
      </c>
      <c r="F103" s="119">
        <f t="shared" si="12"/>
        <v>650741.87300000002</v>
      </c>
      <c r="G103" s="119">
        <f t="shared" si="13"/>
        <v>36793539.793740816</v>
      </c>
      <c r="H103" s="119">
        <f t="shared" si="14"/>
        <v>632768.74699999997</v>
      </c>
      <c r="I103" s="119">
        <f t="shared" si="15"/>
        <v>10125870.158600001</v>
      </c>
      <c r="J103" s="119">
        <f t="shared" si="16"/>
        <v>11585706.020199999</v>
      </c>
      <c r="K103" s="119">
        <f t="shared" si="17"/>
        <v>2963856.51100421</v>
      </c>
      <c r="L103" s="58">
        <f t="shared" si="18"/>
        <v>28759554.63757414</v>
      </c>
      <c r="M103" s="147">
        <v>9.0203502919099246E-2</v>
      </c>
      <c r="N103" s="267">
        <v>462</v>
      </c>
      <c r="O103" s="268">
        <v>2947</v>
      </c>
      <c r="P103" s="268">
        <v>283</v>
      </c>
      <c r="Q103" s="268">
        <v>250</v>
      </c>
      <c r="R103" s="269">
        <v>4</v>
      </c>
      <c r="S103" s="141">
        <v>466</v>
      </c>
      <c r="T103" s="119">
        <v>66</v>
      </c>
      <c r="U103" s="119">
        <v>68</v>
      </c>
      <c r="V103" s="119">
        <v>2122</v>
      </c>
      <c r="W103" s="145">
        <v>14360</v>
      </c>
      <c r="X103" s="141">
        <v>396777</v>
      </c>
      <c r="Y103" s="58">
        <v>1941871</v>
      </c>
      <c r="Z103" s="88">
        <v>106313</v>
      </c>
      <c r="AA103" s="88">
        <f>VLOOKUP(B103,'Renseanlæg 2021'!L:M,2,FALSE)</f>
        <v>36793539.793740816</v>
      </c>
      <c r="AB103" s="145">
        <v>221</v>
      </c>
      <c r="AC103" s="141">
        <v>91</v>
      </c>
      <c r="AD103" s="119">
        <v>12201</v>
      </c>
      <c r="AE103" s="145">
        <v>0</v>
      </c>
      <c r="AF103" s="141">
        <v>4510</v>
      </c>
      <c r="AG103" s="119">
        <v>2292</v>
      </c>
      <c r="AH103" s="58">
        <v>0</v>
      </c>
      <c r="AI103" s="88">
        <v>90644</v>
      </c>
      <c r="AJ103" s="58">
        <v>15921698</v>
      </c>
      <c r="AK103" s="99" t="s">
        <v>316</v>
      </c>
      <c r="AL103" s="88">
        <v>216308</v>
      </c>
      <c r="AM103" s="48"/>
      <c r="AN103" s="117">
        <v>45599558.895231709</v>
      </c>
      <c r="AO103" s="119">
        <v>353017465.36666656</v>
      </c>
      <c r="AP103" s="145">
        <v>7977133.333333333</v>
      </c>
      <c r="AQ103" s="266"/>
    </row>
    <row r="104" spans="1:43" x14ac:dyDescent="0.25">
      <c r="A104" s="202" t="s">
        <v>219</v>
      </c>
      <c r="B104" s="202" t="s">
        <v>220</v>
      </c>
      <c r="C104" s="141">
        <f t="shared" si="19"/>
        <v>0</v>
      </c>
      <c r="D104" s="119">
        <f t="shared" si="10"/>
        <v>0</v>
      </c>
      <c r="E104" s="119">
        <f t="shared" si="11"/>
        <v>0</v>
      </c>
      <c r="F104" s="119">
        <f t="shared" si="12"/>
        <v>0</v>
      </c>
      <c r="G104" s="119">
        <f t="shared" si="13"/>
        <v>16063391.627710328</v>
      </c>
      <c r="H104" s="119">
        <f t="shared" si="14"/>
        <v>0</v>
      </c>
      <c r="I104" s="119">
        <f t="shared" si="15"/>
        <v>2647562.4697000002</v>
      </c>
      <c r="J104" s="119">
        <f t="shared" si="16"/>
        <v>2034860.4851000002</v>
      </c>
      <c r="K104" s="119">
        <f t="shared" si="17"/>
        <v>50787.322169710002</v>
      </c>
      <c r="L104" s="58">
        <f t="shared" si="18"/>
        <v>2234633.4372364325</v>
      </c>
      <c r="M104" s="147">
        <v>0</v>
      </c>
      <c r="N104" s="267">
        <v>0</v>
      </c>
      <c r="O104" s="268">
        <v>0</v>
      </c>
      <c r="P104" s="268">
        <v>0</v>
      </c>
      <c r="Q104" s="268">
        <v>0</v>
      </c>
      <c r="R104" s="269">
        <v>0</v>
      </c>
      <c r="S104" s="141">
        <v>0</v>
      </c>
      <c r="T104" s="119">
        <v>0</v>
      </c>
      <c r="U104" s="119">
        <v>0</v>
      </c>
      <c r="V104" s="119">
        <v>0</v>
      </c>
      <c r="W104" s="145">
        <v>0</v>
      </c>
      <c r="X104" s="141">
        <v>0</v>
      </c>
      <c r="Y104" s="58">
        <v>0</v>
      </c>
      <c r="Z104" s="88">
        <v>0</v>
      </c>
      <c r="AA104" s="88">
        <f>VLOOKUP(B104,'Renseanlæg 2021'!L:M,2,FALSE)</f>
        <v>16063391.627710328</v>
      </c>
      <c r="AB104" s="145">
        <v>0</v>
      </c>
      <c r="AC104" s="141">
        <v>1447</v>
      </c>
      <c r="AD104" s="119">
        <v>1027</v>
      </c>
      <c r="AE104" s="145">
        <v>433</v>
      </c>
      <c r="AF104" s="141">
        <v>1703</v>
      </c>
      <c r="AG104" s="119">
        <v>0</v>
      </c>
      <c r="AH104" s="58">
        <v>0</v>
      </c>
      <c r="AI104" s="88">
        <v>3</v>
      </c>
      <c r="AJ104" s="58">
        <v>2562222</v>
      </c>
      <c r="AK104" s="99" t="s">
        <v>317</v>
      </c>
      <c r="AL104" s="88">
        <v>3</v>
      </c>
      <c r="AM104" s="48"/>
      <c r="AN104" s="117">
        <v>14134917.073340839</v>
      </c>
      <c r="AO104" s="119">
        <v>0</v>
      </c>
      <c r="AP104" s="145">
        <v>827426.66666666663</v>
      </c>
      <c r="AQ104" s="266"/>
    </row>
    <row r="105" spans="1:43" ht="15.75" thickBot="1" x14ac:dyDescent="0.3">
      <c r="A105" s="205" t="s">
        <v>221</v>
      </c>
      <c r="B105" s="205" t="s">
        <v>222</v>
      </c>
      <c r="C105" s="151">
        <f t="shared" si="19"/>
        <v>0</v>
      </c>
      <c r="D105" s="129">
        <f t="shared" si="10"/>
        <v>0</v>
      </c>
      <c r="E105" s="129">
        <f t="shared" si="11"/>
        <v>0</v>
      </c>
      <c r="F105" s="129">
        <f t="shared" si="12"/>
        <v>73452</v>
      </c>
      <c r="G105" s="129">
        <f t="shared" si="13"/>
        <v>6412052.7702424442</v>
      </c>
      <c r="H105" s="129">
        <f t="shared" si="14"/>
        <v>0</v>
      </c>
      <c r="I105" s="129">
        <f t="shared" si="15"/>
        <v>2217424.1003</v>
      </c>
      <c r="J105" s="129">
        <f t="shared" si="16"/>
        <v>1681812.5681000003</v>
      </c>
      <c r="K105" s="129">
        <f t="shared" si="17"/>
        <v>66745.399825033237</v>
      </c>
      <c r="L105" s="152">
        <f t="shared" si="18"/>
        <v>1414243.2428803593</v>
      </c>
      <c r="M105" s="153">
        <v>0</v>
      </c>
      <c r="N105" s="275">
        <v>0</v>
      </c>
      <c r="O105" s="276">
        <v>0</v>
      </c>
      <c r="P105" s="276">
        <v>0</v>
      </c>
      <c r="Q105" s="276">
        <v>0</v>
      </c>
      <c r="R105" s="277">
        <v>0</v>
      </c>
      <c r="S105" s="151">
        <v>0</v>
      </c>
      <c r="T105" s="129">
        <v>0</v>
      </c>
      <c r="U105" s="129">
        <v>0</v>
      </c>
      <c r="V105" s="129">
        <v>0</v>
      </c>
      <c r="W105" s="155">
        <v>0</v>
      </c>
      <c r="X105" s="151">
        <v>0</v>
      </c>
      <c r="Y105" s="152">
        <v>0</v>
      </c>
      <c r="Z105" s="108">
        <v>12000</v>
      </c>
      <c r="AA105" s="108">
        <f>VLOOKUP(B105,'Renseanlæg 2021'!L:M,2,FALSE)</f>
        <v>6412052.7702424442</v>
      </c>
      <c r="AB105" s="155">
        <v>0</v>
      </c>
      <c r="AC105" s="151">
        <v>0</v>
      </c>
      <c r="AD105" s="129">
        <v>1927</v>
      </c>
      <c r="AE105" s="155">
        <v>0</v>
      </c>
      <c r="AF105" s="151">
        <v>1349</v>
      </c>
      <c r="AG105" s="129">
        <v>0</v>
      </c>
      <c r="AH105" s="152">
        <v>0</v>
      </c>
      <c r="AI105" s="108">
        <v>6</v>
      </c>
      <c r="AJ105" s="152">
        <v>1284991</v>
      </c>
      <c r="AK105" s="154" t="s">
        <v>317</v>
      </c>
      <c r="AL105" s="108">
        <v>6</v>
      </c>
      <c r="AM105" s="48"/>
      <c r="AN105" s="127">
        <v>15885284.249974541</v>
      </c>
      <c r="AO105" s="129">
        <v>1632000</v>
      </c>
      <c r="AP105" s="155">
        <v>715559.99999999988</v>
      </c>
      <c r="AQ105" s="266"/>
    </row>
    <row r="106" spans="1:43" x14ac:dyDescent="0.25">
      <c r="A106" s="71"/>
      <c r="B106" s="71"/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1"/>
      <c r="AI106" s="71"/>
      <c r="AJ106" s="71"/>
      <c r="AK106" s="71"/>
      <c r="AL106" s="71"/>
      <c r="AM106" s="48"/>
      <c r="AN106" s="278"/>
      <c r="AO106" s="278"/>
      <c r="AP106" s="278"/>
      <c r="AQ106" s="48"/>
    </row>
  </sheetData>
  <mergeCells count="11">
    <mergeCell ref="AJ2:AK2"/>
    <mergeCell ref="A1:A3"/>
    <mergeCell ref="B1:B3"/>
    <mergeCell ref="AN1:AP1"/>
    <mergeCell ref="C2:L2"/>
    <mergeCell ref="M2:M3"/>
    <mergeCell ref="N2:R2"/>
    <mergeCell ref="S2:W2"/>
    <mergeCell ref="X2:Y2"/>
    <mergeCell ref="AC2:AE2"/>
    <mergeCell ref="AF2:AH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49BA5-13B0-41FE-AC64-D1B6C691349B}">
  <sheetPr codeName="Ark10"/>
  <dimension ref="A1:AQ106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A3"/>
    </sheetView>
  </sheetViews>
  <sheetFormatPr defaultRowHeight="15" x14ac:dyDescent="0.25"/>
  <cols>
    <col min="1" max="1" width="37.42578125" bestFit="1" customWidth="1"/>
    <col min="2" max="2" width="12.28515625" customWidth="1"/>
    <col min="3" max="3" width="14.5703125" customWidth="1"/>
    <col min="4" max="4" width="17" bestFit="1" customWidth="1"/>
    <col min="5" max="5" width="21" customWidth="1"/>
    <col min="6" max="6" width="23" customWidth="1"/>
    <col min="7" max="7" width="16.140625" customWidth="1"/>
    <col min="8" max="8" width="18" customWidth="1"/>
    <col min="9" max="9" width="18.42578125" customWidth="1"/>
    <col min="10" max="10" width="20.28515625" customWidth="1"/>
    <col min="11" max="11" width="15.5703125" customWidth="1"/>
    <col min="12" max="12" width="16.7109375" customWidth="1"/>
    <col min="13" max="13" width="12.28515625" customWidth="1"/>
    <col min="14" max="14" width="14.7109375" customWidth="1"/>
    <col min="15" max="15" width="11.42578125" customWidth="1"/>
    <col min="16" max="16" width="12.5703125" customWidth="1"/>
    <col min="17" max="17" width="12.85546875" customWidth="1"/>
    <col min="18" max="18" width="12.42578125" customWidth="1"/>
    <col min="19" max="19" width="16" customWidth="1"/>
    <col min="20" max="20" width="13.5703125" customWidth="1"/>
    <col min="21" max="21" width="16.85546875" customWidth="1"/>
    <col min="22" max="22" width="18.28515625" customWidth="1"/>
    <col min="23" max="23" width="17" customWidth="1"/>
    <col min="24" max="24" width="20.7109375" customWidth="1"/>
    <col min="25" max="25" width="21" customWidth="1"/>
    <col min="26" max="26" width="26.140625" customWidth="1"/>
    <col min="27" max="27" width="23.42578125" customWidth="1"/>
    <col min="28" max="28" width="23.85546875" customWidth="1"/>
    <col min="29" max="29" width="20.140625" customWidth="1"/>
    <col min="30" max="30" width="20.28515625" customWidth="1"/>
    <col min="31" max="31" width="25.140625" bestFit="1" customWidth="1"/>
    <col min="32" max="32" width="17.5703125" customWidth="1"/>
    <col min="33" max="33" width="15.85546875" customWidth="1"/>
    <col min="34" max="34" width="25.7109375" customWidth="1"/>
    <col min="35" max="35" width="22.140625" bestFit="1" customWidth="1"/>
    <col min="36" max="37" width="22.42578125" customWidth="1"/>
    <col min="38" max="38" width="17" customWidth="1"/>
    <col min="40" max="41" width="13" style="16" bestFit="1" customWidth="1"/>
    <col min="42" max="42" width="12.85546875" style="16" customWidth="1"/>
    <col min="43" max="43" width="15.28515625" customWidth="1"/>
  </cols>
  <sheetData>
    <row r="1" spans="1:43" ht="45.75" customHeight="1" thickBot="1" x14ac:dyDescent="0.3">
      <c r="A1" s="228" t="s">
        <v>0</v>
      </c>
      <c r="B1" s="229" t="s">
        <v>318</v>
      </c>
      <c r="C1" s="230"/>
      <c r="D1" s="231"/>
      <c r="E1" s="231"/>
      <c r="F1" s="231"/>
      <c r="G1" s="231"/>
      <c r="H1" s="231"/>
      <c r="I1" s="231"/>
      <c r="J1" s="231"/>
      <c r="K1" s="231"/>
      <c r="L1" s="232"/>
      <c r="M1" s="233"/>
      <c r="N1" s="230"/>
      <c r="O1" s="231"/>
      <c r="P1" s="231"/>
      <c r="Q1" s="231"/>
      <c r="R1" s="232"/>
      <c r="S1" s="230"/>
      <c r="T1" s="231"/>
      <c r="U1" s="231"/>
      <c r="V1" s="231"/>
      <c r="W1" s="232"/>
      <c r="X1" s="230"/>
      <c r="Y1" s="232"/>
      <c r="Z1" s="231"/>
      <c r="AA1" s="234"/>
      <c r="AB1" s="234"/>
      <c r="AC1" s="230"/>
      <c r="AD1" s="231"/>
      <c r="AE1" s="232"/>
      <c r="AF1" s="230"/>
      <c r="AG1" s="231"/>
      <c r="AH1" s="232"/>
      <c r="AI1" s="230"/>
      <c r="AJ1" s="235"/>
      <c r="AK1" s="236"/>
      <c r="AL1" s="232"/>
      <c r="AM1" s="48"/>
      <c r="AN1" s="279" t="s">
        <v>271</v>
      </c>
      <c r="AO1" s="280"/>
      <c r="AP1" s="281"/>
      <c r="AQ1" s="48"/>
    </row>
    <row r="2" spans="1:43" ht="19.5" customHeight="1" thickBot="1" x14ac:dyDescent="0.35">
      <c r="A2" s="240"/>
      <c r="B2" s="241"/>
      <c r="C2" s="242" t="s">
        <v>272</v>
      </c>
      <c r="D2" s="243"/>
      <c r="E2" s="243"/>
      <c r="F2" s="243"/>
      <c r="G2" s="243"/>
      <c r="H2" s="243"/>
      <c r="I2" s="243"/>
      <c r="J2" s="243"/>
      <c r="K2" s="243"/>
      <c r="L2" s="244"/>
      <c r="M2" s="133" t="s">
        <v>319</v>
      </c>
      <c r="N2" s="242" t="s">
        <v>285</v>
      </c>
      <c r="O2" s="243"/>
      <c r="P2" s="243"/>
      <c r="Q2" s="243"/>
      <c r="R2" s="244"/>
      <c r="S2" s="242" t="s">
        <v>275</v>
      </c>
      <c r="T2" s="243"/>
      <c r="U2" s="243"/>
      <c r="V2" s="243"/>
      <c r="W2" s="244"/>
      <c r="X2" s="242" t="s">
        <v>276</v>
      </c>
      <c r="Y2" s="244"/>
      <c r="Z2" s="245" t="s">
        <v>277</v>
      </c>
      <c r="AA2" s="246" t="s">
        <v>278</v>
      </c>
      <c r="AB2" s="246" t="s">
        <v>279</v>
      </c>
      <c r="AC2" s="242" t="s">
        <v>280</v>
      </c>
      <c r="AD2" s="243"/>
      <c r="AE2" s="244"/>
      <c r="AF2" s="242" t="s">
        <v>281</v>
      </c>
      <c r="AG2" s="243"/>
      <c r="AH2" s="244"/>
      <c r="AI2" s="247" t="s">
        <v>282</v>
      </c>
      <c r="AJ2" s="248" t="s">
        <v>283</v>
      </c>
      <c r="AK2" s="249"/>
      <c r="AL2" s="282" t="s">
        <v>284</v>
      </c>
      <c r="AM2" s="48"/>
      <c r="AN2" s="156"/>
      <c r="AO2" s="174"/>
      <c r="AP2" s="158"/>
      <c r="AQ2" s="48"/>
    </row>
    <row r="3" spans="1:43" ht="56.25" customHeight="1" thickBot="1" x14ac:dyDescent="0.3">
      <c r="A3" s="254"/>
      <c r="B3" s="255"/>
      <c r="C3" s="256" t="s">
        <v>285</v>
      </c>
      <c r="D3" s="41" t="s">
        <v>275</v>
      </c>
      <c r="E3" s="41" t="s">
        <v>276</v>
      </c>
      <c r="F3" s="41" t="s">
        <v>277</v>
      </c>
      <c r="G3" s="41" t="s">
        <v>278</v>
      </c>
      <c r="H3" s="41" t="s">
        <v>279</v>
      </c>
      <c r="I3" s="41" t="s">
        <v>280</v>
      </c>
      <c r="J3" s="41" t="s">
        <v>281</v>
      </c>
      <c r="K3" s="41" t="s">
        <v>286</v>
      </c>
      <c r="L3" s="79" t="s">
        <v>287</v>
      </c>
      <c r="M3" s="135"/>
      <c r="N3" s="256" t="s">
        <v>288</v>
      </c>
      <c r="O3" s="41" t="s">
        <v>289</v>
      </c>
      <c r="P3" s="41" t="s">
        <v>290</v>
      </c>
      <c r="Q3" s="41" t="s">
        <v>291</v>
      </c>
      <c r="R3" s="257" t="s">
        <v>292</v>
      </c>
      <c r="S3" s="80" t="s">
        <v>293</v>
      </c>
      <c r="T3" s="115" t="s">
        <v>294</v>
      </c>
      <c r="U3" s="115" t="s">
        <v>295</v>
      </c>
      <c r="V3" s="115" t="s">
        <v>296</v>
      </c>
      <c r="W3" s="44" t="s">
        <v>297</v>
      </c>
      <c r="X3" s="256" t="s">
        <v>298</v>
      </c>
      <c r="Y3" s="257" t="s">
        <v>299</v>
      </c>
      <c r="Z3" s="45" t="s">
        <v>300</v>
      </c>
      <c r="AA3" s="136" t="s">
        <v>301</v>
      </c>
      <c r="AB3" s="136" t="s">
        <v>302</v>
      </c>
      <c r="AC3" s="80" t="s">
        <v>303</v>
      </c>
      <c r="AD3" s="115" t="s">
        <v>304</v>
      </c>
      <c r="AE3" s="137" t="s">
        <v>305</v>
      </c>
      <c r="AF3" s="80" t="s">
        <v>306</v>
      </c>
      <c r="AG3" s="115" t="s">
        <v>307</v>
      </c>
      <c r="AH3" s="137" t="s">
        <v>308</v>
      </c>
      <c r="AI3" s="258" t="s">
        <v>309</v>
      </c>
      <c r="AJ3" s="43" t="s">
        <v>310</v>
      </c>
      <c r="AK3" s="137" t="s">
        <v>311</v>
      </c>
      <c r="AL3" s="259" t="s">
        <v>284</v>
      </c>
      <c r="AM3" s="48"/>
      <c r="AN3" s="156" t="s">
        <v>312</v>
      </c>
      <c r="AO3" s="157" t="s">
        <v>313</v>
      </c>
      <c r="AP3" s="158" t="s">
        <v>314</v>
      </c>
      <c r="AQ3" s="176"/>
    </row>
    <row r="4" spans="1:43" x14ac:dyDescent="0.25">
      <c r="A4" s="234" t="s">
        <v>19</v>
      </c>
      <c r="B4" s="234" t="s">
        <v>20</v>
      </c>
      <c r="C4" s="141">
        <f>2327.9856*N4+3666.4429*O4+15645.4437*P4+15645.4437*Q4+279770.2922*R4</f>
        <v>2057690.6135540002</v>
      </c>
      <c r="D4" s="119">
        <f>2855.5628*S4+11103.2371*T4+23253.3823*U4+315.9553*V4+214.5233*W4</f>
        <v>1295699.8928</v>
      </c>
      <c r="E4" s="119">
        <f>1.489*X4+2.5387*Y4</f>
        <v>942474.24910000002</v>
      </c>
      <c r="F4" s="119">
        <f>6.121*Z4</f>
        <v>27544.500000000004</v>
      </c>
      <c r="G4" s="119">
        <f>AA4</f>
        <v>0</v>
      </c>
      <c r="H4" s="119">
        <f>2863.207*AB4</f>
        <v>0</v>
      </c>
      <c r="I4" s="119">
        <f>IF(SUM(AC4:AE4)&gt;0,738847.7915+277.6197*AC4+767.2944*AD4+1660.4795*AE4,0)</f>
        <v>0</v>
      </c>
      <c r="J4" s="119">
        <f>IF(SUM(AF4:AH4)&gt;0,336440.7036+997.3105*AF4+2945.6348*AG4+1952.3183*AH4,0)</f>
        <v>0</v>
      </c>
      <c r="K4" s="119">
        <f>1.3366*24641.8131*(AI4^0.3942)</f>
        <v>1186515.4784167986</v>
      </c>
      <c r="L4" s="159">
        <f>IF(AK4="t+r",1.4147*1.6347*(AJ4^0.9851),IF(AK4="t",1.1533*0.5024*(AJ4^1.0597),IF(AK4="r",1.3329*94.6535*(AJ4^0.6629),"FEJL")))</f>
        <v>3630204.3717633989</v>
      </c>
      <c r="M4" s="160">
        <v>0.13543423705105526</v>
      </c>
      <c r="N4" s="261">
        <v>26.79</v>
      </c>
      <c r="O4" s="262">
        <v>392.87</v>
      </c>
      <c r="P4" s="262">
        <v>34.93</v>
      </c>
      <c r="Q4" s="262">
        <v>0</v>
      </c>
      <c r="R4" s="263">
        <v>0.03</v>
      </c>
      <c r="S4" s="264">
        <v>0</v>
      </c>
      <c r="T4" s="144">
        <v>17</v>
      </c>
      <c r="U4" s="144">
        <v>28</v>
      </c>
      <c r="V4" s="144">
        <v>922</v>
      </c>
      <c r="W4" s="89">
        <v>767</v>
      </c>
      <c r="X4" s="141">
        <v>220674</v>
      </c>
      <c r="Y4" s="58">
        <v>241813</v>
      </c>
      <c r="Z4" s="161">
        <v>4500</v>
      </c>
      <c r="AA4" s="161">
        <f>VLOOKUP(B4,'Renseanlæg 2022'!L:M,2,FALSE)</f>
        <v>0</v>
      </c>
      <c r="AB4" s="89">
        <v>0</v>
      </c>
      <c r="AC4" s="264">
        <v>0</v>
      </c>
      <c r="AD4" s="144">
        <v>0</v>
      </c>
      <c r="AE4" s="89">
        <v>0</v>
      </c>
      <c r="AF4" s="141">
        <v>0</v>
      </c>
      <c r="AG4" s="119">
        <v>0</v>
      </c>
      <c r="AH4" s="58">
        <v>0</v>
      </c>
      <c r="AI4" s="161">
        <v>8887</v>
      </c>
      <c r="AJ4" s="88">
        <v>2594311</v>
      </c>
      <c r="AK4" s="162" t="s">
        <v>315</v>
      </c>
      <c r="AL4" s="161">
        <v>32920</v>
      </c>
      <c r="AM4" s="48"/>
      <c r="AN4" s="143">
        <v>0</v>
      </c>
      <c r="AO4" s="163">
        <v>53329288.98500526</v>
      </c>
      <c r="AP4" s="118">
        <v>1251988.6666666667</v>
      </c>
      <c r="AQ4" s="203"/>
    </row>
    <row r="5" spans="1:43" x14ac:dyDescent="0.25">
      <c r="A5" s="202" t="s">
        <v>21</v>
      </c>
      <c r="B5" s="202" t="s">
        <v>22</v>
      </c>
      <c r="C5" s="141">
        <f t="shared" ref="C5:C68" si="0">2327.9856*N5+3666.4429*O5+15645.4437*P5+15645.4437*Q5+279770.2922*R5</f>
        <v>2156638.4090539999</v>
      </c>
      <c r="D5" s="119">
        <f t="shared" ref="D5:D68" si="1">2855.5628*S5+11103.2371*T5+23253.3823*U5+315.9553*V5+214.5233*W5</f>
        <v>2362190.5149000003</v>
      </c>
      <c r="E5" s="119">
        <f t="shared" ref="E5:E68" si="2">1.489*X5+2.5387*Y5</f>
        <v>209246.70199999999</v>
      </c>
      <c r="F5" s="119">
        <f t="shared" ref="F5:F68" si="3">6.121*Z5</f>
        <v>26087.702000000001</v>
      </c>
      <c r="G5" s="119">
        <f t="shared" ref="G5:G68" si="4">AA5</f>
        <v>4094890.5659421273</v>
      </c>
      <c r="H5" s="119">
        <f t="shared" ref="H5:H68" si="5">2863.207*AB5</f>
        <v>0</v>
      </c>
      <c r="I5" s="119">
        <f>IF(SUM(AC5:AE5)&gt;0,738847.7915+277.6197*AC5+767.2944*AD5+1660.4795*AE5,0)</f>
        <v>940011.02612000005</v>
      </c>
      <c r="J5" s="119">
        <f t="shared" ref="J5:J68" si="6">IF(SUM(AF5:AH5)&gt;0,336440.7036+997.3105*AF5+2945.6348*AG5+1952.3183*AH5,0)</f>
        <v>1063771.4301199999</v>
      </c>
      <c r="K5" s="119">
        <f t="shared" ref="K5:K68" si="7">1.3366*24641.8131*(AI5^0.3942)</f>
        <v>1150248.2420969687</v>
      </c>
      <c r="L5" s="159">
        <f t="shared" ref="L5:L68" si="8">IF(AK5="t+r",1.4147*1.6347*(AJ5^0.9851),IF(AK5="t",1.1533*0.5024*(AJ5^1.0597),IF(AK5="r",1.3329*94.6535*(AJ5^0.6629),"FEJL")))</f>
        <v>2143526.6141717746</v>
      </c>
      <c r="M5" s="164">
        <v>4.6997337926714677E-2</v>
      </c>
      <c r="N5" s="267">
        <v>67.92</v>
      </c>
      <c r="O5" s="268">
        <v>271.85000000000002</v>
      </c>
      <c r="P5" s="268">
        <v>24.87</v>
      </c>
      <c r="Q5" s="268">
        <v>0</v>
      </c>
      <c r="R5" s="269">
        <v>2.19</v>
      </c>
      <c r="S5" s="141">
        <v>305</v>
      </c>
      <c r="T5" s="119">
        <v>18</v>
      </c>
      <c r="U5" s="119">
        <v>54</v>
      </c>
      <c r="V5" s="119">
        <v>113</v>
      </c>
      <c r="W5" s="145">
        <v>0</v>
      </c>
      <c r="X5" s="141">
        <v>24454</v>
      </c>
      <c r="Y5" s="58">
        <v>68080</v>
      </c>
      <c r="Z5" s="88">
        <v>4262</v>
      </c>
      <c r="AA5" s="88">
        <f>VLOOKUP(B5,'Renseanlæg 2022'!L:M,2,FALSE)</f>
        <v>4094890.5659421273</v>
      </c>
      <c r="AB5" s="58">
        <v>0</v>
      </c>
      <c r="AC5" s="141">
        <v>724.6</v>
      </c>
      <c r="AD5" s="119">
        <v>0</v>
      </c>
      <c r="AE5" s="145">
        <v>0</v>
      </c>
      <c r="AF5" s="141">
        <v>719.7</v>
      </c>
      <c r="AG5" s="119">
        <v>0</v>
      </c>
      <c r="AH5" s="58">
        <v>4.9000000000000004</v>
      </c>
      <c r="AI5" s="88">
        <v>8214</v>
      </c>
      <c r="AJ5" s="88">
        <v>1140985</v>
      </c>
      <c r="AK5" s="165" t="s">
        <v>316</v>
      </c>
      <c r="AL5" s="88">
        <v>12005</v>
      </c>
      <c r="AM5" s="48"/>
      <c r="AN5" s="121">
        <v>4279980.2755212374</v>
      </c>
      <c r="AO5" s="166">
        <v>37461615.183008976</v>
      </c>
      <c r="AP5" s="118">
        <v>793811.60581699573</v>
      </c>
      <c r="AQ5" s="203"/>
    </row>
    <row r="6" spans="1:43" x14ac:dyDescent="0.25">
      <c r="A6" s="202" t="s">
        <v>23</v>
      </c>
      <c r="B6" s="202" t="s">
        <v>24</v>
      </c>
      <c r="C6" s="141">
        <f>2327.9856*N6+3666.4429*O6+15645.4437*P6+15645.4437*Q6+279770.2922*R6</f>
        <v>3597289.8526019994</v>
      </c>
      <c r="D6" s="119">
        <f t="shared" si="1"/>
        <v>7500146.6240000008</v>
      </c>
      <c r="E6" s="119">
        <f t="shared" si="2"/>
        <v>75323.651799999992</v>
      </c>
      <c r="F6" s="119">
        <f t="shared" si="3"/>
        <v>485009.67700000003</v>
      </c>
      <c r="G6" s="119">
        <f t="shared" si="4"/>
        <v>6570443.7115863515</v>
      </c>
      <c r="H6" s="119">
        <f t="shared" si="5"/>
        <v>0</v>
      </c>
      <c r="I6" s="119">
        <f t="shared" ref="I6:I69" si="9">IF(SUM(AC6:AE6)&gt;0,738847.7915+277.6197*AC6+767.2944*AD6+1660.4795*AE6,0)</f>
        <v>1465475.5882999999</v>
      </c>
      <c r="J6" s="119">
        <f t="shared" si="6"/>
        <v>1825577.2401999999</v>
      </c>
      <c r="K6" s="119">
        <f t="shared" si="7"/>
        <v>1542913.4858236269</v>
      </c>
      <c r="L6" s="159">
        <f t="shared" si="8"/>
        <v>3696455.5049500922</v>
      </c>
      <c r="M6" s="164">
        <v>2.56179248049739E-2</v>
      </c>
      <c r="N6" s="267">
        <v>620.79</v>
      </c>
      <c r="O6" s="268">
        <v>524.38</v>
      </c>
      <c r="P6" s="268">
        <v>12.88</v>
      </c>
      <c r="Q6" s="268">
        <v>0</v>
      </c>
      <c r="R6" s="269">
        <v>0.1</v>
      </c>
      <c r="S6" s="141">
        <v>6</v>
      </c>
      <c r="T6" s="119">
        <v>30</v>
      </c>
      <c r="U6" s="119">
        <v>118</v>
      </c>
      <c r="V6" s="119">
        <v>11384</v>
      </c>
      <c r="W6" s="145">
        <v>3772</v>
      </c>
      <c r="X6" s="141">
        <v>28995</v>
      </c>
      <c r="Y6" s="58">
        <v>12664</v>
      </c>
      <c r="Z6" s="88">
        <v>79237</v>
      </c>
      <c r="AA6" s="88">
        <f>VLOOKUP(B6,'Renseanlæg 2022'!L:M,2,FALSE)</f>
        <v>6570443.7115863515</v>
      </c>
      <c r="AB6" s="58">
        <v>0</v>
      </c>
      <c r="AC6" s="141">
        <v>0</v>
      </c>
      <c r="AD6" s="119">
        <v>947</v>
      </c>
      <c r="AE6" s="145">
        <v>0</v>
      </c>
      <c r="AF6" s="141">
        <v>619</v>
      </c>
      <c r="AG6" s="119">
        <v>176</v>
      </c>
      <c r="AH6" s="58">
        <v>181</v>
      </c>
      <c r="AI6" s="88">
        <v>17303</v>
      </c>
      <c r="AJ6" s="88">
        <v>1983883</v>
      </c>
      <c r="AK6" s="165" t="s">
        <v>316</v>
      </c>
      <c r="AL6" s="88">
        <v>21838</v>
      </c>
      <c r="AM6" s="48"/>
      <c r="AN6" s="121">
        <v>7464519.9355163779</v>
      </c>
      <c r="AO6" s="166">
        <v>83982750.466666698</v>
      </c>
      <c r="AP6" s="118">
        <v>3333342.1716221939</v>
      </c>
      <c r="AQ6" s="203"/>
    </row>
    <row r="7" spans="1:43" x14ac:dyDescent="0.25">
      <c r="A7" s="202" t="s">
        <v>25</v>
      </c>
      <c r="B7" s="202" t="s">
        <v>26</v>
      </c>
      <c r="C7" s="141">
        <f t="shared" si="0"/>
        <v>6558130.414857001</v>
      </c>
      <c r="D7" s="119">
        <f t="shared" si="1"/>
        <v>9614325.3993800003</v>
      </c>
      <c r="E7" s="119">
        <f t="shared" si="2"/>
        <v>963492.53930000006</v>
      </c>
      <c r="F7" s="119">
        <f t="shared" si="3"/>
        <v>36285.288</v>
      </c>
      <c r="G7" s="119">
        <f t="shared" si="4"/>
        <v>13237366.608642645</v>
      </c>
      <c r="H7" s="119">
        <f t="shared" si="5"/>
        <v>2863.2069999999999</v>
      </c>
      <c r="I7" s="119">
        <f t="shared" si="9"/>
        <v>1314690.9965000001</v>
      </c>
      <c r="J7" s="119">
        <f t="shared" si="6"/>
        <v>1577049.0720399998</v>
      </c>
      <c r="K7" s="119">
        <f t="shared" si="7"/>
        <v>1741734.8060489784</v>
      </c>
      <c r="L7" s="159">
        <f t="shared" si="8"/>
        <v>4554307.3975408776</v>
      </c>
      <c r="M7" s="164">
        <v>2.2166096303079967E-2</v>
      </c>
      <c r="N7" s="267">
        <v>538.98</v>
      </c>
      <c r="O7" s="268">
        <v>1018.41</v>
      </c>
      <c r="P7" s="268">
        <v>32.72</v>
      </c>
      <c r="Q7" s="268">
        <v>0</v>
      </c>
      <c r="R7" s="269">
        <v>3.78</v>
      </c>
      <c r="S7" s="141">
        <v>154</v>
      </c>
      <c r="T7" s="119">
        <v>89</v>
      </c>
      <c r="U7" s="119">
        <v>149</v>
      </c>
      <c r="V7" s="119">
        <v>11711</v>
      </c>
      <c r="W7" s="145">
        <v>4761.6000000000004</v>
      </c>
      <c r="X7" s="141">
        <v>132038</v>
      </c>
      <c r="Y7" s="58">
        <v>302079</v>
      </c>
      <c r="Z7" s="88">
        <v>5928</v>
      </c>
      <c r="AA7" s="88">
        <f>VLOOKUP(B7,'Renseanlæg 2022'!L:M,2,FALSE)</f>
        <v>13237366.608642645</v>
      </c>
      <c r="AB7" s="58">
        <v>1</v>
      </c>
      <c r="AC7" s="141">
        <v>1082</v>
      </c>
      <c r="AD7" s="119">
        <v>359</v>
      </c>
      <c r="AE7" s="145">
        <v>0</v>
      </c>
      <c r="AF7" s="141">
        <v>1232.5999999999999</v>
      </c>
      <c r="AG7" s="119">
        <v>0</v>
      </c>
      <c r="AH7" s="58">
        <v>5.8</v>
      </c>
      <c r="AI7" s="88">
        <v>23532</v>
      </c>
      <c r="AJ7" s="88">
        <v>2452018.9900000002</v>
      </c>
      <c r="AK7" s="165" t="s">
        <v>316</v>
      </c>
      <c r="AL7" s="88">
        <v>22994</v>
      </c>
      <c r="AM7" s="48"/>
      <c r="AN7" s="121">
        <v>12865468.133844178</v>
      </c>
      <c r="AO7" s="166">
        <v>124303885.96333334</v>
      </c>
      <c r="AP7" s="118">
        <v>5004693.333333334</v>
      </c>
      <c r="AQ7" s="203"/>
    </row>
    <row r="8" spans="1:43" x14ac:dyDescent="0.25">
      <c r="A8" s="202" t="s">
        <v>27</v>
      </c>
      <c r="B8" s="202" t="s">
        <v>28</v>
      </c>
      <c r="C8" s="141">
        <f t="shared" si="0"/>
        <v>0</v>
      </c>
      <c r="D8" s="119">
        <f t="shared" si="1"/>
        <v>171559.08900000001</v>
      </c>
      <c r="E8" s="119">
        <f t="shared" si="2"/>
        <v>11678.02</v>
      </c>
      <c r="F8" s="119">
        <f t="shared" si="3"/>
        <v>34277.600000000006</v>
      </c>
      <c r="G8" s="119">
        <f t="shared" si="4"/>
        <v>10394316.232195869</v>
      </c>
      <c r="H8" s="119">
        <f t="shared" si="5"/>
        <v>0</v>
      </c>
      <c r="I8" s="119">
        <f t="shared" si="9"/>
        <v>1253125.1105</v>
      </c>
      <c r="J8" s="119">
        <f t="shared" si="6"/>
        <v>1514264.4040999999</v>
      </c>
      <c r="K8" s="119">
        <f t="shared" si="7"/>
        <v>43285.270946158009</v>
      </c>
      <c r="L8" s="159">
        <f t="shared" si="8"/>
        <v>1696176.4499347541</v>
      </c>
      <c r="M8" s="164">
        <v>0</v>
      </c>
      <c r="N8" s="267">
        <v>0</v>
      </c>
      <c r="O8" s="268">
        <v>0</v>
      </c>
      <c r="P8" s="268">
        <v>0</v>
      </c>
      <c r="Q8" s="268">
        <v>0</v>
      </c>
      <c r="R8" s="269">
        <v>0</v>
      </c>
      <c r="S8" s="141">
        <v>0</v>
      </c>
      <c r="T8" s="119">
        <v>0</v>
      </c>
      <c r="U8" s="119">
        <v>5</v>
      </c>
      <c r="V8" s="119">
        <v>175</v>
      </c>
      <c r="W8" s="145">
        <v>0</v>
      </c>
      <c r="X8" s="141">
        <v>0</v>
      </c>
      <c r="Y8" s="58">
        <v>4600</v>
      </c>
      <c r="Z8" s="88">
        <v>5600</v>
      </c>
      <c r="AA8" s="88">
        <f>VLOOKUP(B8,'Renseanlæg 2022'!L:M,2,FALSE)</f>
        <v>10394316.232195869</v>
      </c>
      <c r="AB8" s="58">
        <v>0</v>
      </c>
      <c r="AC8" s="141">
        <v>1045</v>
      </c>
      <c r="AD8" s="119">
        <v>0</v>
      </c>
      <c r="AE8" s="145">
        <v>135</v>
      </c>
      <c r="AF8" s="141">
        <v>1181</v>
      </c>
      <c r="AG8" s="119">
        <v>0</v>
      </c>
      <c r="AH8" s="58">
        <v>0</v>
      </c>
      <c r="AI8" s="88">
        <v>2</v>
      </c>
      <c r="AJ8" s="88">
        <v>1690415</v>
      </c>
      <c r="AK8" s="165" t="s">
        <v>317</v>
      </c>
      <c r="AL8" s="88">
        <v>2</v>
      </c>
      <c r="AM8" s="48"/>
      <c r="AN8" s="121">
        <v>18876208.946885023</v>
      </c>
      <c r="AO8" s="166">
        <v>1525772.6666666667</v>
      </c>
      <c r="AP8" s="118">
        <v>0</v>
      </c>
      <c r="AQ8" s="203"/>
    </row>
    <row r="9" spans="1:43" x14ac:dyDescent="0.25">
      <c r="A9" s="202" t="s">
        <v>29</v>
      </c>
      <c r="B9" s="202" t="s">
        <v>30</v>
      </c>
      <c r="C9" s="141">
        <f t="shared" si="0"/>
        <v>4788472.6546146004</v>
      </c>
      <c r="D9" s="119">
        <f t="shared" si="1"/>
        <v>8323030.4056000002</v>
      </c>
      <c r="E9" s="119">
        <f t="shared" si="2"/>
        <v>791772.8469</v>
      </c>
      <c r="F9" s="119">
        <f t="shared" si="3"/>
        <v>35134.54</v>
      </c>
      <c r="G9" s="119">
        <f t="shared" si="4"/>
        <v>0</v>
      </c>
      <c r="H9" s="119">
        <f t="shared" si="5"/>
        <v>363627.28899999999</v>
      </c>
      <c r="I9" s="119">
        <f t="shared" si="9"/>
        <v>0</v>
      </c>
      <c r="J9" s="119">
        <f t="shared" si="6"/>
        <v>0</v>
      </c>
      <c r="K9" s="119">
        <f t="shared" si="7"/>
        <v>1537626.9369755883</v>
      </c>
      <c r="L9" s="159">
        <f t="shared" si="8"/>
        <v>2216079.1203119745</v>
      </c>
      <c r="M9" s="164">
        <v>1.7748257499648638E-2</v>
      </c>
      <c r="N9" s="267">
        <v>662.48299999999995</v>
      </c>
      <c r="O9" s="268">
        <v>679.36199999999997</v>
      </c>
      <c r="P9" s="268">
        <v>0</v>
      </c>
      <c r="Q9" s="268">
        <v>0</v>
      </c>
      <c r="R9" s="269">
        <v>2.7</v>
      </c>
      <c r="S9" s="141">
        <v>886</v>
      </c>
      <c r="T9" s="119">
        <v>0</v>
      </c>
      <c r="U9" s="119">
        <v>246</v>
      </c>
      <c r="V9" s="119">
        <v>230</v>
      </c>
      <c r="W9" s="145">
        <v>0</v>
      </c>
      <c r="X9" s="141">
        <v>219505</v>
      </c>
      <c r="Y9" s="58">
        <v>183137</v>
      </c>
      <c r="Z9" s="88">
        <v>5740</v>
      </c>
      <c r="AA9" s="88">
        <f>VLOOKUP(B9,'Renseanlæg 2022'!L:M,2,FALSE)</f>
        <v>0</v>
      </c>
      <c r="AB9" s="58">
        <v>127</v>
      </c>
      <c r="AC9" s="141">
        <v>0</v>
      </c>
      <c r="AD9" s="119">
        <v>0</v>
      </c>
      <c r="AE9" s="145">
        <v>0</v>
      </c>
      <c r="AF9" s="141">
        <v>0</v>
      </c>
      <c r="AG9" s="119">
        <v>0</v>
      </c>
      <c r="AH9" s="58">
        <v>0</v>
      </c>
      <c r="AI9" s="88">
        <v>17153</v>
      </c>
      <c r="AJ9" s="88">
        <v>1628365</v>
      </c>
      <c r="AK9" s="165" t="s">
        <v>315</v>
      </c>
      <c r="AL9" s="88">
        <v>17048</v>
      </c>
      <c r="AM9" s="48"/>
      <c r="AN9" s="121">
        <v>58220.785124511145</v>
      </c>
      <c r="AO9" s="166">
        <v>87184581.919498101</v>
      </c>
      <c r="AP9" s="118">
        <v>2101013.333333333</v>
      </c>
      <c r="AQ9" s="203"/>
    </row>
    <row r="10" spans="1:43" x14ac:dyDescent="0.25">
      <c r="A10" s="202" t="s">
        <v>31</v>
      </c>
      <c r="B10" s="202" t="s">
        <v>32</v>
      </c>
      <c r="C10" s="141">
        <f t="shared" si="0"/>
        <v>2343319.88155</v>
      </c>
      <c r="D10" s="119">
        <f t="shared" si="1"/>
        <v>1193068.6227000002</v>
      </c>
      <c r="E10" s="119">
        <f t="shared" si="2"/>
        <v>434234.48019999999</v>
      </c>
      <c r="F10" s="119">
        <f t="shared" si="3"/>
        <v>168633.55000000002</v>
      </c>
      <c r="G10" s="119">
        <f t="shared" si="4"/>
        <v>1835981.5048812681</v>
      </c>
      <c r="H10" s="119">
        <f t="shared" si="5"/>
        <v>0</v>
      </c>
      <c r="I10" s="119">
        <f t="shared" si="9"/>
        <v>889237.49390000012</v>
      </c>
      <c r="J10" s="119">
        <f t="shared" si="6"/>
        <v>473072.24210000003</v>
      </c>
      <c r="K10" s="119">
        <f t="shared" si="7"/>
        <v>1244623.9170188226</v>
      </c>
      <c r="L10" s="159">
        <f t="shared" si="8"/>
        <v>2455722.7805842138</v>
      </c>
      <c r="M10" s="164">
        <v>3.5595511349145632E-2</v>
      </c>
      <c r="N10" s="267">
        <v>77.900000000000006</v>
      </c>
      <c r="O10" s="268">
        <v>398.9</v>
      </c>
      <c r="P10" s="268">
        <v>0</v>
      </c>
      <c r="Q10" s="268">
        <v>0</v>
      </c>
      <c r="R10" s="269">
        <v>2.5</v>
      </c>
      <c r="S10" s="141">
        <v>0</v>
      </c>
      <c r="T10" s="119">
        <v>57</v>
      </c>
      <c r="U10" s="119">
        <v>5</v>
      </c>
      <c r="V10" s="119">
        <v>1405</v>
      </c>
      <c r="W10" s="145">
        <v>0</v>
      </c>
      <c r="X10" s="141">
        <v>0</v>
      </c>
      <c r="Y10" s="58">
        <v>171046</v>
      </c>
      <c r="Z10" s="88">
        <v>27550</v>
      </c>
      <c r="AA10" s="88">
        <f>VLOOKUP(B10,'Renseanlæg 2022'!L:M,2,FALSE)</f>
        <v>1835981.5048812681</v>
      </c>
      <c r="AB10" s="58">
        <v>0</v>
      </c>
      <c r="AC10" s="141">
        <v>0</v>
      </c>
      <c r="AD10" s="119">
        <v>196</v>
      </c>
      <c r="AE10" s="145">
        <v>0</v>
      </c>
      <c r="AF10" s="141">
        <v>137</v>
      </c>
      <c r="AG10" s="119">
        <v>0</v>
      </c>
      <c r="AH10" s="58">
        <v>0</v>
      </c>
      <c r="AI10" s="88">
        <v>10033</v>
      </c>
      <c r="AJ10" s="88">
        <v>1309856</v>
      </c>
      <c r="AK10" s="165" t="s">
        <v>316</v>
      </c>
      <c r="AL10" s="88">
        <v>13957</v>
      </c>
      <c r="AM10" s="48"/>
      <c r="AN10" s="121">
        <v>1850224.6838327614</v>
      </c>
      <c r="AO10" s="166">
        <v>45389178.666666657</v>
      </c>
      <c r="AP10" s="118">
        <v>1719426.6666666665</v>
      </c>
      <c r="AQ10" s="203"/>
    </row>
    <row r="11" spans="1:43" x14ac:dyDescent="0.25">
      <c r="A11" s="202" t="s">
        <v>33</v>
      </c>
      <c r="B11" s="202" t="s">
        <v>34</v>
      </c>
      <c r="C11" s="141">
        <f t="shared" si="0"/>
        <v>6983.9567999999999</v>
      </c>
      <c r="D11" s="119">
        <f t="shared" si="1"/>
        <v>0</v>
      </c>
      <c r="E11" s="119">
        <f t="shared" si="2"/>
        <v>0</v>
      </c>
      <c r="F11" s="119">
        <f t="shared" si="3"/>
        <v>257082.00000000003</v>
      </c>
      <c r="G11" s="119">
        <f t="shared" si="4"/>
        <v>63656208.007070474</v>
      </c>
      <c r="H11" s="119">
        <f t="shared" si="5"/>
        <v>0</v>
      </c>
      <c r="I11" s="119">
        <f t="shared" si="9"/>
        <v>22174751.4443</v>
      </c>
      <c r="J11" s="119">
        <f t="shared" si="6"/>
        <v>23491338.612399999</v>
      </c>
      <c r="K11" s="119">
        <f t="shared" si="7"/>
        <v>74760.498561130677</v>
      </c>
      <c r="L11" s="159">
        <f t="shared" si="8"/>
        <v>14864158.862043148</v>
      </c>
      <c r="M11" s="164">
        <v>2.6666666666666666E-3</v>
      </c>
      <c r="N11" s="267">
        <v>3</v>
      </c>
      <c r="O11" s="268">
        <v>0</v>
      </c>
      <c r="P11" s="268">
        <v>0</v>
      </c>
      <c r="Q11" s="268">
        <v>0</v>
      </c>
      <c r="R11" s="269">
        <v>0</v>
      </c>
      <c r="S11" s="141">
        <v>0</v>
      </c>
      <c r="T11" s="119">
        <v>0</v>
      </c>
      <c r="U11" s="119">
        <v>0</v>
      </c>
      <c r="V11" s="119">
        <v>0</v>
      </c>
      <c r="W11" s="145">
        <v>0</v>
      </c>
      <c r="X11" s="141">
        <v>0</v>
      </c>
      <c r="Y11" s="58">
        <v>0</v>
      </c>
      <c r="Z11" s="88">
        <v>42000</v>
      </c>
      <c r="AA11" s="88">
        <f>VLOOKUP(B11,'Renseanlæg 2022'!L:M,2,FALSE)</f>
        <v>63656208.007070474</v>
      </c>
      <c r="AB11" s="58">
        <v>0</v>
      </c>
      <c r="AC11" s="141">
        <v>0</v>
      </c>
      <c r="AD11" s="119">
        <v>27937</v>
      </c>
      <c r="AE11" s="145">
        <v>0</v>
      </c>
      <c r="AF11" s="141">
        <v>2142</v>
      </c>
      <c r="AG11" s="119">
        <v>0</v>
      </c>
      <c r="AH11" s="58">
        <v>10766</v>
      </c>
      <c r="AI11" s="88">
        <v>8</v>
      </c>
      <c r="AJ11" s="88">
        <v>44671632</v>
      </c>
      <c r="AK11" s="165" t="s">
        <v>317</v>
      </c>
      <c r="AL11" s="88">
        <v>8</v>
      </c>
      <c r="AM11" s="48"/>
      <c r="AN11" s="121">
        <v>227371631.58480597</v>
      </c>
      <c r="AO11" s="166">
        <v>1909595.4026666665</v>
      </c>
      <c r="AP11" s="118">
        <v>4485993.3870815644</v>
      </c>
      <c r="AQ11" s="203"/>
    </row>
    <row r="12" spans="1:43" x14ac:dyDescent="0.25">
      <c r="A12" s="202" t="s">
        <v>35</v>
      </c>
      <c r="B12" s="202" t="s">
        <v>36</v>
      </c>
      <c r="C12" s="141">
        <f t="shared" si="0"/>
        <v>216728.46752400001</v>
      </c>
      <c r="D12" s="119">
        <f t="shared" si="1"/>
        <v>4303122.8747000005</v>
      </c>
      <c r="E12" s="119">
        <f t="shared" si="2"/>
        <v>0</v>
      </c>
      <c r="F12" s="119">
        <f t="shared" si="3"/>
        <v>1166338.1870000002</v>
      </c>
      <c r="G12" s="119">
        <f t="shared" si="4"/>
        <v>23456410.585237827</v>
      </c>
      <c r="H12" s="119">
        <f t="shared" si="5"/>
        <v>0</v>
      </c>
      <c r="I12" s="119">
        <f t="shared" si="9"/>
        <v>7191793.6955000004</v>
      </c>
      <c r="J12" s="119">
        <f t="shared" si="6"/>
        <v>16858910.476499997</v>
      </c>
      <c r="K12" s="119">
        <f t="shared" si="7"/>
        <v>81634.571232638642</v>
      </c>
      <c r="L12" s="159">
        <f t="shared" si="8"/>
        <v>6451610.8311905302</v>
      </c>
      <c r="M12" s="164">
        <v>1.7403411068569441E-4</v>
      </c>
      <c r="N12" s="267">
        <v>19.82</v>
      </c>
      <c r="O12" s="268">
        <v>34.92</v>
      </c>
      <c r="P12" s="268">
        <v>2.72</v>
      </c>
      <c r="Q12" s="268">
        <v>0</v>
      </c>
      <c r="R12" s="269">
        <v>0</v>
      </c>
      <c r="S12" s="141">
        <v>0</v>
      </c>
      <c r="T12" s="119">
        <v>0</v>
      </c>
      <c r="U12" s="119">
        <v>0</v>
      </c>
      <c r="V12" s="119">
        <v>0</v>
      </c>
      <c r="W12" s="145">
        <v>20059</v>
      </c>
      <c r="X12" s="141">
        <v>0</v>
      </c>
      <c r="Y12" s="58">
        <v>0</v>
      </c>
      <c r="Z12" s="88">
        <v>190547</v>
      </c>
      <c r="AA12" s="88">
        <f>VLOOKUP(B12,'Renseanlæg 2022'!L:M,2,FALSE)</f>
        <v>23456410.585237827</v>
      </c>
      <c r="AB12" s="58">
        <v>0</v>
      </c>
      <c r="AC12" s="141">
        <v>0</v>
      </c>
      <c r="AD12" s="119">
        <v>8410</v>
      </c>
      <c r="AE12" s="145">
        <v>0</v>
      </c>
      <c r="AF12" s="141">
        <v>0</v>
      </c>
      <c r="AG12" s="119">
        <v>0</v>
      </c>
      <c r="AH12" s="58">
        <v>8463</v>
      </c>
      <c r="AI12" s="88">
        <v>10</v>
      </c>
      <c r="AJ12" s="88">
        <v>12683355</v>
      </c>
      <c r="AK12" s="165" t="s">
        <v>317</v>
      </c>
      <c r="AL12" s="88">
        <v>10</v>
      </c>
      <c r="AM12" s="48"/>
      <c r="AN12" s="121">
        <v>49346553.539790191</v>
      </c>
      <c r="AO12" s="166">
        <v>27602207.930626668</v>
      </c>
      <c r="AP12" s="118">
        <v>1991704.1866666665</v>
      </c>
      <c r="AQ12" s="203"/>
    </row>
    <row r="13" spans="1:43" x14ac:dyDescent="0.25">
      <c r="A13" s="202" t="s">
        <v>37</v>
      </c>
      <c r="B13" s="202" t="s">
        <v>38</v>
      </c>
      <c r="C13" s="141">
        <f t="shared" si="0"/>
        <v>3016350.2758379998</v>
      </c>
      <c r="D13" s="119">
        <f t="shared" si="1"/>
        <v>3310211.0325000002</v>
      </c>
      <c r="E13" s="119">
        <f t="shared" si="2"/>
        <v>4315.79</v>
      </c>
      <c r="F13" s="119">
        <f t="shared" si="3"/>
        <v>275445</v>
      </c>
      <c r="G13" s="119">
        <f t="shared" si="4"/>
        <v>10553222.235489201</v>
      </c>
      <c r="H13" s="119">
        <f t="shared" si="5"/>
        <v>0</v>
      </c>
      <c r="I13" s="119">
        <f t="shared" si="9"/>
        <v>1121000.7193700001</v>
      </c>
      <c r="J13" s="119">
        <f t="shared" si="6"/>
        <v>1420417.4860499999</v>
      </c>
      <c r="K13" s="119">
        <f t="shared" si="7"/>
        <v>1561821.9939099038</v>
      </c>
      <c r="L13" s="159">
        <f t="shared" si="8"/>
        <v>3223962.4631816205</v>
      </c>
      <c r="M13" s="164">
        <v>3.1554668817478176E-2</v>
      </c>
      <c r="N13" s="267">
        <v>325.08999999999997</v>
      </c>
      <c r="O13" s="268">
        <v>572.02</v>
      </c>
      <c r="P13" s="268">
        <v>0</v>
      </c>
      <c r="Q13" s="268">
        <v>0</v>
      </c>
      <c r="R13" s="269">
        <v>0.57999999999999996</v>
      </c>
      <c r="S13" s="141">
        <v>34</v>
      </c>
      <c r="T13" s="119">
        <v>91</v>
      </c>
      <c r="U13" s="119">
        <v>87</v>
      </c>
      <c r="V13" s="119">
        <v>107</v>
      </c>
      <c r="W13" s="145">
        <v>680</v>
      </c>
      <c r="X13" s="141">
        <v>0</v>
      </c>
      <c r="Y13" s="58">
        <v>1700</v>
      </c>
      <c r="Z13" s="88">
        <v>45000</v>
      </c>
      <c r="AA13" s="88">
        <f>VLOOKUP(B13,'Renseanlæg 2022'!L:M,2,FALSE)</f>
        <v>10553222.235489201</v>
      </c>
      <c r="AB13" s="58">
        <v>0</v>
      </c>
      <c r="AC13" s="141">
        <v>1197.0999999999999</v>
      </c>
      <c r="AD13" s="119">
        <v>0</v>
      </c>
      <c r="AE13" s="145">
        <v>30</v>
      </c>
      <c r="AF13" s="141">
        <v>1086.9000000000001</v>
      </c>
      <c r="AG13" s="119">
        <v>0</v>
      </c>
      <c r="AH13" s="58">
        <v>0</v>
      </c>
      <c r="AI13" s="88">
        <v>17846</v>
      </c>
      <c r="AJ13" s="88">
        <v>1726721</v>
      </c>
      <c r="AK13" s="165" t="s">
        <v>316</v>
      </c>
      <c r="AL13" s="88">
        <v>22300</v>
      </c>
      <c r="AM13" s="48"/>
      <c r="AN13" s="121">
        <v>7554301.2294957349</v>
      </c>
      <c r="AO13" s="166">
        <v>64494022.719866678</v>
      </c>
      <c r="AP13" s="118">
        <v>1068083.6087062652</v>
      </c>
      <c r="AQ13" s="203"/>
    </row>
    <row r="14" spans="1:43" x14ac:dyDescent="0.25">
      <c r="A14" s="202" t="s">
        <v>39</v>
      </c>
      <c r="B14" s="202" t="s">
        <v>40</v>
      </c>
      <c r="C14" s="141">
        <f t="shared" si="0"/>
        <v>2155119.6263000001</v>
      </c>
      <c r="D14" s="119">
        <f t="shared" si="1"/>
        <v>574381.03560000006</v>
      </c>
      <c r="E14" s="119">
        <f t="shared" si="2"/>
        <v>386293.17250000004</v>
      </c>
      <c r="F14" s="119">
        <f t="shared" si="3"/>
        <v>267408.12700000004</v>
      </c>
      <c r="G14" s="119">
        <f t="shared" si="4"/>
        <v>0</v>
      </c>
      <c r="H14" s="119">
        <f t="shared" si="5"/>
        <v>0</v>
      </c>
      <c r="I14" s="119">
        <f t="shared" si="9"/>
        <v>0</v>
      </c>
      <c r="J14" s="119">
        <f t="shared" si="6"/>
        <v>0</v>
      </c>
      <c r="K14" s="119">
        <f t="shared" si="7"/>
        <v>1006951.5358003497</v>
      </c>
      <c r="L14" s="159">
        <f t="shared" si="8"/>
        <v>2434332.7556863078</v>
      </c>
      <c r="M14" s="164">
        <v>0.1398076923076923</v>
      </c>
      <c r="N14" s="267">
        <v>17</v>
      </c>
      <c r="O14" s="268">
        <v>203</v>
      </c>
      <c r="P14" s="268">
        <v>34</v>
      </c>
      <c r="Q14" s="268">
        <v>0</v>
      </c>
      <c r="R14" s="269">
        <v>3</v>
      </c>
      <c r="S14" s="141">
        <v>0</v>
      </c>
      <c r="T14" s="119">
        <v>11</v>
      </c>
      <c r="U14" s="119">
        <v>14</v>
      </c>
      <c r="V14" s="119">
        <v>401</v>
      </c>
      <c r="W14" s="145">
        <v>0</v>
      </c>
      <c r="X14" s="141">
        <v>205989</v>
      </c>
      <c r="Y14" s="58">
        <v>31345</v>
      </c>
      <c r="Z14" s="88">
        <v>43687</v>
      </c>
      <c r="AA14" s="88">
        <f>VLOOKUP(B14,'Renseanlæg 2022'!L:M,2,FALSE)</f>
        <v>0</v>
      </c>
      <c r="AB14" s="58">
        <v>0</v>
      </c>
      <c r="AC14" s="141">
        <v>0</v>
      </c>
      <c r="AD14" s="119">
        <v>0</v>
      </c>
      <c r="AE14" s="145">
        <v>0</v>
      </c>
      <c r="AF14" s="141">
        <v>0</v>
      </c>
      <c r="AG14" s="119">
        <v>0</v>
      </c>
      <c r="AH14" s="58">
        <v>0</v>
      </c>
      <c r="AI14" s="88">
        <v>5861</v>
      </c>
      <c r="AJ14" s="88">
        <v>1779296</v>
      </c>
      <c r="AK14" s="165" t="s">
        <v>315</v>
      </c>
      <c r="AL14" s="88">
        <v>21810</v>
      </c>
      <c r="AM14" s="48"/>
      <c r="AN14" s="121">
        <v>0</v>
      </c>
      <c r="AO14" s="166">
        <v>31633115.612</v>
      </c>
      <c r="AP14" s="118">
        <v>72922.36</v>
      </c>
      <c r="AQ14" s="203"/>
    </row>
    <row r="15" spans="1:43" x14ac:dyDescent="0.25">
      <c r="A15" s="202" t="s">
        <v>41</v>
      </c>
      <c r="B15" s="202" t="s">
        <v>42</v>
      </c>
      <c r="C15" s="141">
        <f t="shared" si="0"/>
        <v>2876279.5537</v>
      </c>
      <c r="D15" s="119">
        <f t="shared" si="1"/>
        <v>2229472.1966000004</v>
      </c>
      <c r="E15" s="119">
        <f t="shared" si="2"/>
        <v>116398.4298</v>
      </c>
      <c r="F15" s="119">
        <f t="shared" si="3"/>
        <v>164042.80000000002</v>
      </c>
      <c r="G15" s="119">
        <f t="shared" si="4"/>
        <v>5528008.1575319394</v>
      </c>
      <c r="H15" s="119">
        <f t="shared" si="5"/>
        <v>0</v>
      </c>
      <c r="I15" s="119">
        <f>IF(SUM(AC15:AE15)&gt;0,738847.7915+277.6197*AC15+767.2944*AD15+1660.4795*AE15,0)</f>
        <v>1261773.1680000001</v>
      </c>
      <c r="J15" s="119">
        <f t="shared" si="6"/>
        <v>1531259.5032000002</v>
      </c>
      <c r="K15" s="119">
        <f t="shared" si="7"/>
        <v>1350036.9185992025</v>
      </c>
      <c r="L15" s="159">
        <f t="shared" si="8"/>
        <v>2369679.9410902523</v>
      </c>
      <c r="M15" s="164">
        <v>3.6949115044247791E-2</v>
      </c>
      <c r="N15" s="267">
        <v>201</v>
      </c>
      <c r="O15" s="268">
        <v>380</v>
      </c>
      <c r="P15" s="268">
        <v>47</v>
      </c>
      <c r="Q15" s="268">
        <v>0</v>
      </c>
      <c r="R15" s="269">
        <v>1</v>
      </c>
      <c r="S15" s="141">
        <v>6</v>
      </c>
      <c r="T15" s="119">
        <v>20</v>
      </c>
      <c r="U15" s="119">
        <v>59</v>
      </c>
      <c r="V15" s="119">
        <v>1957</v>
      </c>
      <c r="W15" s="145">
        <v>0</v>
      </c>
      <c r="X15" s="141">
        <v>30000</v>
      </c>
      <c r="Y15" s="58">
        <v>28254</v>
      </c>
      <c r="Z15" s="88">
        <v>26800</v>
      </c>
      <c r="AA15" s="88">
        <f>VLOOKUP(B15,'Renseanlæg 2022'!L:M,2,FALSE)</f>
        <v>5528008.1575319394</v>
      </c>
      <c r="AB15" s="58">
        <v>0</v>
      </c>
      <c r="AC15" s="141">
        <v>490</v>
      </c>
      <c r="AD15" s="119">
        <v>0</v>
      </c>
      <c r="AE15" s="145">
        <v>233</v>
      </c>
      <c r="AF15" s="141">
        <v>0</v>
      </c>
      <c r="AG15" s="119">
        <v>0</v>
      </c>
      <c r="AH15" s="58">
        <v>612</v>
      </c>
      <c r="AI15" s="88">
        <v>12331</v>
      </c>
      <c r="AJ15" s="88">
        <v>1263280</v>
      </c>
      <c r="AK15" s="165" t="s">
        <v>316</v>
      </c>
      <c r="AL15" s="88">
        <v>16701</v>
      </c>
      <c r="AM15" s="48"/>
      <c r="AN15" s="121">
        <v>5157527.7715448709</v>
      </c>
      <c r="AO15" s="166">
        <v>52739763.558986224</v>
      </c>
      <c r="AP15" s="118">
        <v>1358381.3352609214</v>
      </c>
      <c r="AQ15" s="203"/>
    </row>
    <row r="16" spans="1:43" x14ac:dyDescent="0.25">
      <c r="A16" s="202" t="s">
        <v>43</v>
      </c>
      <c r="B16" s="202" t="s">
        <v>44</v>
      </c>
      <c r="C16" s="141">
        <f t="shared" si="0"/>
        <v>3368037.9655110002</v>
      </c>
      <c r="D16" s="119">
        <f t="shared" si="1"/>
        <v>4549368.9514000006</v>
      </c>
      <c r="E16" s="119">
        <f t="shared" si="2"/>
        <v>478817.54009999998</v>
      </c>
      <c r="F16" s="119">
        <f t="shared" si="3"/>
        <v>151604.92800000001</v>
      </c>
      <c r="G16" s="119">
        <f t="shared" si="4"/>
        <v>4522133.2733905222</v>
      </c>
      <c r="H16" s="119">
        <f t="shared" si="5"/>
        <v>8589.6209999999992</v>
      </c>
      <c r="I16" s="119">
        <f t="shared" si="9"/>
        <v>1205264.99245</v>
      </c>
      <c r="J16" s="119">
        <f t="shared" si="6"/>
        <v>613693.02260000003</v>
      </c>
      <c r="K16" s="119">
        <f t="shared" si="7"/>
        <v>1469455.1986165198</v>
      </c>
      <c r="L16" s="159">
        <f t="shared" si="8"/>
        <v>2930362.8247618056</v>
      </c>
      <c r="M16" s="164">
        <v>4.2203595879454846E-2</v>
      </c>
      <c r="N16" s="267">
        <v>142.26</v>
      </c>
      <c r="O16" s="268">
        <v>480.94</v>
      </c>
      <c r="P16" s="268">
        <v>55.47</v>
      </c>
      <c r="Q16" s="268">
        <v>0</v>
      </c>
      <c r="R16" s="269">
        <v>1.45</v>
      </c>
      <c r="S16" s="141">
        <v>59</v>
      </c>
      <c r="T16" s="119">
        <v>46</v>
      </c>
      <c r="U16" s="119">
        <v>95</v>
      </c>
      <c r="V16" s="119">
        <v>4137</v>
      </c>
      <c r="W16" s="145">
        <v>1650</v>
      </c>
      <c r="X16" s="141">
        <v>42734</v>
      </c>
      <c r="Y16" s="58">
        <v>163543</v>
      </c>
      <c r="Z16" s="88">
        <v>24768</v>
      </c>
      <c r="AA16" s="88">
        <f>VLOOKUP(B16,'Renseanlæg 2022'!L:M,2,FALSE)</f>
        <v>4522133.2733905222</v>
      </c>
      <c r="AB16" s="58">
        <v>3</v>
      </c>
      <c r="AC16" s="141">
        <v>335.5</v>
      </c>
      <c r="AD16" s="119">
        <v>0</v>
      </c>
      <c r="AE16" s="145">
        <v>224.8</v>
      </c>
      <c r="AF16" s="141">
        <v>278</v>
      </c>
      <c r="AG16" s="119">
        <v>0</v>
      </c>
      <c r="AH16" s="58">
        <v>0</v>
      </c>
      <c r="AI16" s="88">
        <v>15289</v>
      </c>
      <c r="AJ16" s="88">
        <v>1567207</v>
      </c>
      <c r="AK16" s="165" t="s">
        <v>316</v>
      </c>
      <c r="AL16" s="88">
        <v>19788</v>
      </c>
      <c r="AM16" s="48"/>
      <c r="AN16" s="121">
        <v>3984339.1408665041</v>
      </c>
      <c r="AO16" s="166">
        <v>69982862.111043587</v>
      </c>
      <c r="AP16" s="118">
        <v>1041318.1725902964</v>
      </c>
      <c r="AQ16" s="203"/>
    </row>
    <row r="17" spans="1:43" x14ac:dyDescent="0.25">
      <c r="A17" s="202" t="s">
        <v>45</v>
      </c>
      <c r="B17" s="202" t="s">
        <v>46</v>
      </c>
      <c r="C17" s="141">
        <f t="shared" si="0"/>
        <v>11973741.293515</v>
      </c>
      <c r="D17" s="119">
        <f t="shared" si="1"/>
        <v>5609427.3410000009</v>
      </c>
      <c r="E17" s="119">
        <f t="shared" si="2"/>
        <v>1465680.301</v>
      </c>
      <c r="F17" s="119">
        <f t="shared" si="3"/>
        <v>608237.64900000009</v>
      </c>
      <c r="G17" s="119">
        <f t="shared" si="4"/>
        <v>18966526.134022694</v>
      </c>
      <c r="H17" s="119">
        <f t="shared" si="5"/>
        <v>0</v>
      </c>
      <c r="I17" s="119">
        <f t="shared" si="9"/>
        <v>1712726.5710080001</v>
      </c>
      <c r="J17" s="119">
        <f t="shared" si="6"/>
        <v>2278503.6096200002</v>
      </c>
      <c r="K17" s="119">
        <f t="shared" si="7"/>
        <v>1983725.2556822568</v>
      </c>
      <c r="L17" s="159">
        <f t="shared" si="8"/>
        <v>6569685.5098607019</v>
      </c>
      <c r="M17" s="164">
        <v>2.4384227847924368E-2</v>
      </c>
      <c r="N17" s="267">
        <v>671.48</v>
      </c>
      <c r="O17" s="268">
        <v>1320.61</v>
      </c>
      <c r="P17" s="268">
        <v>87.16</v>
      </c>
      <c r="Q17" s="268">
        <v>0</v>
      </c>
      <c r="R17" s="269">
        <v>15.03</v>
      </c>
      <c r="S17" s="141">
        <v>4</v>
      </c>
      <c r="T17" s="119">
        <v>56</v>
      </c>
      <c r="U17" s="119">
        <v>214</v>
      </c>
      <c r="V17" s="119">
        <v>0</v>
      </c>
      <c r="W17" s="145">
        <v>0</v>
      </c>
      <c r="X17" s="141">
        <v>385451</v>
      </c>
      <c r="Y17" s="58">
        <v>351260</v>
      </c>
      <c r="Z17" s="88">
        <v>99369</v>
      </c>
      <c r="AA17" s="88">
        <f>VLOOKUP(B17,'Renseanlæg 2022'!L:M,2,FALSE)</f>
        <v>18966526.134022694</v>
      </c>
      <c r="AB17" s="58">
        <v>0</v>
      </c>
      <c r="AC17" s="141">
        <v>662.76</v>
      </c>
      <c r="AD17" s="119">
        <v>1029.44</v>
      </c>
      <c r="AE17" s="145">
        <v>0</v>
      </c>
      <c r="AF17" s="141">
        <v>1425.8</v>
      </c>
      <c r="AG17" s="119">
        <v>0</v>
      </c>
      <c r="AH17" s="58">
        <v>266.39999999999998</v>
      </c>
      <c r="AI17" s="88">
        <v>32733</v>
      </c>
      <c r="AJ17" s="88">
        <v>3556746</v>
      </c>
      <c r="AK17" s="165" t="s">
        <v>316</v>
      </c>
      <c r="AL17" s="88">
        <v>34897</v>
      </c>
      <c r="AM17" s="48"/>
      <c r="AN17" s="121">
        <v>15213483.767872497</v>
      </c>
      <c r="AO17" s="166">
        <v>233476937.11252907</v>
      </c>
      <c r="AP17" s="118">
        <v>3421453.3333333335</v>
      </c>
      <c r="AQ17" s="203"/>
    </row>
    <row r="18" spans="1:43" x14ac:dyDescent="0.25">
      <c r="A18" s="202" t="s">
        <v>47</v>
      </c>
      <c r="B18" s="202" t="s">
        <v>48</v>
      </c>
      <c r="C18" s="141">
        <f t="shared" si="0"/>
        <v>12016816.995157</v>
      </c>
      <c r="D18" s="119">
        <f t="shared" si="1"/>
        <v>7884396.6761600003</v>
      </c>
      <c r="E18" s="119">
        <f t="shared" si="2"/>
        <v>1449916.4689</v>
      </c>
      <c r="F18" s="119">
        <f t="shared" si="3"/>
        <v>242318.14800000002</v>
      </c>
      <c r="G18" s="119">
        <f t="shared" si="4"/>
        <v>38342238.902836524</v>
      </c>
      <c r="H18" s="119">
        <f t="shared" si="5"/>
        <v>22905.655999999999</v>
      </c>
      <c r="I18" s="119">
        <f t="shared" si="9"/>
        <v>5817038.9205999998</v>
      </c>
      <c r="J18" s="119">
        <f t="shared" si="6"/>
        <v>2717674.88632</v>
      </c>
      <c r="K18" s="119">
        <f t="shared" si="7"/>
        <v>2435908.2762831757</v>
      </c>
      <c r="L18" s="159">
        <f t="shared" si="8"/>
        <v>15673814.329751655</v>
      </c>
      <c r="M18" s="164">
        <v>4.8182059780673824E-2</v>
      </c>
      <c r="N18" s="267">
        <v>816.57</v>
      </c>
      <c r="O18" s="268">
        <v>1864.1</v>
      </c>
      <c r="P18" s="268">
        <v>96.89</v>
      </c>
      <c r="Q18" s="268">
        <v>0</v>
      </c>
      <c r="R18" s="269">
        <v>6.31</v>
      </c>
      <c r="S18" s="141">
        <v>122</v>
      </c>
      <c r="T18" s="119">
        <v>145</v>
      </c>
      <c r="U18" s="119">
        <v>214</v>
      </c>
      <c r="V18" s="119">
        <v>3006.2</v>
      </c>
      <c r="W18" s="145">
        <v>0</v>
      </c>
      <c r="X18" s="141">
        <v>205992</v>
      </c>
      <c r="Y18" s="58">
        <v>450307</v>
      </c>
      <c r="Z18" s="88">
        <v>39588</v>
      </c>
      <c r="AA18" s="88">
        <f>VLOOKUP(B18,'Renseanlæg 2022'!L:M,2,FALSE)</f>
        <v>38342238.902836524</v>
      </c>
      <c r="AB18" s="58">
        <v>8</v>
      </c>
      <c r="AC18" s="141">
        <v>1232</v>
      </c>
      <c r="AD18" s="119">
        <v>3158</v>
      </c>
      <c r="AE18" s="145">
        <v>1393</v>
      </c>
      <c r="AF18" s="141">
        <v>2381</v>
      </c>
      <c r="AG18" s="119">
        <v>0</v>
      </c>
      <c r="AH18" s="58">
        <v>3.4</v>
      </c>
      <c r="AI18" s="88">
        <v>55108</v>
      </c>
      <c r="AJ18" s="88">
        <v>8597947</v>
      </c>
      <c r="AK18" s="165" t="s">
        <v>316</v>
      </c>
      <c r="AL18" s="88">
        <v>96089</v>
      </c>
      <c r="AM18" s="48"/>
      <c r="AN18" s="121">
        <v>46171566.608531035</v>
      </c>
      <c r="AO18" s="166">
        <v>212849122.92466676</v>
      </c>
      <c r="AP18" s="118">
        <v>8434640</v>
      </c>
      <c r="AQ18" s="203"/>
    </row>
    <row r="19" spans="1:43" x14ac:dyDescent="0.25">
      <c r="A19" s="202" t="s">
        <v>49</v>
      </c>
      <c r="B19" s="202" t="s">
        <v>50</v>
      </c>
      <c r="C19" s="141">
        <f t="shared" si="0"/>
        <v>3928424.4728620006</v>
      </c>
      <c r="D19" s="119">
        <f t="shared" si="1"/>
        <v>4083063.3449999997</v>
      </c>
      <c r="E19" s="119">
        <f t="shared" si="2"/>
        <v>1235296.0759000001</v>
      </c>
      <c r="F19" s="119">
        <f t="shared" si="3"/>
        <v>28242.294000000002</v>
      </c>
      <c r="G19" s="119">
        <f t="shared" si="4"/>
        <v>9777652.2760170698</v>
      </c>
      <c r="H19" s="119">
        <f t="shared" si="5"/>
        <v>42948.104999999996</v>
      </c>
      <c r="I19" s="119">
        <f t="shared" si="9"/>
        <v>1381992.9441</v>
      </c>
      <c r="J19" s="119">
        <f t="shared" si="6"/>
        <v>1009395.8233</v>
      </c>
      <c r="K19" s="119">
        <f t="shared" si="7"/>
        <v>1481054.045313668</v>
      </c>
      <c r="L19" s="159">
        <f t="shared" si="8"/>
        <v>3229890.3840136915</v>
      </c>
      <c r="M19" s="164">
        <v>2.6517829118847147E-2</v>
      </c>
      <c r="N19" s="267">
        <v>467.91</v>
      </c>
      <c r="O19" s="268">
        <v>730.1</v>
      </c>
      <c r="P19" s="268">
        <v>0</v>
      </c>
      <c r="Q19" s="268">
        <v>0</v>
      </c>
      <c r="R19" s="269">
        <v>0.57999999999999996</v>
      </c>
      <c r="S19" s="141">
        <v>0</v>
      </c>
      <c r="T19" s="119">
        <v>222</v>
      </c>
      <c r="U19" s="119">
        <v>56</v>
      </c>
      <c r="V19" s="119">
        <v>1000</v>
      </c>
      <c r="W19" s="145">
        <v>0</v>
      </c>
      <c r="X19" s="141">
        <v>230050</v>
      </c>
      <c r="Y19" s="58">
        <v>351657</v>
      </c>
      <c r="Z19" s="88">
        <v>4614</v>
      </c>
      <c r="AA19" s="88">
        <f>VLOOKUP(B19,'Renseanlæg 2022'!L:M,2,FALSE)</f>
        <v>9777652.2760170698</v>
      </c>
      <c r="AB19" s="58">
        <v>15</v>
      </c>
      <c r="AC19" s="141">
        <v>618</v>
      </c>
      <c r="AD19" s="119">
        <v>0</v>
      </c>
      <c r="AE19" s="145">
        <v>284</v>
      </c>
      <c r="AF19" s="141">
        <v>618</v>
      </c>
      <c r="AG19" s="119">
        <v>0</v>
      </c>
      <c r="AH19" s="58">
        <v>29</v>
      </c>
      <c r="AI19" s="88">
        <v>15597</v>
      </c>
      <c r="AJ19" s="88">
        <v>1729944</v>
      </c>
      <c r="AK19" s="165" t="s">
        <v>316</v>
      </c>
      <c r="AL19" s="88">
        <v>19432</v>
      </c>
      <c r="AM19" s="48"/>
      <c r="AN19" s="121">
        <v>9768607.5998658855</v>
      </c>
      <c r="AO19" s="166">
        <v>99846308.031666666</v>
      </c>
      <c r="AP19" s="118">
        <v>1031800</v>
      </c>
      <c r="AQ19" s="203"/>
    </row>
    <row r="20" spans="1:43" x14ac:dyDescent="0.25">
      <c r="A20" s="202" t="s">
        <v>51</v>
      </c>
      <c r="B20" s="202" t="s">
        <v>52</v>
      </c>
      <c r="C20" s="141">
        <f t="shared" si="0"/>
        <v>2881782.3984059999</v>
      </c>
      <c r="D20" s="119">
        <f t="shared" si="1"/>
        <v>3732754.7930000005</v>
      </c>
      <c r="E20" s="119">
        <f t="shared" si="2"/>
        <v>286312.04729999998</v>
      </c>
      <c r="F20" s="119">
        <f t="shared" si="3"/>
        <v>41530.985000000001</v>
      </c>
      <c r="G20" s="119">
        <f t="shared" si="4"/>
        <v>0</v>
      </c>
      <c r="H20" s="119">
        <f t="shared" si="5"/>
        <v>154613.17799999999</v>
      </c>
      <c r="I20" s="119">
        <f t="shared" si="9"/>
        <v>0</v>
      </c>
      <c r="J20" s="119">
        <f t="shared" si="6"/>
        <v>0</v>
      </c>
      <c r="K20" s="119">
        <f t="shared" si="7"/>
        <v>1365056.8122981545</v>
      </c>
      <c r="L20" s="159">
        <f t="shared" si="8"/>
        <v>1825555.4497802875</v>
      </c>
      <c r="M20" s="164">
        <v>2.6779002491659272E-2</v>
      </c>
      <c r="N20" s="267">
        <v>265.3</v>
      </c>
      <c r="O20" s="268">
        <v>428.3</v>
      </c>
      <c r="P20" s="268">
        <v>0</v>
      </c>
      <c r="Q20" s="268">
        <v>0</v>
      </c>
      <c r="R20" s="269">
        <v>2.48</v>
      </c>
      <c r="S20" s="141">
        <v>216</v>
      </c>
      <c r="T20" s="119">
        <v>0</v>
      </c>
      <c r="U20" s="119">
        <v>134</v>
      </c>
      <c r="V20" s="119">
        <v>0</v>
      </c>
      <c r="W20" s="145">
        <v>0</v>
      </c>
      <c r="X20" s="141">
        <v>0</v>
      </c>
      <c r="Y20" s="58">
        <v>112779</v>
      </c>
      <c r="Z20" s="88">
        <v>6785</v>
      </c>
      <c r="AA20" s="88">
        <f>VLOOKUP(B20,'Renseanlæg 2022'!L:M,2,FALSE)</f>
        <v>0</v>
      </c>
      <c r="AB20" s="58">
        <v>54</v>
      </c>
      <c r="AC20" s="141">
        <v>0</v>
      </c>
      <c r="AD20" s="119">
        <v>0</v>
      </c>
      <c r="AE20" s="145">
        <v>0</v>
      </c>
      <c r="AF20" s="141">
        <v>0</v>
      </c>
      <c r="AG20" s="119">
        <v>0</v>
      </c>
      <c r="AH20" s="58">
        <v>0</v>
      </c>
      <c r="AI20" s="88">
        <v>12682</v>
      </c>
      <c r="AJ20" s="88">
        <v>1356140</v>
      </c>
      <c r="AK20" s="165" t="s">
        <v>315</v>
      </c>
      <c r="AL20" s="88">
        <v>12682</v>
      </c>
      <c r="AM20" s="48"/>
      <c r="AN20" s="121">
        <v>0</v>
      </c>
      <c r="AO20" s="166">
        <v>61707979.6972121</v>
      </c>
      <c r="AP20" s="118">
        <v>225000</v>
      </c>
      <c r="AQ20" s="203"/>
    </row>
    <row r="21" spans="1:43" x14ac:dyDescent="0.25">
      <c r="A21" s="202" t="s">
        <v>53</v>
      </c>
      <c r="B21" s="202" t="s">
        <v>54</v>
      </c>
      <c r="C21" s="141">
        <f t="shared" si="0"/>
        <v>0</v>
      </c>
      <c r="D21" s="119">
        <f t="shared" si="1"/>
        <v>0</v>
      </c>
      <c r="E21" s="119">
        <f t="shared" si="2"/>
        <v>0</v>
      </c>
      <c r="F21" s="119">
        <f t="shared" si="3"/>
        <v>55854.125000000007</v>
      </c>
      <c r="G21" s="119">
        <f t="shared" si="4"/>
        <v>22290341.631627303</v>
      </c>
      <c r="H21" s="119">
        <f t="shared" si="5"/>
        <v>0</v>
      </c>
      <c r="I21" s="119">
        <f t="shared" si="9"/>
        <v>2284839.2322500004</v>
      </c>
      <c r="J21" s="119">
        <f t="shared" si="6"/>
        <v>1565125.9315450001</v>
      </c>
      <c r="K21" s="119">
        <f t="shared" si="7"/>
        <v>50787.322169710002</v>
      </c>
      <c r="L21" s="159">
        <f t="shared" si="8"/>
        <v>1952024.3830605233</v>
      </c>
      <c r="M21" s="164">
        <v>0</v>
      </c>
      <c r="N21" s="267">
        <v>0</v>
      </c>
      <c r="O21" s="268">
        <v>0</v>
      </c>
      <c r="P21" s="268">
        <v>0</v>
      </c>
      <c r="Q21" s="268">
        <v>0</v>
      </c>
      <c r="R21" s="269">
        <v>0</v>
      </c>
      <c r="S21" s="141">
        <v>0</v>
      </c>
      <c r="T21" s="119">
        <v>0</v>
      </c>
      <c r="U21" s="119">
        <v>0</v>
      </c>
      <c r="V21" s="119">
        <v>0</v>
      </c>
      <c r="W21" s="145">
        <v>0</v>
      </c>
      <c r="X21" s="141">
        <v>0</v>
      </c>
      <c r="Y21" s="58">
        <v>0</v>
      </c>
      <c r="Z21" s="88">
        <v>9125</v>
      </c>
      <c r="AA21" s="88">
        <f>VLOOKUP(B21,'Renseanlæg 2022'!L:M,2,FALSE)</f>
        <v>22290341.631627303</v>
      </c>
      <c r="AB21" s="58">
        <v>0</v>
      </c>
      <c r="AC21" s="141">
        <v>146</v>
      </c>
      <c r="AD21" s="119">
        <v>1033</v>
      </c>
      <c r="AE21" s="145">
        <v>429.3</v>
      </c>
      <c r="AF21" s="141">
        <v>383.68</v>
      </c>
      <c r="AG21" s="119">
        <v>0</v>
      </c>
      <c r="AH21" s="58">
        <v>433.35</v>
      </c>
      <c r="AI21" s="88">
        <v>3</v>
      </c>
      <c r="AJ21" s="88">
        <v>2089463</v>
      </c>
      <c r="AK21" s="165" t="s">
        <v>317</v>
      </c>
      <c r="AL21" s="88">
        <v>3</v>
      </c>
      <c r="AM21" s="48"/>
      <c r="AN21" s="121">
        <v>18197583.02657434</v>
      </c>
      <c r="AO21" s="166">
        <v>2113319.583333333</v>
      </c>
      <c r="AP21" s="118">
        <v>932352.46666666667</v>
      </c>
      <c r="AQ21" s="203"/>
    </row>
    <row r="22" spans="1:43" x14ac:dyDescent="0.25">
      <c r="A22" s="202" t="s">
        <v>55</v>
      </c>
      <c r="B22" s="202" t="s">
        <v>56</v>
      </c>
      <c r="C22" s="141">
        <f t="shared" si="0"/>
        <v>4727323.5650540004</v>
      </c>
      <c r="D22" s="119">
        <f t="shared" si="1"/>
        <v>12362455.556700001</v>
      </c>
      <c r="E22" s="119">
        <f t="shared" si="2"/>
        <v>498242.03139999998</v>
      </c>
      <c r="F22" s="119">
        <f t="shared" si="3"/>
        <v>92518.608950000009</v>
      </c>
      <c r="G22" s="119">
        <f t="shared" si="4"/>
        <v>11440194.208783671</v>
      </c>
      <c r="H22" s="119">
        <f t="shared" si="5"/>
        <v>186108.45499999999</v>
      </c>
      <c r="I22" s="119">
        <f t="shared" si="9"/>
        <v>3143688.3832</v>
      </c>
      <c r="J22" s="119">
        <f t="shared" si="6"/>
        <v>1185151.9391000001</v>
      </c>
      <c r="K22" s="119">
        <f t="shared" si="7"/>
        <v>1716866.5095432345</v>
      </c>
      <c r="L22" s="159">
        <f t="shared" si="8"/>
        <v>5009286.8334188005</v>
      </c>
      <c r="M22" s="164">
        <v>2.2795680228739235E-2</v>
      </c>
      <c r="N22" s="267">
        <v>765.64</v>
      </c>
      <c r="O22" s="268">
        <v>555.98</v>
      </c>
      <c r="P22" s="268">
        <v>0</v>
      </c>
      <c r="Q22" s="268">
        <v>0</v>
      </c>
      <c r="R22" s="269">
        <v>3.24</v>
      </c>
      <c r="S22" s="141">
        <v>251</v>
      </c>
      <c r="T22" s="119">
        <v>617</v>
      </c>
      <c r="U22" s="119">
        <v>165</v>
      </c>
      <c r="V22" s="119">
        <v>2533</v>
      </c>
      <c r="W22" s="145">
        <v>736</v>
      </c>
      <c r="X22" s="141">
        <v>130902</v>
      </c>
      <c r="Y22" s="58">
        <v>119482</v>
      </c>
      <c r="Z22" s="88">
        <v>15114.95</v>
      </c>
      <c r="AA22" s="88">
        <f>VLOOKUP(B22,'Renseanlæg 2022'!L:M,2,FALSE)</f>
        <v>11440194.208783671</v>
      </c>
      <c r="AB22" s="58">
        <v>65</v>
      </c>
      <c r="AC22" s="141">
        <v>851</v>
      </c>
      <c r="AD22" s="119">
        <v>0</v>
      </c>
      <c r="AE22" s="145">
        <v>1306</v>
      </c>
      <c r="AF22" s="141">
        <v>851</v>
      </c>
      <c r="AG22" s="119">
        <v>0</v>
      </c>
      <c r="AH22" s="58">
        <v>0</v>
      </c>
      <c r="AI22" s="88">
        <v>22689</v>
      </c>
      <c r="AJ22" s="88">
        <v>2700865</v>
      </c>
      <c r="AK22" s="165" t="s">
        <v>316</v>
      </c>
      <c r="AL22" s="88">
        <v>23599</v>
      </c>
      <c r="AM22" s="48"/>
      <c r="AN22" s="121">
        <v>8804748.4092724025</v>
      </c>
      <c r="AO22" s="166">
        <v>112177563.81500001</v>
      </c>
      <c r="AP22" s="118">
        <v>2272000</v>
      </c>
      <c r="AQ22" s="203"/>
    </row>
    <row r="23" spans="1:43" x14ac:dyDescent="0.25">
      <c r="A23" s="202" t="s">
        <v>57</v>
      </c>
      <c r="B23" s="202" t="s">
        <v>58</v>
      </c>
      <c r="C23" s="141">
        <f t="shared" si="0"/>
        <v>3974573.0311960001</v>
      </c>
      <c r="D23" s="119">
        <f t="shared" si="1"/>
        <v>6743316.0668000001</v>
      </c>
      <c r="E23" s="119">
        <f t="shared" si="2"/>
        <v>522467.4057</v>
      </c>
      <c r="F23" s="119">
        <f t="shared" si="3"/>
        <v>63511.496000000006</v>
      </c>
      <c r="G23" s="119">
        <f t="shared" si="4"/>
        <v>11102442.568827089</v>
      </c>
      <c r="H23" s="119">
        <f t="shared" si="5"/>
        <v>0</v>
      </c>
      <c r="I23" s="119">
        <f t="shared" si="9"/>
        <v>1367739.5893999999</v>
      </c>
      <c r="J23" s="119">
        <f t="shared" si="6"/>
        <v>3356032.7247000001</v>
      </c>
      <c r="K23" s="119">
        <f t="shared" si="7"/>
        <v>1610237.5273786464</v>
      </c>
      <c r="L23" s="159">
        <f t="shared" si="8"/>
        <v>5146540.4473132668</v>
      </c>
      <c r="M23" s="164">
        <v>7.4137729451654394E-2</v>
      </c>
      <c r="N23" s="267">
        <v>145.1</v>
      </c>
      <c r="O23" s="268">
        <v>456.3</v>
      </c>
      <c r="P23" s="268">
        <v>91.9</v>
      </c>
      <c r="Q23" s="268">
        <v>0</v>
      </c>
      <c r="R23" s="269">
        <v>1.88</v>
      </c>
      <c r="S23" s="141">
        <v>0</v>
      </c>
      <c r="T23" s="119">
        <v>265</v>
      </c>
      <c r="U23" s="119">
        <v>119</v>
      </c>
      <c r="V23" s="119">
        <v>3272</v>
      </c>
      <c r="W23" s="145">
        <v>0</v>
      </c>
      <c r="X23" s="141">
        <v>12600</v>
      </c>
      <c r="Y23" s="58">
        <v>198411</v>
      </c>
      <c r="Z23" s="88">
        <v>10376</v>
      </c>
      <c r="AA23" s="88">
        <f>VLOOKUP(B23,'Renseanlæg 2022'!L:M,2,FALSE)</f>
        <v>11102442.568827089</v>
      </c>
      <c r="AB23" s="58">
        <v>0</v>
      </c>
      <c r="AC23" s="141">
        <v>607</v>
      </c>
      <c r="AD23" s="119">
        <v>600</v>
      </c>
      <c r="AE23" s="145">
        <v>0</v>
      </c>
      <c r="AF23" s="141">
        <v>275</v>
      </c>
      <c r="AG23" s="119">
        <v>932</v>
      </c>
      <c r="AH23" s="58">
        <v>0</v>
      </c>
      <c r="AI23" s="88">
        <v>19283</v>
      </c>
      <c r="AJ23" s="88">
        <v>2776003</v>
      </c>
      <c r="AK23" s="165" t="s">
        <v>316</v>
      </c>
      <c r="AL23" s="88">
        <v>38046</v>
      </c>
      <c r="AM23" s="48"/>
      <c r="AN23" s="121">
        <v>10591881.494629383</v>
      </c>
      <c r="AO23" s="166">
        <v>72484166.680091962</v>
      </c>
      <c r="AP23" s="118">
        <v>5981036.3200000003</v>
      </c>
      <c r="AQ23" s="203"/>
    </row>
    <row r="24" spans="1:43" x14ac:dyDescent="0.25">
      <c r="A24" s="202" t="s">
        <v>59</v>
      </c>
      <c r="B24" s="202" t="s">
        <v>60</v>
      </c>
      <c r="C24" s="141">
        <f t="shared" si="0"/>
        <v>2895500.66279</v>
      </c>
      <c r="D24" s="119">
        <f t="shared" si="1"/>
        <v>3128227.5902</v>
      </c>
      <c r="E24" s="119">
        <f t="shared" si="2"/>
        <v>314717.65840000001</v>
      </c>
      <c r="F24" s="119">
        <f t="shared" si="3"/>
        <v>65892.565000000002</v>
      </c>
      <c r="G24" s="119">
        <f t="shared" si="4"/>
        <v>4324084.8615319328</v>
      </c>
      <c r="H24" s="119">
        <f t="shared" si="5"/>
        <v>2863.2069999999999</v>
      </c>
      <c r="I24" s="119">
        <f t="shared" si="9"/>
        <v>980645.61300999997</v>
      </c>
      <c r="J24" s="119">
        <f t="shared" si="6"/>
        <v>878778.15350000001</v>
      </c>
      <c r="K24" s="119">
        <f t="shared" si="7"/>
        <v>1301580.2919475287</v>
      </c>
      <c r="L24" s="159">
        <f t="shared" si="8"/>
        <v>3301402.0150402207</v>
      </c>
      <c r="M24" s="164">
        <v>5.3407130904878357E-2</v>
      </c>
      <c r="N24" s="267">
        <v>154</v>
      </c>
      <c r="O24" s="268">
        <v>505</v>
      </c>
      <c r="P24" s="268">
        <v>0</v>
      </c>
      <c r="Q24" s="268">
        <v>0</v>
      </c>
      <c r="R24" s="269">
        <v>2.4500000000000002</v>
      </c>
      <c r="S24" s="141">
        <v>16</v>
      </c>
      <c r="T24" s="119">
        <v>107</v>
      </c>
      <c r="U24" s="119">
        <v>63</v>
      </c>
      <c r="V24" s="119">
        <v>690</v>
      </c>
      <c r="W24" s="145">
        <v>986</v>
      </c>
      <c r="X24" s="141">
        <v>44851</v>
      </c>
      <c r="Y24" s="58">
        <v>97662</v>
      </c>
      <c r="Z24" s="88">
        <v>10765</v>
      </c>
      <c r="AA24" s="88">
        <f>VLOOKUP(B24,'Renseanlæg 2022'!L:M,2,FALSE)</f>
        <v>4324084.8615319328</v>
      </c>
      <c r="AB24" s="58">
        <v>1</v>
      </c>
      <c r="AC24" s="141">
        <v>543.79999999999995</v>
      </c>
      <c r="AD24" s="119">
        <v>0</v>
      </c>
      <c r="AE24" s="145">
        <v>54.7</v>
      </c>
      <c r="AF24" s="141">
        <v>543.79999999999995</v>
      </c>
      <c r="AG24" s="119">
        <v>0</v>
      </c>
      <c r="AH24" s="58">
        <v>0</v>
      </c>
      <c r="AI24" s="88">
        <v>11239</v>
      </c>
      <c r="AJ24" s="88">
        <v>1768831.75</v>
      </c>
      <c r="AK24" s="165" t="s">
        <v>316</v>
      </c>
      <c r="AL24" s="88">
        <v>20746</v>
      </c>
      <c r="AM24" s="48"/>
      <c r="AN24" s="121">
        <v>4031513.8893885971</v>
      </c>
      <c r="AO24" s="166">
        <v>53805207.459466666</v>
      </c>
      <c r="AP24" s="118">
        <v>514672.83999999997</v>
      </c>
      <c r="AQ24" s="203"/>
    </row>
    <row r="25" spans="1:43" x14ac:dyDescent="0.25">
      <c r="A25" s="202" t="s">
        <v>61</v>
      </c>
      <c r="B25" s="202" t="s">
        <v>62</v>
      </c>
      <c r="C25" s="141">
        <f t="shared" si="0"/>
        <v>6075157.1520440001</v>
      </c>
      <c r="D25" s="119">
        <f t="shared" si="1"/>
        <v>3523619.5392000005</v>
      </c>
      <c r="E25" s="119">
        <f t="shared" si="2"/>
        <v>1171000.1982</v>
      </c>
      <c r="F25" s="119">
        <f t="shared" si="3"/>
        <v>109584.26300000001</v>
      </c>
      <c r="G25" s="119">
        <f t="shared" si="4"/>
        <v>18168749.795814674</v>
      </c>
      <c r="H25" s="119">
        <f t="shared" si="5"/>
        <v>20042.449000000001</v>
      </c>
      <c r="I25" s="119">
        <f t="shared" si="9"/>
        <v>3003900.8602999998</v>
      </c>
      <c r="J25" s="119">
        <f t="shared" si="6"/>
        <v>1652890.5636</v>
      </c>
      <c r="K25" s="119">
        <f t="shared" si="7"/>
        <v>1591102.4721090021</v>
      </c>
      <c r="L25" s="159">
        <f t="shared" si="8"/>
        <v>8143257.5971460696</v>
      </c>
      <c r="M25" s="164">
        <v>4.0852845518324216E-2</v>
      </c>
      <c r="N25" s="267">
        <v>213.95</v>
      </c>
      <c r="O25" s="268">
        <v>776.03</v>
      </c>
      <c r="P25" s="268">
        <v>83.41</v>
      </c>
      <c r="Q25" s="268">
        <v>0</v>
      </c>
      <c r="R25" s="269">
        <v>5.0999999999999996</v>
      </c>
      <c r="S25" s="141">
        <v>300</v>
      </c>
      <c r="T25" s="119">
        <v>95</v>
      </c>
      <c r="U25" s="119">
        <v>31</v>
      </c>
      <c r="V25" s="119">
        <v>120</v>
      </c>
      <c r="W25" s="145">
        <v>3978</v>
      </c>
      <c r="X25" s="141">
        <v>304156</v>
      </c>
      <c r="Y25" s="58">
        <v>282866</v>
      </c>
      <c r="Z25" s="88">
        <v>17903</v>
      </c>
      <c r="AA25" s="88">
        <f>VLOOKUP(B25,'Renseanlæg 2022'!L:M,2,FALSE)</f>
        <v>18168749.795814674</v>
      </c>
      <c r="AB25" s="58">
        <v>7</v>
      </c>
      <c r="AC25" s="141">
        <v>0</v>
      </c>
      <c r="AD25" s="119">
        <v>2952</v>
      </c>
      <c r="AE25" s="145">
        <v>0</v>
      </c>
      <c r="AF25" s="141">
        <v>1320</v>
      </c>
      <c r="AG25" s="119">
        <v>0</v>
      </c>
      <c r="AH25" s="58">
        <v>0</v>
      </c>
      <c r="AI25" s="88">
        <v>18707</v>
      </c>
      <c r="AJ25" s="88">
        <v>4423000</v>
      </c>
      <c r="AK25" s="165" t="s">
        <v>316</v>
      </c>
      <c r="AL25" s="88">
        <v>32784</v>
      </c>
      <c r="AM25" s="48"/>
      <c r="AN25" s="121">
        <v>33046896.718982622</v>
      </c>
      <c r="AO25" s="166">
        <v>96240075.054999977</v>
      </c>
      <c r="AP25" s="118">
        <v>2308973.333333333</v>
      </c>
      <c r="AQ25" s="203"/>
    </row>
    <row r="26" spans="1:43" x14ac:dyDescent="0.25">
      <c r="A26" s="202" t="s">
        <v>63</v>
      </c>
      <c r="B26" s="202" t="s">
        <v>64</v>
      </c>
      <c r="C26" s="141">
        <f t="shared" si="0"/>
        <v>5217806.3729440002</v>
      </c>
      <c r="D26" s="119">
        <f t="shared" si="1"/>
        <v>1012479.5299280001</v>
      </c>
      <c r="E26" s="119">
        <f t="shared" si="2"/>
        <v>3046.44</v>
      </c>
      <c r="F26" s="119">
        <f t="shared" si="3"/>
        <v>85754.475480000008</v>
      </c>
      <c r="G26" s="119">
        <f t="shared" si="4"/>
        <v>0</v>
      </c>
      <c r="H26" s="119">
        <f t="shared" si="5"/>
        <v>0</v>
      </c>
      <c r="I26" s="119">
        <f t="shared" si="9"/>
        <v>0</v>
      </c>
      <c r="J26" s="119">
        <f t="shared" si="6"/>
        <v>0</v>
      </c>
      <c r="K26" s="119">
        <f t="shared" si="7"/>
        <v>945744.55279359664</v>
      </c>
      <c r="L26" s="159">
        <f t="shared" si="8"/>
        <v>7034890.2695564721</v>
      </c>
      <c r="M26" s="164">
        <v>0.32248526991878546</v>
      </c>
      <c r="N26" s="267">
        <v>2.34</v>
      </c>
      <c r="O26" s="268">
        <v>10.92</v>
      </c>
      <c r="P26" s="268">
        <v>25.64</v>
      </c>
      <c r="Q26" s="268">
        <v>146.88</v>
      </c>
      <c r="R26" s="269">
        <v>8.84</v>
      </c>
      <c r="S26" s="141">
        <v>0</v>
      </c>
      <c r="T26" s="119">
        <v>3</v>
      </c>
      <c r="U26" s="119">
        <v>5</v>
      </c>
      <c r="V26" s="119">
        <v>432</v>
      </c>
      <c r="W26" s="145">
        <v>3386.16</v>
      </c>
      <c r="X26" s="141">
        <v>0</v>
      </c>
      <c r="Y26" s="58">
        <v>1200</v>
      </c>
      <c r="Z26" s="88">
        <v>14009.88</v>
      </c>
      <c r="AA26" s="88">
        <f>VLOOKUP(B26,'Renseanlæg 2022'!L:M,2,FALSE)</f>
        <v>0</v>
      </c>
      <c r="AB26" s="58">
        <v>0</v>
      </c>
      <c r="AC26" s="141">
        <v>0</v>
      </c>
      <c r="AD26" s="119">
        <v>0</v>
      </c>
      <c r="AE26" s="145">
        <v>0</v>
      </c>
      <c r="AF26" s="141">
        <v>0</v>
      </c>
      <c r="AG26" s="119">
        <v>0</v>
      </c>
      <c r="AH26" s="58">
        <v>0</v>
      </c>
      <c r="AI26" s="88">
        <v>4999</v>
      </c>
      <c r="AJ26" s="88">
        <v>4843522</v>
      </c>
      <c r="AK26" s="165" t="s">
        <v>315</v>
      </c>
      <c r="AL26" s="88">
        <v>60753</v>
      </c>
      <c r="AM26" s="48"/>
      <c r="AN26" s="121">
        <v>40183.574262755486</v>
      </c>
      <c r="AO26" s="166">
        <v>46248597.897958077</v>
      </c>
      <c r="AP26" s="118">
        <v>1900826.6666666667</v>
      </c>
      <c r="AQ26" s="203"/>
    </row>
    <row r="27" spans="1:43" x14ac:dyDescent="0.25">
      <c r="A27" s="202" t="s">
        <v>65</v>
      </c>
      <c r="B27" s="202" t="s">
        <v>66</v>
      </c>
      <c r="C27" s="141">
        <f t="shared" si="0"/>
        <v>5377631.9207010008</v>
      </c>
      <c r="D27" s="119">
        <f t="shared" si="1"/>
        <v>7941760.2336999997</v>
      </c>
      <c r="E27" s="119">
        <f t="shared" si="2"/>
        <v>356344.76679999998</v>
      </c>
      <c r="F27" s="119">
        <f t="shared" si="3"/>
        <v>25463.360000000001</v>
      </c>
      <c r="G27" s="119">
        <f t="shared" si="4"/>
        <v>31263182.412904229</v>
      </c>
      <c r="H27" s="119">
        <f t="shared" si="5"/>
        <v>0</v>
      </c>
      <c r="I27" s="119">
        <f t="shared" si="9"/>
        <v>4799644.0007000007</v>
      </c>
      <c r="J27" s="119">
        <f t="shared" si="6"/>
        <v>4257869.4525000006</v>
      </c>
      <c r="K27" s="119">
        <f t="shared" si="7"/>
        <v>1761346.7486960683</v>
      </c>
      <c r="L27" s="159">
        <f t="shared" si="8"/>
        <v>6574627.4711962314</v>
      </c>
      <c r="M27" s="164">
        <v>4.6761797674661224E-2</v>
      </c>
      <c r="N27" s="267">
        <v>226.56</v>
      </c>
      <c r="O27" s="268">
        <v>857.12</v>
      </c>
      <c r="P27" s="268">
        <v>50.85</v>
      </c>
      <c r="Q27" s="268">
        <v>0</v>
      </c>
      <c r="R27" s="269">
        <v>3.26</v>
      </c>
      <c r="S27" s="141">
        <v>2</v>
      </c>
      <c r="T27" s="119">
        <v>22</v>
      </c>
      <c r="U27" s="119">
        <v>119</v>
      </c>
      <c r="V27" s="119">
        <v>8422</v>
      </c>
      <c r="W27" s="145">
        <v>10552</v>
      </c>
      <c r="X27" s="141">
        <v>78976</v>
      </c>
      <c r="Y27" s="58">
        <v>94044</v>
      </c>
      <c r="Z27" s="88">
        <v>4160</v>
      </c>
      <c r="AA27" s="88">
        <f>VLOOKUP(B27,'Renseanlæg 2022'!L:M,2,FALSE)</f>
        <v>31263182.412904229</v>
      </c>
      <c r="AB27" s="58">
        <v>0</v>
      </c>
      <c r="AC27" s="141">
        <v>1452</v>
      </c>
      <c r="AD27" s="119">
        <v>4767</v>
      </c>
      <c r="AE27" s="145">
        <v>0</v>
      </c>
      <c r="AF27" s="141">
        <v>3805</v>
      </c>
      <c r="AG27" s="119">
        <v>43</v>
      </c>
      <c r="AH27" s="58">
        <v>0</v>
      </c>
      <c r="AI27" s="88">
        <v>24210</v>
      </c>
      <c r="AJ27" s="88">
        <v>3559462</v>
      </c>
      <c r="AK27" s="165" t="s">
        <v>316</v>
      </c>
      <c r="AL27" s="88">
        <v>40340</v>
      </c>
      <c r="AM27" s="48"/>
      <c r="AN27" s="121">
        <v>33835413.989073999</v>
      </c>
      <c r="AO27" s="166">
        <v>109322619.06666671</v>
      </c>
      <c r="AP27" s="118">
        <v>3233826.666666667</v>
      </c>
      <c r="AQ27" s="203"/>
    </row>
    <row r="28" spans="1:43" x14ac:dyDescent="0.25">
      <c r="A28" s="202" t="s">
        <v>67</v>
      </c>
      <c r="B28" s="202" t="s">
        <v>68</v>
      </c>
      <c r="C28" s="141">
        <f t="shared" si="0"/>
        <v>2872387.3285369999</v>
      </c>
      <c r="D28" s="119">
        <f t="shared" si="1"/>
        <v>10973774.375</v>
      </c>
      <c r="E28" s="119">
        <f t="shared" si="2"/>
        <v>442336.6764</v>
      </c>
      <c r="F28" s="119">
        <f t="shared" si="3"/>
        <v>122420.00000000001</v>
      </c>
      <c r="G28" s="119">
        <f t="shared" si="4"/>
        <v>9615587.9525737651</v>
      </c>
      <c r="H28" s="119">
        <f t="shared" si="5"/>
        <v>0</v>
      </c>
      <c r="I28" s="119">
        <f t="shared" si="9"/>
        <v>1070325.7132999999</v>
      </c>
      <c r="J28" s="119">
        <f t="shared" si="6"/>
        <v>1600287.5373000002</v>
      </c>
      <c r="K28" s="119">
        <f t="shared" si="7"/>
        <v>1552429.3919869193</v>
      </c>
      <c r="L28" s="159">
        <f t="shared" si="8"/>
        <v>3611580.8900175211</v>
      </c>
      <c r="M28" s="164">
        <v>4.2006459078113408E-2</v>
      </c>
      <c r="N28" s="267">
        <v>290.75</v>
      </c>
      <c r="O28" s="268">
        <v>488.58</v>
      </c>
      <c r="P28" s="268">
        <v>20.29</v>
      </c>
      <c r="Q28" s="268">
        <v>0</v>
      </c>
      <c r="R28" s="269">
        <v>0.31</v>
      </c>
      <c r="S28" s="141">
        <v>16</v>
      </c>
      <c r="T28" s="119">
        <v>43</v>
      </c>
      <c r="U28" s="119">
        <v>133</v>
      </c>
      <c r="V28" s="119">
        <v>21930</v>
      </c>
      <c r="W28" s="145">
        <v>2000</v>
      </c>
      <c r="X28" s="141">
        <v>41406</v>
      </c>
      <c r="Y28" s="58">
        <v>149952</v>
      </c>
      <c r="Z28" s="88">
        <v>20000</v>
      </c>
      <c r="AA28" s="88">
        <f>VLOOKUP(B28,'Renseanlæg 2022'!L:M,2,FALSE)</f>
        <v>9615587.9525737651</v>
      </c>
      <c r="AB28" s="58">
        <v>0</v>
      </c>
      <c r="AC28" s="141">
        <v>1194</v>
      </c>
      <c r="AD28" s="119">
        <v>0</v>
      </c>
      <c r="AE28" s="145">
        <v>0</v>
      </c>
      <c r="AF28" s="141">
        <v>1117.5</v>
      </c>
      <c r="AG28" s="119">
        <v>0</v>
      </c>
      <c r="AH28" s="58">
        <v>76.5</v>
      </c>
      <c r="AI28" s="88">
        <v>17575</v>
      </c>
      <c r="AJ28" s="88">
        <v>1937650</v>
      </c>
      <c r="AK28" s="165" t="s">
        <v>316</v>
      </c>
      <c r="AL28" s="88">
        <v>24323</v>
      </c>
      <c r="AM28" s="48"/>
      <c r="AN28" s="121">
        <v>8263380.4645582698</v>
      </c>
      <c r="AO28" s="166">
        <v>73312977.53265515</v>
      </c>
      <c r="AP28" s="118">
        <v>1723642.0560666597</v>
      </c>
      <c r="AQ28" s="203"/>
    </row>
    <row r="29" spans="1:43" x14ac:dyDescent="0.25">
      <c r="A29" s="202" t="s">
        <v>69</v>
      </c>
      <c r="B29" s="202" t="s">
        <v>70</v>
      </c>
      <c r="C29" s="141">
        <f t="shared" si="0"/>
        <v>2306111.2977710003</v>
      </c>
      <c r="D29" s="119">
        <f t="shared" si="1"/>
        <v>3101853.4243000001</v>
      </c>
      <c r="E29" s="119">
        <f t="shared" si="2"/>
        <v>214162.08970000001</v>
      </c>
      <c r="F29" s="119">
        <f t="shared" si="3"/>
        <v>224493.796</v>
      </c>
      <c r="G29" s="119">
        <f t="shared" si="4"/>
        <v>3833726.7580057401</v>
      </c>
      <c r="H29" s="119">
        <f t="shared" si="5"/>
        <v>0</v>
      </c>
      <c r="I29" s="119">
        <f t="shared" si="9"/>
        <v>1121727.6971</v>
      </c>
      <c r="J29" s="119">
        <f t="shared" si="6"/>
        <v>968991.83279999997</v>
      </c>
      <c r="K29" s="119">
        <f t="shared" si="7"/>
        <v>1330970.3711209514</v>
      </c>
      <c r="L29" s="159">
        <f t="shared" si="8"/>
        <v>3282112.6482543545</v>
      </c>
      <c r="M29" s="164">
        <v>7.0512517314774162E-2</v>
      </c>
      <c r="N29" s="267">
        <v>43.21</v>
      </c>
      <c r="O29" s="268">
        <v>355.44</v>
      </c>
      <c r="P29" s="268">
        <v>33.89</v>
      </c>
      <c r="Q29" s="268">
        <v>0</v>
      </c>
      <c r="R29" s="269">
        <v>1.33</v>
      </c>
      <c r="S29" s="141">
        <v>44</v>
      </c>
      <c r="T29" s="119">
        <v>24</v>
      </c>
      <c r="U29" s="119">
        <v>45</v>
      </c>
      <c r="V29" s="119">
        <v>4504</v>
      </c>
      <c r="W29" s="145">
        <v>1120</v>
      </c>
      <c r="X29" s="141">
        <v>15256</v>
      </c>
      <c r="Y29" s="58">
        <v>75411</v>
      </c>
      <c r="Z29" s="88">
        <v>36676</v>
      </c>
      <c r="AA29" s="88">
        <f>VLOOKUP(B29,'Renseanlæg 2022'!L:M,2,FALSE)</f>
        <v>3833726.7580057401</v>
      </c>
      <c r="AB29" s="58">
        <v>0</v>
      </c>
      <c r="AC29" s="141">
        <v>0</v>
      </c>
      <c r="AD29" s="119">
        <v>499</v>
      </c>
      <c r="AE29" s="145">
        <v>0</v>
      </c>
      <c r="AF29" s="141">
        <v>0</v>
      </c>
      <c r="AG29" s="119">
        <v>0</v>
      </c>
      <c r="AH29" s="58">
        <v>324</v>
      </c>
      <c r="AI29" s="88">
        <v>11894</v>
      </c>
      <c r="AJ29" s="88">
        <v>1758341</v>
      </c>
      <c r="AK29" s="165" t="s">
        <v>316</v>
      </c>
      <c r="AL29" s="88">
        <v>20871</v>
      </c>
      <c r="AM29" s="48"/>
      <c r="AN29" s="121">
        <v>4306629.7568159513</v>
      </c>
      <c r="AO29" s="166">
        <v>56503444.749649815</v>
      </c>
      <c r="AP29" s="118">
        <v>1120554.0190685506</v>
      </c>
      <c r="AQ29" s="203"/>
    </row>
    <row r="30" spans="1:43" x14ac:dyDescent="0.25">
      <c r="A30" s="202" t="s">
        <v>71</v>
      </c>
      <c r="B30" s="202" t="s">
        <v>72</v>
      </c>
      <c r="C30" s="141">
        <f t="shared" si="0"/>
        <v>6689074.3467850005</v>
      </c>
      <c r="D30" s="119">
        <f t="shared" si="1"/>
        <v>2242373.4409999996</v>
      </c>
      <c r="E30" s="119">
        <f t="shared" si="2"/>
        <v>368.11149999999998</v>
      </c>
      <c r="F30" s="119">
        <f t="shared" si="3"/>
        <v>125235.66</v>
      </c>
      <c r="G30" s="119">
        <f t="shared" si="4"/>
        <v>0</v>
      </c>
      <c r="H30" s="119">
        <f t="shared" si="5"/>
        <v>0</v>
      </c>
      <c r="I30" s="119">
        <f t="shared" si="9"/>
        <v>0</v>
      </c>
      <c r="J30" s="119">
        <f t="shared" si="6"/>
        <v>0</v>
      </c>
      <c r="K30" s="119">
        <f t="shared" si="7"/>
        <v>1498746.5026100569</v>
      </c>
      <c r="L30" s="159">
        <f t="shared" si="8"/>
        <v>4935073.84143232</v>
      </c>
      <c r="M30" s="164">
        <v>9.8572368869016547E-2</v>
      </c>
      <c r="N30" s="267">
        <v>1.07</v>
      </c>
      <c r="O30" s="268">
        <v>391.02</v>
      </c>
      <c r="P30" s="268">
        <v>81.11</v>
      </c>
      <c r="Q30" s="268">
        <v>0</v>
      </c>
      <c r="R30" s="269">
        <v>14.24</v>
      </c>
      <c r="S30" s="141">
        <v>0</v>
      </c>
      <c r="T30" s="119">
        <v>10</v>
      </c>
      <c r="U30" s="119">
        <v>14</v>
      </c>
      <c r="V30" s="119">
        <v>2182</v>
      </c>
      <c r="W30" s="145">
        <v>5204</v>
      </c>
      <c r="X30" s="141">
        <v>0</v>
      </c>
      <c r="Y30" s="58">
        <v>145</v>
      </c>
      <c r="Z30" s="88">
        <v>20460</v>
      </c>
      <c r="AA30" s="88">
        <f>VLOOKUP(B30,'Renseanlæg 2022'!L:M,2,FALSE)</f>
        <v>0</v>
      </c>
      <c r="AB30" s="58">
        <v>0</v>
      </c>
      <c r="AC30" s="141">
        <v>0</v>
      </c>
      <c r="AD30" s="119">
        <v>0</v>
      </c>
      <c r="AE30" s="145">
        <v>0</v>
      </c>
      <c r="AF30" s="141">
        <v>0</v>
      </c>
      <c r="AG30" s="119">
        <v>0</v>
      </c>
      <c r="AH30" s="58">
        <v>0</v>
      </c>
      <c r="AI30" s="88">
        <v>16074</v>
      </c>
      <c r="AJ30" s="88">
        <v>3466342</v>
      </c>
      <c r="AK30" s="165" t="s">
        <v>315</v>
      </c>
      <c r="AL30" s="88">
        <v>43430</v>
      </c>
      <c r="AM30" s="48"/>
      <c r="AN30" s="121">
        <v>0</v>
      </c>
      <c r="AO30" s="166">
        <v>73763660.900648922</v>
      </c>
      <c r="AP30" s="118">
        <v>1746545.8752555279</v>
      </c>
      <c r="AQ30" s="203"/>
    </row>
    <row r="31" spans="1:43" x14ac:dyDescent="0.25">
      <c r="A31" s="202" t="s">
        <v>73</v>
      </c>
      <c r="B31" s="202" t="s">
        <v>74</v>
      </c>
      <c r="C31" s="141">
        <f t="shared" si="0"/>
        <v>3192148.5717910007</v>
      </c>
      <c r="D31" s="119">
        <f t="shared" si="1"/>
        <v>2792573.5422</v>
      </c>
      <c r="E31" s="119">
        <f t="shared" si="2"/>
        <v>163066.3946</v>
      </c>
      <c r="F31" s="119">
        <f t="shared" si="3"/>
        <v>354099.85000000003</v>
      </c>
      <c r="G31" s="119">
        <f t="shared" si="4"/>
        <v>0</v>
      </c>
      <c r="H31" s="119">
        <f t="shared" si="5"/>
        <v>0</v>
      </c>
      <c r="I31" s="119">
        <f t="shared" si="9"/>
        <v>0</v>
      </c>
      <c r="J31" s="119">
        <f t="shared" si="6"/>
        <v>0</v>
      </c>
      <c r="K31" s="119">
        <f t="shared" si="7"/>
        <v>1348049.3907001226</v>
      </c>
      <c r="L31" s="159">
        <f t="shared" si="8"/>
        <v>4634623.8128251173</v>
      </c>
      <c r="M31" s="164">
        <v>0.12772149509187014</v>
      </c>
      <c r="N31" s="267">
        <v>9.5299999999999994</v>
      </c>
      <c r="O31" s="268">
        <v>280.24</v>
      </c>
      <c r="P31" s="268">
        <v>92.95</v>
      </c>
      <c r="Q31" s="268">
        <v>0</v>
      </c>
      <c r="R31" s="269">
        <v>2.46</v>
      </c>
      <c r="S31" s="141">
        <v>1</v>
      </c>
      <c r="T31" s="119">
        <v>0</v>
      </c>
      <c r="U31" s="119">
        <v>23</v>
      </c>
      <c r="V31" s="119">
        <v>1705</v>
      </c>
      <c r="W31" s="145">
        <v>8000</v>
      </c>
      <c r="X31" s="141">
        <v>4730</v>
      </c>
      <c r="Y31" s="58">
        <v>61458</v>
      </c>
      <c r="Z31" s="88">
        <v>57850</v>
      </c>
      <c r="AA31" s="88">
        <f>VLOOKUP(B31,'Renseanlæg 2022'!L:M,2,FALSE)</f>
        <v>0</v>
      </c>
      <c r="AB31" s="58">
        <v>0</v>
      </c>
      <c r="AC31" s="141">
        <v>0</v>
      </c>
      <c r="AD31" s="119">
        <v>0</v>
      </c>
      <c r="AE31" s="145">
        <v>0</v>
      </c>
      <c r="AF31" s="141">
        <v>0</v>
      </c>
      <c r="AG31" s="119">
        <v>0</v>
      </c>
      <c r="AH31" s="58">
        <v>0</v>
      </c>
      <c r="AI31" s="88">
        <v>12285</v>
      </c>
      <c r="AJ31" s="88">
        <v>3266849</v>
      </c>
      <c r="AK31" s="165" t="s">
        <v>315</v>
      </c>
      <c r="AL31" s="88">
        <v>40595</v>
      </c>
      <c r="AM31" s="48"/>
      <c r="AN31" s="121">
        <v>0</v>
      </c>
      <c r="AO31" s="166">
        <v>65352693.123518385</v>
      </c>
      <c r="AP31" s="118">
        <v>1638733.61049886</v>
      </c>
      <c r="AQ31" s="203"/>
    </row>
    <row r="32" spans="1:43" x14ac:dyDescent="0.25">
      <c r="A32" s="202" t="s">
        <v>75</v>
      </c>
      <c r="B32" s="202" t="s">
        <v>76</v>
      </c>
      <c r="C32" s="141">
        <f t="shared" si="0"/>
        <v>1403764.4361439999</v>
      </c>
      <c r="D32" s="119">
        <f t="shared" si="1"/>
        <v>128679.07279999999</v>
      </c>
      <c r="E32" s="119">
        <f t="shared" si="2"/>
        <v>162146.769</v>
      </c>
      <c r="F32" s="119">
        <f t="shared" si="3"/>
        <v>122358.79000000001</v>
      </c>
      <c r="G32" s="119">
        <f t="shared" si="4"/>
        <v>0</v>
      </c>
      <c r="H32" s="119">
        <f t="shared" si="5"/>
        <v>0</v>
      </c>
      <c r="I32" s="119">
        <f t="shared" si="9"/>
        <v>0</v>
      </c>
      <c r="J32" s="119">
        <f t="shared" si="6"/>
        <v>0</v>
      </c>
      <c r="K32" s="119">
        <f t="shared" si="7"/>
        <v>871020.80802080152</v>
      </c>
      <c r="L32" s="159">
        <f t="shared" si="8"/>
        <v>1753250.6731865078</v>
      </c>
      <c r="M32" s="164">
        <v>9.4871465295629842E-2</v>
      </c>
      <c r="N32" s="267">
        <v>4.0999999999999996</v>
      </c>
      <c r="O32" s="268">
        <v>180.56</v>
      </c>
      <c r="P32" s="268">
        <v>46.8</v>
      </c>
      <c r="Q32" s="268">
        <v>0</v>
      </c>
      <c r="R32" s="269">
        <v>0</v>
      </c>
      <c r="S32" s="141">
        <v>2</v>
      </c>
      <c r="T32" s="119">
        <v>0</v>
      </c>
      <c r="U32" s="119">
        <v>2</v>
      </c>
      <c r="V32" s="119">
        <v>242</v>
      </c>
      <c r="W32" s="145">
        <v>0</v>
      </c>
      <c r="X32" s="141">
        <v>0</v>
      </c>
      <c r="Y32" s="58">
        <v>63870</v>
      </c>
      <c r="Z32" s="88">
        <v>19990</v>
      </c>
      <c r="AA32" s="88">
        <f>VLOOKUP(B32,'Renseanlæg 2022'!L:M,2,FALSE)</f>
        <v>0</v>
      </c>
      <c r="AB32" s="58">
        <v>0</v>
      </c>
      <c r="AC32" s="141">
        <v>0</v>
      </c>
      <c r="AD32" s="119">
        <v>0</v>
      </c>
      <c r="AE32" s="145">
        <v>0</v>
      </c>
      <c r="AF32" s="141">
        <v>0</v>
      </c>
      <c r="AG32" s="119">
        <v>0</v>
      </c>
      <c r="AH32" s="58">
        <v>0</v>
      </c>
      <c r="AI32" s="88">
        <v>4057</v>
      </c>
      <c r="AJ32" s="88">
        <v>1305396</v>
      </c>
      <c r="AK32" s="165" t="s">
        <v>315</v>
      </c>
      <c r="AL32" s="88">
        <v>14762</v>
      </c>
      <c r="AM32" s="48"/>
      <c r="AN32" s="121">
        <v>0</v>
      </c>
      <c r="AO32" s="166">
        <v>23739924.264066659</v>
      </c>
      <c r="AP32" s="118">
        <v>2360408.7066666665</v>
      </c>
      <c r="AQ32" s="203"/>
    </row>
    <row r="33" spans="1:43" x14ac:dyDescent="0.25">
      <c r="A33" s="202" t="s">
        <v>77</v>
      </c>
      <c r="B33" s="202" t="s">
        <v>78</v>
      </c>
      <c r="C33" s="141">
        <f t="shared" si="0"/>
        <v>3884044.5272009997</v>
      </c>
      <c r="D33" s="119">
        <f t="shared" si="1"/>
        <v>3712433.8921999997</v>
      </c>
      <c r="E33" s="119">
        <f t="shared" si="2"/>
        <v>808469.02669999993</v>
      </c>
      <c r="F33" s="119">
        <f t="shared" si="3"/>
        <v>247043.56000000003</v>
      </c>
      <c r="G33" s="119">
        <f t="shared" si="4"/>
        <v>6339663.1142663127</v>
      </c>
      <c r="H33" s="119">
        <f t="shared" si="5"/>
        <v>0</v>
      </c>
      <c r="I33" s="119">
        <f t="shared" si="9"/>
        <v>1625811.0496</v>
      </c>
      <c r="J33" s="119">
        <f t="shared" si="6"/>
        <v>1587068.0706000002</v>
      </c>
      <c r="K33" s="119">
        <f t="shared" si="7"/>
        <v>1443920.2382108117</v>
      </c>
      <c r="L33" s="159">
        <f t="shared" si="8"/>
        <v>3904295.6013991497</v>
      </c>
      <c r="M33" s="164">
        <v>4.1982110593116378E-2</v>
      </c>
      <c r="N33" s="267">
        <v>84.63</v>
      </c>
      <c r="O33" s="268">
        <v>582.17999999999995</v>
      </c>
      <c r="P33" s="268">
        <v>99.23</v>
      </c>
      <c r="Q33" s="268">
        <v>0</v>
      </c>
      <c r="R33" s="269">
        <v>0</v>
      </c>
      <c r="S33" s="141">
        <v>132</v>
      </c>
      <c r="T33" s="119">
        <v>23</v>
      </c>
      <c r="U33" s="119">
        <v>11</v>
      </c>
      <c r="V33" s="119">
        <v>5680</v>
      </c>
      <c r="W33" s="145">
        <v>4800</v>
      </c>
      <c r="X33" s="141">
        <v>72490</v>
      </c>
      <c r="Y33" s="58">
        <v>275941</v>
      </c>
      <c r="Z33" s="88">
        <v>40360</v>
      </c>
      <c r="AA33" s="88">
        <f>VLOOKUP(B33,'Renseanlæg 2022'!L:M,2,FALSE)</f>
        <v>6339663.1142663127</v>
      </c>
      <c r="AB33" s="58">
        <v>0</v>
      </c>
      <c r="AC33" s="141">
        <v>623</v>
      </c>
      <c r="AD33" s="119">
        <v>0</v>
      </c>
      <c r="AE33" s="145">
        <v>430</v>
      </c>
      <c r="AF33" s="141">
        <v>1254</v>
      </c>
      <c r="AG33" s="119">
        <v>0</v>
      </c>
      <c r="AH33" s="58">
        <v>0</v>
      </c>
      <c r="AI33" s="88">
        <v>14624</v>
      </c>
      <c r="AJ33" s="88">
        <v>2097165</v>
      </c>
      <c r="AK33" s="165" t="s">
        <v>316</v>
      </c>
      <c r="AL33" s="88">
        <v>18821</v>
      </c>
      <c r="AM33" s="48"/>
      <c r="AN33" s="121">
        <v>5835358.9662664263</v>
      </c>
      <c r="AO33" s="166">
        <v>75429304.629333347</v>
      </c>
      <c r="AP33" s="118">
        <v>2054973.3333333333</v>
      </c>
      <c r="AQ33" s="203"/>
    </row>
    <row r="34" spans="1:43" x14ac:dyDescent="0.25">
      <c r="A34" s="202" t="s">
        <v>79</v>
      </c>
      <c r="B34" s="202" t="s">
        <v>80</v>
      </c>
      <c r="C34" s="141">
        <f t="shared" si="0"/>
        <v>3613784.931109</v>
      </c>
      <c r="D34" s="119">
        <f t="shared" si="1"/>
        <v>9186940.9645000007</v>
      </c>
      <c r="E34" s="119">
        <f t="shared" si="2"/>
        <v>170767.1</v>
      </c>
      <c r="F34" s="119">
        <f t="shared" si="3"/>
        <v>132825.70000000001</v>
      </c>
      <c r="G34" s="119">
        <f t="shared" si="4"/>
        <v>11382303.355619159</v>
      </c>
      <c r="H34" s="119">
        <f t="shared" si="5"/>
        <v>31495.276999999998</v>
      </c>
      <c r="I34" s="119">
        <f t="shared" si="9"/>
        <v>1526266.0674000001</v>
      </c>
      <c r="J34" s="119">
        <f t="shared" si="6"/>
        <v>737359.5246</v>
      </c>
      <c r="K34" s="119">
        <f t="shared" si="7"/>
        <v>1887088.9572353973</v>
      </c>
      <c r="L34" s="159">
        <f t="shared" si="8"/>
        <v>3420577.3083092337</v>
      </c>
      <c r="M34" s="164">
        <v>3.443439066231626E-2</v>
      </c>
      <c r="N34" s="267">
        <v>629.94000000000005</v>
      </c>
      <c r="O34" s="268">
        <v>433.05</v>
      </c>
      <c r="P34" s="268">
        <v>0</v>
      </c>
      <c r="Q34" s="268">
        <v>0</v>
      </c>
      <c r="R34" s="269">
        <v>2</v>
      </c>
      <c r="S34" s="141">
        <v>991</v>
      </c>
      <c r="T34" s="119">
        <v>131</v>
      </c>
      <c r="U34" s="119">
        <v>202</v>
      </c>
      <c r="V34" s="119">
        <v>650</v>
      </c>
      <c r="W34" s="145">
        <v>0</v>
      </c>
      <c r="X34" s="141">
        <v>16650</v>
      </c>
      <c r="Y34" s="58">
        <v>57500</v>
      </c>
      <c r="Z34" s="88">
        <v>21700</v>
      </c>
      <c r="AA34" s="88">
        <f>VLOOKUP(B34,'Renseanlæg 2022'!L:M,2,FALSE)</f>
        <v>11382303.355619159</v>
      </c>
      <c r="AB34" s="58">
        <v>11</v>
      </c>
      <c r="AC34" s="141">
        <v>402</v>
      </c>
      <c r="AD34" s="119">
        <v>0</v>
      </c>
      <c r="AE34" s="145">
        <v>407</v>
      </c>
      <c r="AF34" s="141">
        <v>402</v>
      </c>
      <c r="AG34" s="119">
        <v>0</v>
      </c>
      <c r="AH34" s="58">
        <v>0</v>
      </c>
      <c r="AI34" s="88">
        <v>28838</v>
      </c>
      <c r="AJ34" s="88">
        <v>1833667</v>
      </c>
      <c r="AK34" s="165" t="s">
        <v>316</v>
      </c>
      <c r="AL34" s="88">
        <v>30711</v>
      </c>
      <c r="AM34" s="48"/>
      <c r="AN34" s="121">
        <v>11155452.015707148</v>
      </c>
      <c r="AO34" s="166">
        <v>77134098.305333361</v>
      </c>
      <c r="AP34" s="118">
        <v>1519821.5333333332</v>
      </c>
      <c r="AQ34" s="203"/>
    </row>
    <row r="35" spans="1:43" x14ac:dyDescent="0.25">
      <c r="A35" s="202" t="s">
        <v>81</v>
      </c>
      <c r="B35" s="202" t="s">
        <v>82</v>
      </c>
      <c r="C35" s="141">
        <f t="shared" si="0"/>
        <v>6565338.3318999996</v>
      </c>
      <c r="D35" s="119">
        <f t="shared" si="1"/>
        <v>13259026.182</v>
      </c>
      <c r="E35" s="119">
        <f t="shared" si="2"/>
        <v>329651.57559999998</v>
      </c>
      <c r="F35" s="119">
        <f t="shared" si="3"/>
        <v>135745.41700000002</v>
      </c>
      <c r="G35" s="119">
        <f t="shared" si="4"/>
        <v>11012973.83737722</v>
      </c>
      <c r="H35" s="119">
        <f t="shared" si="5"/>
        <v>8589.6209999999992</v>
      </c>
      <c r="I35" s="119">
        <f t="shared" si="9"/>
        <v>1046544.80917</v>
      </c>
      <c r="J35" s="119">
        <f t="shared" si="6"/>
        <v>2313927.6254980001</v>
      </c>
      <c r="K35" s="119">
        <f t="shared" si="7"/>
        <v>1989969.2703492865</v>
      </c>
      <c r="L35" s="159">
        <f t="shared" si="8"/>
        <v>4831185.6790517857</v>
      </c>
      <c r="M35" s="164">
        <v>2.5693224592220829E-2</v>
      </c>
      <c r="N35" s="267">
        <v>1237</v>
      </c>
      <c r="O35" s="268">
        <v>699</v>
      </c>
      <c r="P35" s="268">
        <v>36</v>
      </c>
      <c r="Q35" s="268">
        <v>0</v>
      </c>
      <c r="R35" s="269">
        <v>2</v>
      </c>
      <c r="S35" s="141">
        <v>2636</v>
      </c>
      <c r="T35" s="119">
        <v>196</v>
      </c>
      <c r="U35" s="119">
        <v>132</v>
      </c>
      <c r="V35" s="119">
        <v>520</v>
      </c>
      <c r="W35" s="145">
        <v>1500</v>
      </c>
      <c r="X35" s="141">
        <v>72619</v>
      </c>
      <c r="Y35" s="58">
        <v>87258</v>
      </c>
      <c r="Z35" s="88">
        <v>22177</v>
      </c>
      <c r="AA35" s="88">
        <f>VLOOKUP(B35,'Renseanlæg 2022'!L:M,2,FALSE)</f>
        <v>11012973.83737722</v>
      </c>
      <c r="AB35" s="58">
        <v>3</v>
      </c>
      <c r="AC35" s="141">
        <v>1102</v>
      </c>
      <c r="AD35" s="119">
        <v>0</v>
      </c>
      <c r="AE35" s="145">
        <v>1.06</v>
      </c>
      <c r="AF35" s="141">
        <v>1070</v>
      </c>
      <c r="AG35" s="119">
        <v>1.06</v>
      </c>
      <c r="AH35" s="58">
        <v>464.7</v>
      </c>
      <c r="AI35" s="88">
        <v>32995</v>
      </c>
      <c r="AJ35" s="88">
        <v>2603412</v>
      </c>
      <c r="AK35" s="165" t="s">
        <v>316</v>
      </c>
      <c r="AL35" s="88">
        <v>40955</v>
      </c>
      <c r="AM35" s="48"/>
      <c r="AN35" s="121">
        <v>11921849.517999228</v>
      </c>
      <c r="AO35" s="166">
        <v>128647075.26666668</v>
      </c>
      <c r="AP35" s="118">
        <v>3210813.333333333</v>
      </c>
      <c r="AQ35" s="203"/>
    </row>
    <row r="36" spans="1:43" x14ac:dyDescent="0.25">
      <c r="A36" s="202" t="s">
        <v>83</v>
      </c>
      <c r="B36" s="202" t="s">
        <v>84</v>
      </c>
      <c r="C36" s="141">
        <f t="shared" si="0"/>
        <v>5870162.2482099999</v>
      </c>
      <c r="D36" s="119">
        <f t="shared" si="1"/>
        <v>8691123.6590999998</v>
      </c>
      <c r="E36" s="119">
        <f t="shared" si="2"/>
        <v>718249.549</v>
      </c>
      <c r="F36" s="119">
        <f t="shared" si="3"/>
        <v>148134.321</v>
      </c>
      <c r="G36" s="119">
        <f t="shared" si="4"/>
        <v>13199282.381242724</v>
      </c>
      <c r="H36" s="119">
        <f t="shared" si="5"/>
        <v>94485.830999999991</v>
      </c>
      <c r="I36" s="119">
        <f t="shared" si="9"/>
        <v>1063385.2208</v>
      </c>
      <c r="J36" s="119">
        <f t="shared" si="6"/>
        <v>1502296.6781000001</v>
      </c>
      <c r="K36" s="119">
        <f t="shared" si="7"/>
        <v>1721272.5001346504</v>
      </c>
      <c r="L36" s="159">
        <f t="shared" si="8"/>
        <v>4219093.0130008813</v>
      </c>
      <c r="M36" s="164">
        <v>3.503828158230541E-2</v>
      </c>
      <c r="N36" s="267">
        <v>619.4</v>
      </c>
      <c r="O36" s="268">
        <v>611.79999999999995</v>
      </c>
      <c r="P36" s="268">
        <v>43.1</v>
      </c>
      <c r="Q36" s="268">
        <v>0</v>
      </c>
      <c r="R36" s="269">
        <v>5.4</v>
      </c>
      <c r="S36" s="141">
        <v>573</v>
      </c>
      <c r="T36" s="119">
        <v>262</v>
      </c>
      <c r="U36" s="119">
        <v>115</v>
      </c>
      <c r="V36" s="119">
        <v>3300</v>
      </c>
      <c r="W36" s="145">
        <v>2000</v>
      </c>
      <c r="X36" s="141">
        <v>229387</v>
      </c>
      <c r="Y36" s="58">
        <v>148380</v>
      </c>
      <c r="Z36" s="88">
        <v>24201</v>
      </c>
      <c r="AA36" s="88">
        <f>VLOOKUP(B36,'Renseanlæg 2022'!L:M,2,FALSE)</f>
        <v>13199282.381242724</v>
      </c>
      <c r="AB36" s="58">
        <v>33</v>
      </c>
      <c r="AC36" s="141">
        <v>1169</v>
      </c>
      <c r="AD36" s="119">
        <v>0</v>
      </c>
      <c r="AE36" s="145">
        <v>0</v>
      </c>
      <c r="AF36" s="141">
        <v>1169</v>
      </c>
      <c r="AG36" s="119">
        <v>0</v>
      </c>
      <c r="AH36" s="58">
        <v>0</v>
      </c>
      <c r="AI36" s="88">
        <v>22837</v>
      </c>
      <c r="AJ36" s="88">
        <v>2268915.79</v>
      </c>
      <c r="AK36" s="165" t="s">
        <v>316</v>
      </c>
      <c r="AL36" s="88">
        <v>32950</v>
      </c>
      <c r="AM36" s="48"/>
      <c r="AN36" s="121">
        <v>12799538.230782518</v>
      </c>
      <c r="AO36" s="166">
        <v>101458390</v>
      </c>
      <c r="AP36" s="118">
        <v>2763346.6666666665</v>
      </c>
      <c r="AQ36" s="203"/>
    </row>
    <row r="37" spans="1:43" x14ac:dyDescent="0.25">
      <c r="A37" s="202" t="s">
        <v>85</v>
      </c>
      <c r="B37" s="202" t="s">
        <v>86</v>
      </c>
      <c r="C37" s="141">
        <f t="shared" si="0"/>
        <v>3083463.6141500003</v>
      </c>
      <c r="D37" s="119">
        <f t="shared" si="1"/>
        <v>7850709.3314000005</v>
      </c>
      <c r="E37" s="119">
        <f t="shared" si="2"/>
        <v>22335</v>
      </c>
      <c r="F37" s="119">
        <f t="shared" si="3"/>
        <v>87873.076000000001</v>
      </c>
      <c r="G37" s="119">
        <f t="shared" si="4"/>
        <v>3619930.7184181064</v>
      </c>
      <c r="H37" s="119">
        <f t="shared" si="5"/>
        <v>11452.828</v>
      </c>
      <c r="I37" s="119">
        <f t="shared" si="9"/>
        <v>906530.09030000004</v>
      </c>
      <c r="J37" s="119">
        <f t="shared" si="6"/>
        <v>938816.24560000002</v>
      </c>
      <c r="K37" s="119">
        <f t="shared" si="7"/>
        <v>1396572.9624136796</v>
      </c>
      <c r="L37" s="159">
        <f t="shared" si="8"/>
        <v>2478203.1658918401</v>
      </c>
      <c r="M37" s="164">
        <v>3.1271634177445794E-2</v>
      </c>
      <c r="N37" s="267">
        <v>282.60000000000002</v>
      </c>
      <c r="O37" s="268">
        <v>359.5</v>
      </c>
      <c r="P37" s="268">
        <v>8.1999999999999993</v>
      </c>
      <c r="Q37" s="268">
        <v>0</v>
      </c>
      <c r="R37" s="269">
        <v>3.5</v>
      </c>
      <c r="S37" s="141">
        <v>3</v>
      </c>
      <c r="T37" s="119">
        <v>469</v>
      </c>
      <c r="U37" s="119">
        <v>97</v>
      </c>
      <c r="V37" s="119">
        <v>1200</v>
      </c>
      <c r="W37" s="145">
        <v>0</v>
      </c>
      <c r="X37" s="141">
        <v>15000</v>
      </c>
      <c r="Y37" s="58">
        <v>0</v>
      </c>
      <c r="Z37" s="88">
        <v>14356</v>
      </c>
      <c r="AA37" s="88">
        <f>VLOOKUP(B37,'Renseanlæg 2022'!L:M,2,FALSE)</f>
        <v>3619930.7184181064</v>
      </c>
      <c r="AB37" s="58">
        <v>4</v>
      </c>
      <c r="AC37" s="141">
        <v>604</v>
      </c>
      <c r="AD37" s="119">
        <v>0</v>
      </c>
      <c r="AE37" s="145">
        <v>0</v>
      </c>
      <c r="AF37" s="141">
        <v>604</v>
      </c>
      <c r="AG37" s="119">
        <v>0</v>
      </c>
      <c r="AH37" s="58">
        <v>0</v>
      </c>
      <c r="AI37" s="88">
        <v>13438</v>
      </c>
      <c r="AJ37" s="88">
        <v>1322029</v>
      </c>
      <c r="AK37" s="165" t="s">
        <v>316</v>
      </c>
      <c r="AL37" s="88">
        <v>17165</v>
      </c>
      <c r="AM37" s="48"/>
      <c r="AN37" s="121">
        <v>3321606.6216226048</v>
      </c>
      <c r="AO37" s="166">
        <v>65461215.790666662</v>
      </c>
      <c r="AP37" s="118">
        <v>2784245.0776393334</v>
      </c>
      <c r="AQ37" s="203"/>
    </row>
    <row r="38" spans="1:43" x14ac:dyDescent="0.25">
      <c r="A38" s="202" t="s">
        <v>87</v>
      </c>
      <c r="B38" s="202" t="s">
        <v>88</v>
      </c>
      <c r="C38" s="141">
        <f t="shared" si="0"/>
        <v>4132241.3301599999</v>
      </c>
      <c r="D38" s="119">
        <f t="shared" si="1"/>
        <v>15859882.104700001</v>
      </c>
      <c r="E38" s="119">
        <f t="shared" si="2"/>
        <v>555965.07090000005</v>
      </c>
      <c r="F38" s="119">
        <f t="shared" si="3"/>
        <v>97017.85</v>
      </c>
      <c r="G38" s="119">
        <f t="shared" si="4"/>
        <v>8173855.7166246092</v>
      </c>
      <c r="H38" s="119">
        <f t="shared" si="5"/>
        <v>25768.862999999998</v>
      </c>
      <c r="I38" s="119">
        <f t="shared" si="9"/>
        <v>1924456.4736000001</v>
      </c>
      <c r="J38" s="119">
        <f t="shared" si="6"/>
        <v>1397579.0756000001</v>
      </c>
      <c r="K38" s="119">
        <f t="shared" si="7"/>
        <v>1556148.32107296</v>
      </c>
      <c r="L38" s="159">
        <f t="shared" si="8"/>
        <v>3443030.258482893</v>
      </c>
      <c r="M38" s="164">
        <v>2.4154622619866943E-2</v>
      </c>
      <c r="N38" s="267">
        <v>472</v>
      </c>
      <c r="O38" s="268">
        <v>690</v>
      </c>
      <c r="P38" s="268">
        <v>0</v>
      </c>
      <c r="Q38" s="268">
        <v>0</v>
      </c>
      <c r="R38" s="269">
        <v>1.8</v>
      </c>
      <c r="S38" s="141">
        <v>371</v>
      </c>
      <c r="T38" s="119">
        <v>154</v>
      </c>
      <c r="U38" s="119">
        <v>123</v>
      </c>
      <c r="V38" s="119">
        <v>22962</v>
      </c>
      <c r="W38" s="145">
        <v>13870</v>
      </c>
      <c r="X38" s="141">
        <v>171791</v>
      </c>
      <c r="Y38" s="58">
        <v>118237</v>
      </c>
      <c r="Z38" s="88">
        <v>15850</v>
      </c>
      <c r="AA38" s="88">
        <f>VLOOKUP(B38,'Renseanlæg 2022'!L:M,2,FALSE)</f>
        <v>8173855.7166246092</v>
      </c>
      <c r="AB38" s="58">
        <v>9</v>
      </c>
      <c r="AC38" s="141">
        <v>1298</v>
      </c>
      <c r="AD38" s="119">
        <v>0</v>
      </c>
      <c r="AE38" s="145">
        <v>497</v>
      </c>
      <c r="AF38" s="141">
        <v>1064</v>
      </c>
      <c r="AG38" s="119">
        <v>0</v>
      </c>
      <c r="AH38" s="58">
        <v>0</v>
      </c>
      <c r="AI38" s="88">
        <v>17682</v>
      </c>
      <c r="AJ38" s="88">
        <v>1845886</v>
      </c>
      <c r="AK38" s="165" t="s">
        <v>316</v>
      </c>
      <c r="AL38" s="88">
        <v>21058</v>
      </c>
      <c r="AM38" s="48"/>
      <c r="AN38" s="121">
        <v>7771478.4065928468</v>
      </c>
      <c r="AO38" s="166">
        <v>114303538.12818991</v>
      </c>
      <c r="AP38" s="118">
        <v>2427893.3333333335</v>
      </c>
      <c r="AQ38" s="203"/>
    </row>
    <row r="39" spans="1:43" x14ac:dyDescent="0.25">
      <c r="A39" s="202" t="s">
        <v>89</v>
      </c>
      <c r="B39" s="202" t="s">
        <v>90</v>
      </c>
      <c r="C39" s="141">
        <f t="shared" si="0"/>
        <v>0</v>
      </c>
      <c r="D39" s="119">
        <f t="shared" si="1"/>
        <v>0</v>
      </c>
      <c r="E39" s="119">
        <f t="shared" si="2"/>
        <v>0</v>
      </c>
      <c r="F39" s="119">
        <f t="shared" si="3"/>
        <v>0</v>
      </c>
      <c r="G39" s="119">
        <f t="shared" si="4"/>
        <v>16925019.792773765</v>
      </c>
      <c r="H39" s="119">
        <f t="shared" si="5"/>
        <v>0</v>
      </c>
      <c r="I39" s="119">
        <f t="shared" si="9"/>
        <v>3004057.0401000003</v>
      </c>
      <c r="J39" s="119">
        <f t="shared" si="6"/>
        <v>1981005.7181000002</v>
      </c>
      <c r="K39" s="119">
        <f t="shared" si="7"/>
        <v>43285.270946158009</v>
      </c>
      <c r="L39" s="159">
        <f t="shared" si="8"/>
        <v>3068206.9769002292</v>
      </c>
      <c r="M39" s="164">
        <v>0</v>
      </c>
      <c r="N39" s="267">
        <v>0</v>
      </c>
      <c r="O39" s="268">
        <v>0</v>
      </c>
      <c r="P39" s="268">
        <v>0</v>
      </c>
      <c r="Q39" s="268">
        <v>0</v>
      </c>
      <c r="R39" s="269">
        <v>0</v>
      </c>
      <c r="S39" s="141">
        <v>0</v>
      </c>
      <c r="T39" s="119">
        <v>0</v>
      </c>
      <c r="U39" s="119">
        <v>0</v>
      </c>
      <c r="V39" s="119">
        <v>0</v>
      </c>
      <c r="W39" s="145">
        <v>0</v>
      </c>
      <c r="X39" s="141">
        <v>0</v>
      </c>
      <c r="Y39" s="58">
        <v>0</v>
      </c>
      <c r="Z39" s="88">
        <v>0</v>
      </c>
      <c r="AA39" s="88">
        <f>VLOOKUP(B39,'Renseanlæg 2022'!L:M,2,FALSE)</f>
        <v>16925019.792773765</v>
      </c>
      <c r="AB39" s="58">
        <v>0</v>
      </c>
      <c r="AC39" s="141">
        <v>0</v>
      </c>
      <c r="AD39" s="119">
        <v>2844</v>
      </c>
      <c r="AE39" s="145">
        <v>50</v>
      </c>
      <c r="AF39" s="141">
        <v>1649</v>
      </c>
      <c r="AG39" s="119">
        <v>0</v>
      </c>
      <c r="AH39" s="58">
        <v>0</v>
      </c>
      <c r="AI39" s="88">
        <v>2</v>
      </c>
      <c r="AJ39" s="88">
        <v>4133403</v>
      </c>
      <c r="AK39" s="165" t="s">
        <v>317</v>
      </c>
      <c r="AL39" s="88">
        <v>2</v>
      </c>
      <c r="AM39" s="48"/>
      <c r="AN39" s="121">
        <v>19901100.274282053</v>
      </c>
      <c r="AO39" s="166">
        <v>0</v>
      </c>
      <c r="AP39" s="118">
        <v>1843866.6666666665</v>
      </c>
      <c r="AQ39" s="203"/>
    </row>
    <row r="40" spans="1:43" x14ac:dyDescent="0.25">
      <c r="A40" s="202" t="s">
        <v>91</v>
      </c>
      <c r="B40" s="202" t="s">
        <v>92</v>
      </c>
      <c r="C40" s="141">
        <f t="shared" si="0"/>
        <v>7703075.8727740003</v>
      </c>
      <c r="D40" s="119">
        <f t="shared" si="1"/>
        <v>4385504.7046999997</v>
      </c>
      <c r="E40" s="119">
        <f t="shared" si="2"/>
        <v>2995351.0579000004</v>
      </c>
      <c r="F40" s="119">
        <f t="shared" si="3"/>
        <v>104381.413</v>
      </c>
      <c r="G40" s="119">
        <f t="shared" si="4"/>
        <v>0</v>
      </c>
      <c r="H40" s="119">
        <f t="shared" si="5"/>
        <v>0</v>
      </c>
      <c r="I40" s="119">
        <f t="shared" si="9"/>
        <v>0</v>
      </c>
      <c r="J40" s="119">
        <f t="shared" si="6"/>
        <v>0</v>
      </c>
      <c r="K40" s="119">
        <f t="shared" si="7"/>
        <v>2032812.9992624801</v>
      </c>
      <c r="L40" s="159">
        <f t="shared" si="8"/>
        <v>5946935.7409542017</v>
      </c>
      <c r="M40" s="164">
        <v>4.1559889669203237E-2</v>
      </c>
      <c r="N40" s="267">
        <v>167.79</v>
      </c>
      <c r="O40" s="268">
        <v>1310.6099999999999</v>
      </c>
      <c r="P40" s="268">
        <v>123.95</v>
      </c>
      <c r="Q40" s="268">
        <v>0</v>
      </c>
      <c r="R40" s="269">
        <v>2.0299999999999998</v>
      </c>
      <c r="S40" s="141">
        <v>5</v>
      </c>
      <c r="T40" s="119">
        <v>19</v>
      </c>
      <c r="U40" s="119">
        <v>116</v>
      </c>
      <c r="V40" s="119">
        <v>4630</v>
      </c>
      <c r="W40" s="145">
        <v>0</v>
      </c>
      <c r="X40" s="141">
        <v>304574</v>
      </c>
      <c r="Y40" s="58">
        <v>1001237</v>
      </c>
      <c r="Z40" s="88">
        <v>17053</v>
      </c>
      <c r="AA40" s="88">
        <f>VLOOKUP(B40,'Renseanlæg 2022'!L:M,2,FALSE)</f>
        <v>0</v>
      </c>
      <c r="AB40" s="58">
        <v>0</v>
      </c>
      <c r="AC40" s="141">
        <v>0</v>
      </c>
      <c r="AD40" s="119">
        <v>0</v>
      </c>
      <c r="AE40" s="145">
        <v>0</v>
      </c>
      <c r="AF40" s="141">
        <v>0</v>
      </c>
      <c r="AG40" s="119">
        <v>0</v>
      </c>
      <c r="AH40" s="58">
        <v>0</v>
      </c>
      <c r="AI40" s="88">
        <v>34827</v>
      </c>
      <c r="AJ40" s="88">
        <v>4133403</v>
      </c>
      <c r="AK40" s="165" t="s">
        <v>315</v>
      </c>
      <c r="AL40" s="88">
        <v>42490</v>
      </c>
      <c r="AM40" s="48"/>
      <c r="AN40" s="121">
        <v>0</v>
      </c>
      <c r="AO40" s="166">
        <v>157656495.63333333</v>
      </c>
      <c r="AP40" s="118">
        <v>2395226.666666667</v>
      </c>
      <c r="AQ40" s="203"/>
    </row>
    <row r="41" spans="1:43" x14ac:dyDescent="0.25">
      <c r="A41" s="202" t="s">
        <v>93</v>
      </c>
      <c r="B41" s="202" t="s">
        <v>94</v>
      </c>
      <c r="C41" s="141">
        <f t="shared" si="0"/>
        <v>3383974.083083</v>
      </c>
      <c r="D41" s="119">
        <f t="shared" si="1"/>
        <v>10440670.876900002</v>
      </c>
      <c r="E41" s="119">
        <f t="shared" si="2"/>
        <v>771481.90830000001</v>
      </c>
      <c r="F41" s="119">
        <f t="shared" si="3"/>
        <v>738057.93800000008</v>
      </c>
      <c r="G41" s="119">
        <f t="shared" si="4"/>
        <v>10153450.531071652</v>
      </c>
      <c r="H41" s="119">
        <f t="shared" si="5"/>
        <v>478155.56899999996</v>
      </c>
      <c r="I41" s="119">
        <f t="shared" si="9"/>
        <v>2096191.5851</v>
      </c>
      <c r="J41" s="119">
        <f t="shared" si="6"/>
        <v>2473344.0558000002</v>
      </c>
      <c r="K41" s="119">
        <f t="shared" si="7"/>
        <v>1435946.3753065597</v>
      </c>
      <c r="L41" s="159">
        <f t="shared" si="8"/>
        <v>4854689.8296406111</v>
      </c>
      <c r="M41" s="164">
        <v>4.399764477694653E-2</v>
      </c>
      <c r="N41" s="267">
        <v>173.57</v>
      </c>
      <c r="O41" s="268">
        <v>455.45</v>
      </c>
      <c r="P41" s="268">
        <v>46.18</v>
      </c>
      <c r="Q41" s="268">
        <v>0</v>
      </c>
      <c r="R41" s="269">
        <v>2.1</v>
      </c>
      <c r="S41" s="141">
        <v>289</v>
      </c>
      <c r="T41" s="119">
        <v>14</v>
      </c>
      <c r="U41" s="119">
        <v>75</v>
      </c>
      <c r="V41" s="119">
        <v>13286</v>
      </c>
      <c r="W41" s="145">
        <v>16400</v>
      </c>
      <c r="X41" s="141">
        <v>82588</v>
      </c>
      <c r="Y41" s="58">
        <v>255449</v>
      </c>
      <c r="Z41" s="88">
        <v>120578</v>
      </c>
      <c r="AA41" s="88">
        <f>VLOOKUP(B41,'Renseanlæg 2022'!L:M,2,FALSE)</f>
        <v>10153450.531071652</v>
      </c>
      <c r="AB41" s="58">
        <v>167</v>
      </c>
      <c r="AC41" s="141">
        <v>0</v>
      </c>
      <c r="AD41" s="119">
        <v>1769</v>
      </c>
      <c r="AE41" s="145">
        <v>0</v>
      </c>
      <c r="AF41" s="141">
        <v>127</v>
      </c>
      <c r="AG41" s="119">
        <v>247</v>
      </c>
      <c r="AH41" s="58">
        <v>657</v>
      </c>
      <c r="AI41" s="88">
        <v>14420</v>
      </c>
      <c r="AJ41" s="88">
        <v>2616269.88</v>
      </c>
      <c r="AK41" s="165" t="s">
        <v>316</v>
      </c>
      <c r="AL41" s="88">
        <v>25406</v>
      </c>
      <c r="AM41" s="48"/>
      <c r="AN41" s="121">
        <v>9972142.6414510868</v>
      </c>
      <c r="AO41" s="166">
        <v>96400749.584266618</v>
      </c>
      <c r="AP41" s="118">
        <v>3870977.1066666669</v>
      </c>
      <c r="AQ41" s="203"/>
    </row>
    <row r="42" spans="1:43" x14ac:dyDescent="0.25">
      <c r="A42" s="202" t="s">
        <v>95</v>
      </c>
      <c r="B42" s="202" t="s">
        <v>96</v>
      </c>
      <c r="C42" s="141">
        <f t="shared" si="0"/>
        <v>6366019.4163000006</v>
      </c>
      <c r="D42" s="119">
        <f t="shared" si="1"/>
        <v>6086468.7575800009</v>
      </c>
      <c r="E42" s="119">
        <f t="shared" si="2"/>
        <v>745739.10120000003</v>
      </c>
      <c r="F42" s="119">
        <f t="shared" si="3"/>
        <v>205879.83500000002</v>
      </c>
      <c r="G42" s="119">
        <f t="shared" si="4"/>
        <v>19936976.787991181</v>
      </c>
      <c r="H42" s="119">
        <f t="shared" si="5"/>
        <v>2863.2069999999999</v>
      </c>
      <c r="I42" s="119">
        <f t="shared" si="9"/>
        <v>2877702.2851999998</v>
      </c>
      <c r="J42" s="119">
        <f t="shared" si="6"/>
        <v>1718713.0566000002</v>
      </c>
      <c r="K42" s="119">
        <f t="shared" si="7"/>
        <v>1830648.0413666</v>
      </c>
      <c r="L42" s="159">
        <f t="shared" si="8"/>
        <v>5801740.5526192533</v>
      </c>
      <c r="M42" s="164">
        <v>3.5826047358834247E-2</v>
      </c>
      <c r="N42" s="267">
        <v>631</v>
      </c>
      <c r="O42" s="268">
        <v>801</v>
      </c>
      <c r="P42" s="268">
        <v>18</v>
      </c>
      <c r="Q42" s="268">
        <v>0</v>
      </c>
      <c r="R42" s="269">
        <v>6</v>
      </c>
      <c r="S42" s="141">
        <v>264</v>
      </c>
      <c r="T42" s="119">
        <v>25</v>
      </c>
      <c r="U42" s="119">
        <v>150</v>
      </c>
      <c r="V42" s="119">
        <v>4959.6000000000004</v>
      </c>
      <c r="W42" s="145">
        <v>0</v>
      </c>
      <c r="X42" s="141">
        <v>229476</v>
      </c>
      <c r="Y42" s="58">
        <v>159156</v>
      </c>
      <c r="Z42" s="88">
        <v>33635</v>
      </c>
      <c r="AA42" s="88">
        <f>VLOOKUP(B42,'Renseanlæg 2022'!L:M,2,FALSE)</f>
        <v>19936976.787991181</v>
      </c>
      <c r="AB42" s="58">
        <v>1</v>
      </c>
      <c r="AC42" s="141">
        <v>709</v>
      </c>
      <c r="AD42" s="119">
        <v>2531</v>
      </c>
      <c r="AE42" s="145">
        <v>0</v>
      </c>
      <c r="AF42" s="141">
        <v>1386</v>
      </c>
      <c r="AG42" s="119">
        <v>0</v>
      </c>
      <c r="AH42" s="58">
        <v>0</v>
      </c>
      <c r="AI42" s="88">
        <v>26700</v>
      </c>
      <c r="AJ42" s="88">
        <v>3135090</v>
      </c>
      <c r="AK42" s="165" t="s">
        <v>316</v>
      </c>
      <c r="AL42" s="88">
        <v>39337</v>
      </c>
      <c r="AM42" s="48"/>
      <c r="AN42" s="121">
        <v>22862518.782252289</v>
      </c>
      <c r="AO42" s="166">
        <v>138720698.13333336</v>
      </c>
      <c r="AP42" s="118">
        <v>5601653.333333334</v>
      </c>
      <c r="AQ42" s="203"/>
    </row>
    <row r="43" spans="1:43" x14ac:dyDescent="0.25">
      <c r="A43" s="202" t="s">
        <v>97</v>
      </c>
      <c r="B43" s="202" t="s">
        <v>98</v>
      </c>
      <c r="C43" s="141">
        <f t="shared" si="0"/>
        <v>2621305.6551000001</v>
      </c>
      <c r="D43" s="119">
        <f t="shared" si="1"/>
        <v>662320.98399999994</v>
      </c>
      <c r="E43" s="119">
        <f t="shared" si="2"/>
        <v>926431.41550000012</v>
      </c>
      <c r="F43" s="119">
        <f t="shared" si="3"/>
        <v>0</v>
      </c>
      <c r="G43" s="119">
        <f t="shared" si="4"/>
        <v>0</v>
      </c>
      <c r="H43" s="119">
        <f t="shared" si="5"/>
        <v>0</v>
      </c>
      <c r="I43" s="119">
        <f t="shared" si="9"/>
        <v>0</v>
      </c>
      <c r="J43" s="119">
        <f t="shared" si="6"/>
        <v>0</v>
      </c>
      <c r="K43" s="119">
        <f t="shared" si="7"/>
        <v>1153992.5954972962</v>
      </c>
      <c r="L43" s="159">
        <f t="shared" si="8"/>
        <v>1562245.5505118568</v>
      </c>
      <c r="M43" s="164">
        <v>9.5691358024691364E-2</v>
      </c>
      <c r="N43" s="267">
        <v>14</v>
      </c>
      <c r="O43" s="268">
        <v>258</v>
      </c>
      <c r="P43" s="268">
        <v>105</v>
      </c>
      <c r="Q43" s="268">
        <v>0</v>
      </c>
      <c r="R43" s="269">
        <v>0</v>
      </c>
      <c r="S43" s="141">
        <v>3</v>
      </c>
      <c r="T43" s="119">
        <v>0</v>
      </c>
      <c r="U43" s="119">
        <v>22</v>
      </c>
      <c r="V43" s="119">
        <v>450</v>
      </c>
      <c r="W43" s="145">
        <v>0</v>
      </c>
      <c r="X43" s="141">
        <v>230015</v>
      </c>
      <c r="Y43" s="58">
        <v>230015</v>
      </c>
      <c r="Z43" s="88">
        <v>0</v>
      </c>
      <c r="AA43" s="88">
        <f>VLOOKUP(B43,'Renseanlæg 2022'!L:M,2,FALSE)</f>
        <v>0</v>
      </c>
      <c r="AB43" s="58">
        <v>0</v>
      </c>
      <c r="AC43" s="141">
        <v>0</v>
      </c>
      <c r="AD43" s="119">
        <v>0</v>
      </c>
      <c r="AE43" s="145">
        <v>0</v>
      </c>
      <c r="AF43" s="141">
        <v>0</v>
      </c>
      <c r="AG43" s="119">
        <v>0</v>
      </c>
      <c r="AH43" s="58">
        <v>0</v>
      </c>
      <c r="AI43" s="88">
        <v>8282</v>
      </c>
      <c r="AJ43" s="88">
        <v>1170765</v>
      </c>
      <c r="AK43" s="165" t="s">
        <v>315</v>
      </c>
      <c r="AL43" s="88">
        <v>15502</v>
      </c>
      <c r="AM43" s="48"/>
      <c r="AN43" s="121">
        <v>0</v>
      </c>
      <c r="AO43" s="166">
        <v>58132333.743558794</v>
      </c>
      <c r="AP43" s="118">
        <v>61405.8</v>
      </c>
      <c r="AQ43" s="203"/>
    </row>
    <row r="44" spans="1:43" x14ac:dyDescent="0.25">
      <c r="A44" s="202" t="s">
        <v>99</v>
      </c>
      <c r="B44" s="202" t="s">
        <v>100</v>
      </c>
      <c r="C44" s="141">
        <f t="shared" si="0"/>
        <v>1707036.964348</v>
      </c>
      <c r="D44" s="119">
        <f t="shared" si="1"/>
        <v>403893.89619999996</v>
      </c>
      <c r="E44" s="119">
        <f t="shared" si="2"/>
        <v>780550.08330000006</v>
      </c>
      <c r="F44" s="119">
        <f t="shared" si="3"/>
        <v>108029.52900000001</v>
      </c>
      <c r="G44" s="119">
        <f t="shared" si="4"/>
        <v>0</v>
      </c>
      <c r="H44" s="119">
        <f t="shared" si="5"/>
        <v>0</v>
      </c>
      <c r="I44" s="119">
        <f t="shared" si="9"/>
        <v>0</v>
      </c>
      <c r="J44" s="119">
        <f t="shared" si="6"/>
        <v>0</v>
      </c>
      <c r="K44" s="119">
        <f t="shared" si="7"/>
        <v>982382.58027854247</v>
      </c>
      <c r="L44" s="159">
        <f t="shared" si="8"/>
        <v>1956491.4261160367</v>
      </c>
      <c r="M44" s="164">
        <v>0.14452247191011239</v>
      </c>
      <c r="N44" s="267">
        <v>11</v>
      </c>
      <c r="O44" s="268">
        <v>165</v>
      </c>
      <c r="P44" s="268">
        <v>33</v>
      </c>
      <c r="Q44" s="268">
        <v>0.04</v>
      </c>
      <c r="R44" s="269">
        <v>2</v>
      </c>
      <c r="S44" s="141">
        <v>1</v>
      </c>
      <c r="T44" s="119">
        <v>8</v>
      </c>
      <c r="U44" s="119">
        <v>2</v>
      </c>
      <c r="V44" s="119">
        <v>420</v>
      </c>
      <c r="W44" s="145">
        <v>620</v>
      </c>
      <c r="X44" s="141">
        <v>103392</v>
      </c>
      <c r="Y44" s="58">
        <v>246819</v>
      </c>
      <c r="Z44" s="88">
        <v>17649</v>
      </c>
      <c r="AA44" s="88">
        <f>VLOOKUP(B44,'Renseanlæg 2022'!L:M,2,FALSE)</f>
        <v>0</v>
      </c>
      <c r="AB44" s="58">
        <v>0</v>
      </c>
      <c r="AC44" s="141">
        <v>0</v>
      </c>
      <c r="AD44" s="119">
        <v>0</v>
      </c>
      <c r="AE44" s="145">
        <v>0</v>
      </c>
      <c r="AF44" s="141">
        <v>0</v>
      </c>
      <c r="AG44" s="119">
        <v>0</v>
      </c>
      <c r="AH44" s="58">
        <v>0</v>
      </c>
      <c r="AI44" s="88">
        <v>5505</v>
      </c>
      <c r="AJ44" s="88">
        <v>1447747</v>
      </c>
      <c r="AK44" s="165" t="s">
        <v>315</v>
      </c>
      <c r="AL44" s="88">
        <v>17493</v>
      </c>
      <c r="AM44" s="48"/>
      <c r="AN44" s="121">
        <v>0</v>
      </c>
      <c r="AO44" s="166">
        <v>29401583.804033879</v>
      </c>
      <c r="AP44" s="118">
        <v>1858094.1466666665</v>
      </c>
      <c r="AQ44" s="203"/>
    </row>
    <row r="45" spans="1:43" x14ac:dyDescent="0.25">
      <c r="A45" s="202" t="s">
        <v>101</v>
      </c>
      <c r="B45" s="202" t="s">
        <v>102</v>
      </c>
      <c r="C45" s="141">
        <f t="shared" si="0"/>
        <v>4015179.9004589999</v>
      </c>
      <c r="D45" s="119">
        <f t="shared" si="1"/>
        <v>3068572.4187000003</v>
      </c>
      <c r="E45" s="119">
        <f t="shared" si="2"/>
        <v>852286.82030000002</v>
      </c>
      <c r="F45" s="119">
        <f t="shared" si="3"/>
        <v>164930.345</v>
      </c>
      <c r="G45" s="119">
        <f t="shared" si="4"/>
        <v>0</v>
      </c>
      <c r="H45" s="119">
        <f t="shared" si="5"/>
        <v>0</v>
      </c>
      <c r="I45" s="119">
        <f t="shared" si="9"/>
        <v>0</v>
      </c>
      <c r="J45" s="119">
        <f t="shared" si="6"/>
        <v>0</v>
      </c>
      <c r="K45" s="119">
        <f t="shared" si="7"/>
        <v>1248185.9040318807</v>
      </c>
      <c r="L45" s="159">
        <f t="shared" si="8"/>
        <v>4280802.5736908009</v>
      </c>
      <c r="M45" s="164">
        <v>9.9721498196879352E-2</v>
      </c>
      <c r="N45" s="267">
        <v>9</v>
      </c>
      <c r="O45" s="268">
        <v>316</v>
      </c>
      <c r="P45" s="268">
        <v>56</v>
      </c>
      <c r="Q45" s="268">
        <v>7.0000000000000007E-2</v>
      </c>
      <c r="R45" s="269">
        <v>7</v>
      </c>
      <c r="S45" s="141">
        <v>0</v>
      </c>
      <c r="T45" s="119">
        <v>0</v>
      </c>
      <c r="U45" s="119">
        <v>9</v>
      </c>
      <c r="V45" s="119">
        <v>2260</v>
      </c>
      <c r="W45" s="145">
        <v>10000</v>
      </c>
      <c r="X45" s="141">
        <v>329006</v>
      </c>
      <c r="Y45" s="58">
        <v>142749</v>
      </c>
      <c r="Z45" s="88">
        <v>26945</v>
      </c>
      <c r="AA45" s="88">
        <f>VLOOKUP(B45,'Renseanlæg 2022'!L:M,2,FALSE)</f>
        <v>0</v>
      </c>
      <c r="AB45" s="58">
        <v>0</v>
      </c>
      <c r="AC45" s="141">
        <v>0</v>
      </c>
      <c r="AD45" s="119">
        <v>0</v>
      </c>
      <c r="AE45" s="145">
        <v>0</v>
      </c>
      <c r="AF45" s="141">
        <v>0</v>
      </c>
      <c r="AG45" s="119">
        <v>0</v>
      </c>
      <c r="AH45" s="58">
        <v>0</v>
      </c>
      <c r="AI45" s="88">
        <v>10106</v>
      </c>
      <c r="AJ45" s="88">
        <v>3030978</v>
      </c>
      <c r="AK45" s="165" t="s">
        <v>315</v>
      </c>
      <c r="AL45" s="88">
        <v>27929</v>
      </c>
      <c r="AM45" s="48"/>
      <c r="AN45" s="121">
        <v>0</v>
      </c>
      <c r="AO45" s="166">
        <v>57626978.517713353</v>
      </c>
      <c r="AP45" s="118">
        <v>181214.70666666667</v>
      </c>
      <c r="AQ45" s="203"/>
    </row>
    <row r="46" spans="1:43" x14ac:dyDescent="0.25">
      <c r="A46" s="202" t="s">
        <v>103</v>
      </c>
      <c r="B46" s="202" t="s">
        <v>104</v>
      </c>
      <c r="C46" s="141">
        <f t="shared" si="0"/>
        <v>30170534.466500003</v>
      </c>
      <c r="D46" s="119">
        <f t="shared" si="1"/>
        <v>7515648.6894000005</v>
      </c>
      <c r="E46" s="119">
        <f t="shared" si="2"/>
        <v>157170.91699999999</v>
      </c>
      <c r="F46" s="119">
        <f t="shared" si="3"/>
        <v>1518008</v>
      </c>
      <c r="G46" s="119">
        <f t="shared" si="4"/>
        <v>0</v>
      </c>
      <c r="H46" s="119">
        <f t="shared" si="5"/>
        <v>2863.2069999999999</v>
      </c>
      <c r="I46" s="119">
        <f t="shared" si="9"/>
        <v>0</v>
      </c>
      <c r="J46" s="119">
        <f t="shared" si="6"/>
        <v>0</v>
      </c>
      <c r="K46" s="119">
        <f t="shared" si="7"/>
        <v>2075270.9556583923</v>
      </c>
      <c r="L46" s="159">
        <f t="shared" si="8"/>
        <v>48965496.242409408</v>
      </c>
      <c r="M46" s="164">
        <v>0.33246411856474262</v>
      </c>
      <c r="N46" s="267">
        <v>11</v>
      </c>
      <c r="O46" s="268">
        <v>543</v>
      </c>
      <c r="P46" s="268">
        <v>570</v>
      </c>
      <c r="Q46" s="268">
        <v>246</v>
      </c>
      <c r="R46" s="269">
        <v>55</v>
      </c>
      <c r="S46" s="141">
        <v>0</v>
      </c>
      <c r="T46" s="119">
        <v>26</v>
      </c>
      <c r="U46" s="119">
        <v>43</v>
      </c>
      <c r="V46" s="119">
        <v>6312</v>
      </c>
      <c r="W46" s="145">
        <v>19731</v>
      </c>
      <c r="X46" s="141">
        <v>0</v>
      </c>
      <c r="Y46" s="58">
        <v>61910</v>
      </c>
      <c r="Z46" s="88">
        <v>248000</v>
      </c>
      <c r="AA46" s="88">
        <f>VLOOKUP(B46,'Renseanlæg 2022'!L:M,2,FALSE)</f>
        <v>0</v>
      </c>
      <c r="AB46" s="58">
        <v>1</v>
      </c>
      <c r="AC46" s="141">
        <v>0</v>
      </c>
      <c r="AD46" s="119">
        <v>0</v>
      </c>
      <c r="AE46" s="145">
        <v>0</v>
      </c>
      <c r="AF46" s="141">
        <v>0</v>
      </c>
      <c r="AG46" s="119">
        <v>0</v>
      </c>
      <c r="AH46" s="58">
        <v>0</v>
      </c>
      <c r="AI46" s="88">
        <v>36702</v>
      </c>
      <c r="AJ46" s="88">
        <v>30221983</v>
      </c>
      <c r="AK46" s="165" t="s">
        <v>315</v>
      </c>
      <c r="AL46" s="88">
        <v>426219</v>
      </c>
      <c r="AM46" s="48"/>
      <c r="AN46" s="121">
        <v>474551.91594955791</v>
      </c>
      <c r="AO46" s="166">
        <v>272395193.50442213</v>
      </c>
      <c r="AP46" s="118">
        <v>970518.18666666676</v>
      </c>
      <c r="AQ46" s="203"/>
    </row>
    <row r="47" spans="1:43" x14ac:dyDescent="0.25">
      <c r="A47" s="202" t="s">
        <v>105</v>
      </c>
      <c r="B47" s="202" t="s">
        <v>106</v>
      </c>
      <c r="C47" s="141">
        <f t="shared" si="0"/>
        <v>1596567.39699</v>
      </c>
      <c r="D47" s="119">
        <f t="shared" si="1"/>
        <v>614972.08010000002</v>
      </c>
      <c r="E47" s="119">
        <f t="shared" si="2"/>
        <v>281689.07459999999</v>
      </c>
      <c r="F47" s="119">
        <f t="shared" si="3"/>
        <v>49396.47</v>
      </c>
      <c r="G47" s="119">
        <f t="shared" si="4"/>
        <v>0</v>
      </c>
      <c r="H47" s="119">
        <f t="shared" si="5"/>
        <v>0</v>
      </c>
      <c r="I47" s="119">
        <f t="shared" si="9"/>
        <v>0</v>
      </c>
      <c r="J47" s="119">
        <f t="shared" si="6"/>
        <v>0</v>
      </c>
      <c r="K47" s="119">
        <f t="shared" si="7"/>
        <v>1088974.2541546253</v>
      </c>
      <c r="L47" s="159">
        <f t="shared" si="8"/>
        <v>2333161.1554935421</v>
      </c>
      <c r="M47" s="164">
        <v>0.15000638814360545</v>
      </c>
      <c r="N47" s="267">
        <v>0.18</v>
      </c>
      <c r="O47" s="268">
        <v>178</v>
      </c>
      <c r="P47" s="268">
        <v>37</v>
      </c>
      <c r="Q47" s="268">
        <v>0.06</v>
      </c>
      <c r="R47" s="269">
        <v>1.3</v>
      </c>
      <c r="S47" s="141">
        <v>0</v>
      </c>
      <c r="T47" s="119">
        <v>1</v>
      </c>
      <c r="U47" s="119">
        <v>10</v>
      </c>
      <c r="V47" s="119">
        <v>700</v>
      </c>
      <c r="W47" s="145">
        <v>700</v>
      </c>
      <c r="X47" s="141">
        <v>0</v>
      </c>
      <c r="Y47" s="58">
        <v>110958</v>
      </c>
      <c r="Z47" s="88">
        <v>8070</v>
      </c>
      <c r="AA47" s="88">
        <f>VLOOKUP(B47,'Renseanlæg 2022'!L:M,2,FALSE)</f>
        <v>0</v>
      </c>
      <c r="AB47" s="58">
        <v>0</v>
      </c>
      <c r="AC47" s="141">
        <v>0</v>
      </c>
      <c r="AD47" s="119">
        <v>0</v>
      </c>
      <c r="AE47" s="145">
        <v>0</v>
      </c>
      <c r="AF47" s="141">
        <v>0</v>
      </c>
      <c r="AG47" s="119">
        <v>0</v>
      </c>
      <c r="AH47" s="58">
        <v>0</v>
      </c>
      <c r="AI47" s="88">
        <v>7149</v>
      </c>
      <c r="AJ47" s="88">
        <v>1709431</v>
      </c>
      <c r="AK47" s="165" t="s">
        <v>315</v>
      </c>
      <c r="AL47" s="88">
        <v>23482</v>
      </c>
      <c r="AM47" s="48"/>
      <c r="AN47" s="121">
        <v>0</v>
      </c>
      <c r="AO47" s="166">
        <v>31401435.786938656</v>
      </c>
      <c r="AP47" s="118">
        <v>78027.520000000004</v>
      </c>
      <c r="AQ47" s="203"/>
    </row>
    <row r="48" spans="1:43" x14ac:dyDescent="0.25">
      <c r="A48" s="202" t="s">
        <v>107</v>
      </c>
      <c r="B48" s="202" t="s">
        <v>108</v>
      </c>
      <c r="C48" s="141">
        <f t="shared" si="0"/>
        <v>5451542.8948999997</v>
      </c>
      <c r="D48" s="119">
        <f t="shared" si="1"/>
        <v>6833089.8670000006</v>
      </c>
      <c r="E48" s="119">
        <f t="shared" si="2"/>
        <v>1040442.7788</v>
      </c>
      <c r="F48" s="119">
        <f t="shared" si="3"/>
        <v>156697.60000000001</v>
      </c>
      <c r="G48" s="119">
        <f t="shared" si="4"/>
        <v>12041837.871108882</v>
      </c>
      <c r="H48" s="119">
        <f t="shared" si="5"/>
        <v>2863.2069999999999</v>
      </c>
      <c r="I48" s="119">
        <f t="shared" si="9"/>
        <v>2695506.3188</v>
      </c>
      <c r="J48" s="119">
        <f t="shared" si="6"/>
        <v>1130299.8615999999</v>
      </c>
      <c r="K48" s="119">
        <f t="shared" si="7"/>
        <v>1763238.0136904216</v>
      </c>
      <c r="L48" s="159">
        <f t="shared" si="8"/>
        <v>5503146.6623675292</v>
      </c>
      <c r="M48" s="164">
        <v>3.5589765367873449E-2</v>
      </c>
      <c r="N48" s="267">
        <v>412</v>
      </c>
      <c r="O48" s="268">
        <v>851.7</v>
      </c>
      <c r="P48" s="268">
        <v>64.3</v>
      </c>
      <c r="Q48" s="268">
        <v>0</v>
      </c>
      <c r="R48" s="269">
        <v>1.3</v>
      </c>
      <c r="S48" s="141">
        <v>135</v>
      </c>
      <c r="T48" s="119">
        <v>258</v>
      </c>
      <c r="U48" s="119">
        <v>114</v>
      </c>
      <c r="V48" s="119">
        <v>2950</v>
      </c>
      <c r="W48" s="145">
        <v>0</v>
      </c>
      <c r="X48" s="141">
        <v>145074</v>
      </c>
      <c r="Y48" s="58">
        <v>324744</v>
      </c>
      <c r="Z48" s="88">
        <v>25600</v>
      </c>
      <c r="AA48" s="88">
        <f>VLOOKUP(B48,'Renseanlæg 2022'!L:M,2,FALSE)</f>
        <v>12041837.871108882</v>
      </c>
      <c r="AB48" s="58">
        <v>1</v>
      </c>
      <c r="AC48" s="141">
        <v>78</v>
      </c>
      <c r="AD48" s="119">
        <v>1983</v>
      </c>
      <c r="AE48" s="145">
        <v>249</v>
      </c>
      <c r="AF48" s="141">
        <v>796</v>
      </c>
      <c r="AG48" s="119">
        <v>0</v>
      </c>
      <c r="AH48" s="58">
        <v>0</v>
      </c>
      <c r="AI48" s="88">
        <v>24276</v>
      </c>
      <c r="AJ48" s="88">
        <v>2971363</v>
      </c>
      <c r="AK48" s="165" t="s">
        <v>316</v>
      </c>
      <c r="AL48" s="88">
        <v>33522</v>
      </c>
      <c r="AM48" s="48"/>
      <c r="AN48" s="121">
        <v>11088163.091309134</v>
      </c>
      <c r="AO48" s="166">
        <v>105759289.13538666</v>
      </c>
      <c r="AP48" s="118">
        <v>2589962.4266666668</v>
      </c>
      <c r="AQ48" s="203"/>
    </row>
    <row r="49" spans="1:43" x14ac:dyDescent="0.25">
      <c r="A49" s="202" t="s">
        <v>109</v>
      </c>
      <c r="B49" s="202" t="s">
        <v>110</v>
      </c>
      <c r="C49" s="141">
        <f t="shared" si="0"/>
        <v>8709700.9636819996</v>
      </c>
      <c r="D49" s="119">
        <f t="shared" si="1"/>
        <v>4569582.8055999996</v>
      </c>
      <c r="E49" s="119">
        <f t="shared" si="2"/>
        <v>1805255.0249999999</v>
      </c>
      <c r="F49" s="119">
        <f t="shared" si="3"/>
        <v>115491.02800000001</v>
      </c>
      <c r="G49" s="119">
        <f t="shared" si="4"/>
        <v>24247821.249595456</v>
      </c>
      <c r="H49" s="119">
        <f t="shared" si="5"/>
        <v>83033.002999999997</v>
      </c>
      <c r="I49" s="119">
        <f t="shared" si="9"/>
        <v>4202358.5141000003</v>
      </c>
      <c r="J49" s="119">
        <f t="shared" si="6"/>
        <v>2452733.5846000002</v>
      </c>
      <c r="K49" s="119">
        <f t="shared" si="7"/>
        <v>1960900.239576214</v>
      </c>
      <c r="L49" s="159">
        <f t="shared" si="8"/>
        <v>9061229.3720580563</v>
      </c>
      <c r="M49" s="164">
        <v>4.0230965712906963E-2</v>
      </c>
      <c r="N49" s="267">
        <v>499.3</v>
      </c>
      <c r="O49" s="268">
        <v>1165.78</v>
      </c>
      <c r="P49" s="268">
        <v>136.96</v>
      </c>
      <c r="Q49" s="268">
        <v>0</v>
      </c>
      <c r="R49" s="269">
        <v>4.04</v>
      </c>
      <c r="S49" s="141">
        <v>582</v>
      </c>
      <c r="T49" s="119">
        <v>46</v>
      </c>
      <c r="U49" s="119">
        <v>67</v>
      </c>
      <c r="V49" s="119">
        <v>2093</v>
      </c>
      <c r="W49" s="145">
        <v>828</v>
      </c>
      <c r="X49" s="141">
        <v>224620</v>
      </c>
      <c r="Y49" s="58">
        <v>579350</v>
      </c>
      <c r="Z49" s="88">
        <v>18868</v>
      </c>
      <c r="AA49" s="88">
        <f>VLOOKUP(B49,'Renseanlæg 2022'!L:M,2,FALSE)</f>
        <v>24247821.249595456</v>
      </c>
      <c r="AB49" s="58">
        <v>29</v>
      </c>
      <c r="AC49" s="141">
        <v>290</v>
      </c>
      <c r="AD49" s="119">
        <v>4409</v>
      </c>
      <c r="AE49" s="145">
        <v>0</v>
      </c>
      <c r="AF49" s="141">
        <v>2122</v>
      </c>
      <c r="AG49" s="119">
        <v>0</v>
      </c>
      <c r="AH49" s="58">
        <v>0</v>
      </c>
      <c r="AI49" s="88">
        <v>31786</v>
      </c>
      <c r="AJ49" s="88">
        <v>4929553</v>
      </c>
      <c r="AK49" s="165" t="s">
        <v>316</v>
      </c>
      <c r="AL49" s="88">
        <v>48354</v>
      </c>
      <c r="AM49" s="48"/>
      <c r="AN49" s="121">
        <v>17098074.059662186</v>
      </c>
      <c r="AO49" s="166">
        <v>124030122.63333333</v>
      </c>
      <c r="AP49" s="118">
        <v>5478266.666666666</v>
      </c>
      <c r="AQ49" s="203"/>
    </row>
    <row r="50" spans="1:43" x14ac:dyDescent="0.25">
      <c r="A50" s="202" t="s">
        <v>111</v>
      </c>
      <c r="B50" s="202" t="s">
        <v>112</v>
      </c>
      <c r="C50" s="141">
        <f t="shared" si="0"/>
        <v>3022507.28633</v>
      </c>
      <c r="D50" s="119">
        <f t="shared" si="1"/>
        <v>2320824.0544000003</v>
      </c>
      <c r="E50" s="119">
        <f t="shared" si="2"/>
        <v>1315436.1115000001</v>
      </c>
      <c r="F50" s="119">
        <f t="shared" si="3"/>
        <v>51416.4</v>
      </c>
      <c r="G50" s="119">
        <f t="shared" si="4"/>
        <v>1124536.7121258602</v>
      </c>
      <c r="H50" s="119">
        <f t="shared" si="5"/>
        <v>0</v>
      </c>
      <c r="I50" s="119">
        <f t="shared" si="9"/>
        <v>942671.65012500004</v>
      </c>
      <c r="J50" s="119">
        <f t="shared" si="6"/>
        <v>1093399.3731</v>
      </c>
      <c r="K50" s="119">
        <f t="shared" si="7"/>
        <v>1334667.8851181723</v>
      </c>
      <c r="L50" s="159">
        <f t="shared" si="8"/>
        <v>4492784.9086918477</v>
      </c>
      <c r="M50" s="164">
        <v>6.9195094760312145E-2</v>
      </c>
      <c r="N50" s="267">
        <v>172.33</v>
      </c>
      <c r="O50" s="268">
        <v>428.14</v>
      </c>
      <c r="P50" s="268">
        <v>63.1</v>
      </c>
      <c r="Q50" s="268">
        <v>0</v>
      </c>
      <c r="R50" s="269">
        <v>0.23</v>
      </c>
      <c r="S50" s="141">
        <v>287</v>
      </c>
      <c r="T50" s="119">
        <v>4</v>
      </c>
      <c r="U50" s="119">
        <v>39</v>
      </c>
      <c r="V50" s="119">
        <v>1279</v>
      </c>
      <c r="W50" s="145">
        <v>680</v>
      </c>
      <c r="X50" s="141">
        <v>204355</v>
      </c>
      <c r="Y50" s="58">
        <v>398295</v>
      </c>
      <c r="Z50" s="88">
        <v>8400</v>
      </c>
      <c r="AA50" s="88">
        <f>VLOOKUP(B50,'Renseanlæg 2022'!L:M,2,FALSE)</f>
        <v>1124536.7121258602</v>
      </c>
      <c r="AB50" s="58">
        <v>0</v>
      </c>
      <c r="AC50" s="141">
        <v>0</v>
      </c>
      <c r="AD50" s="119">
        <v>0</v>
      </c>
      <c r="AE50" s="145">
        <v>122.75</v>
      </c>
      <c r="AF50" s="141">
        <v>759</v>
      </c>
      <c r="AG50" s="119">
        <v>0</v>
      </c>
      <c r="AH50" s="58">
        <v>0</v>
      </c>
      <c r="AI50" s="88">
        <v>11978</v>
      </c>
      <c r="AJ50" s="88">
        <v>2418398</v>
      </c>
      <c r="AK50" s="165" t="s">
        <v>316</v>
      </c>
      <c r="AL50" s="88">
        <v>31034</v>
      </c>
      <c r="AM50" s="48"/>
      <c r="AN50" s="121">
        <v>1175116.8132638789</v>
      </c>
      <c r="AO50" s="166">
        <v>65954408.854666673</v>
      </c>
      <c r="AP50" s="118">
        <v>1363456.6</v>
      </c>
      <c r="AQ50" s="203"/>
    </row>
    <row r="51" spans="1:43" x14ac:dyDescent="0.25">
      <c r="A51" s="202" t="s">
        <v>113</v>
      </c>
      <c r="B51" s="202" t="s">
        <v>114</v>
      </c>
      <c r="C51" s="141">
        <f t="shared" si="0"/>
        <v>1499203.633045</v>
      </c>
      <c r="D51" s="119">
        <f t="shared" si="1"/>
        <v>1738386.3141000001</v>
      </c>
      <c r="E51" s="119">
        <f t="shared" si="2"/>
        <v>29448.92</v>
      </c>
      <c r="F51" s="119">
        <f t="shared" si="3"/>
        <v>98652.157000000007</v>
      </c>
      <c r="G51" s="119">
        <f t="shared" si="4"/>
        <v>4971485.7381845126</v>
      </c>
      <c r="H51" s="119">
        <f t="shared" si="5"/>
        <v>0</v>
      </c>
      <c r="I51" s="119">
        <f t="shared" si="9"/>
        <v>1306132.3319300001</v>
      </c>
      <c r="J51" s="119">
        <f t="shared" si="6"/>
        <v>1083714.34143</v>
      </c>
      <c r="K51" s="119">
        <f t="shared" si="7"/>
        <v>1115843.8597639147</v>
      </c>
      <c r="L51" s="159">
        <f t="shared" si="8"/>
        <v>3161130.6549548195</v>
      </c>
      <c r="M51" s="164">
        <v>7.6876015159718453E-2</v>
      </c>
      <c r="N51" s="267">
        <v>17.079999999999998</v>
      </c>
      <c r="O51" s="268">
        <v>194.72</v>
      </c>
      <c r="P51" s="268">
        <v>17.43</v>
      </c>
      <c r="Q51" s="268">
        <v>0</v>
      </c>
      <c r="R51" s="269">
        <v>1.69</v>
      </c>
      <c r="S51" s="141">
        <v>14</v>
      </c>
      <c r="T51" s="119">
        <v>8</v>
      </c>
      <c r="U51" s="119">
        <v>16</v>
      </c>
      <c r="V51" s="119">
        <v>2512</v>
      </c>
      <c r="W51" s="145">
        <v>2069</v>
      </c>
      <c r="X51" s="141">
        <v>0</v>
      </c>
      <c r="Y51" s="58">
        <v>11600</v>
      </c>
      <c r="Z51" s="88">
        <v>16117</v>
      </c>
      <c r="AA51" s="88">
        <f>VLOOKUP(B51,'Renseanlæg 2022'!L:M,2,FALSE)</f>
        <v>4971485.7381845126</v>
      </c>
      <c r="AB51" s="58">
        <v>0</v>
      </c>
      <c r="AC51" s="141">
        <v>47.9</v>
      </c>
      <c r="AD51" s="119">
        <v>722</v>
      </c>
      <c r="AE51" s="145">
        <v>0</v>
      </c>
      <c r="AF51" s="141">
        <v>176.5</v>
      </c>
      <c r="AG51" s="119">
        <v>0</v>
      </c>
      <c r="AH51" s="58">
        <v>292.60000000000002</v>
      </c>
      <c r="AI51" s="88">
        <v>7605</v>
      </c>
      <c r="AJ51" s="88">
        <v>1692565</v>
      </c>
      <c r="AK51" s="165" t="s">
        <v>316</v>
      </c>
      <c r="AL51" s="88">
        <v>14199</v>
      </c>
      <c r="AM51" s="48"/>
      <c r="AN51" s="121">
        <v>5047892.6444677161</v>
      </c>
      <c r="AO51" s="166">
        <v>31772571.513135176</v>
      </c>
      <c r="AP51" s="118">
        <v>1039512.9928020587</v>
      </c>
      <c r="AQ51" s="203"/>
    </row>
    <row r="52" spans="1:43" x14ac:dyDescent="0.25">
      <c r="A52" s="202" t="s">
        <v>115</v>
      </c>
      <c r="B52" s="202" t="s">
        <v>116</v>
      </c>
      <c r="C52" s="141">
        <f t="shared" si="0"/>
        <v>5494227.157966001</v>
      </c>
      <c r="D52" s="119">
        <f t="shared" si="1"/>
        <v>2231284.2428000001</v>
      </c>
      <c r="E52" s="119">
        <f t="shared" si="2"/>
        <v>756558.84400000004</v>
      </c>
      <c r="F52" s="119">
        <f t="shared" si="3"/>
        <v>108262.12700000001</v>
      </c>
      <c r="G52" s="119">
        <f t="shared" si="4"/>
        <v>6646459.0085479617</v>
      </c>
      <c r="H52" s="119">
        <f t="shared" si="5"/>
        <v>0</v>
      </c>
      <c r="I52" s="119">
        <f t="shared" si="9"/>
        <v>1205070.6775</v>
      </c>
      <c r="J52" s="119">
        <f t="shared" si="6"/>
        <v>860028.71610000008</v>
      </c>
      <c r="K52" s="119">
        <f t="shared" si="7"/>
        <v>1481914.6038445993</v>
      </c>
      <c r="L52" s="159">
        <f t="shared" si="8"/>
        <v>3371922.5000669626</v>
      </c>
      <c r="M52" s="164">
        <v>3.2552083333333343E-2</v>
      </c>
      <c r="N52" s="267">
        <v>204.63</v>
      </c>
      <c r="O52" s="268">
        <v>652.98</v>
      </c>
      <c r="P52" s="268">
        <v>19.28</v>
      </c>
      <c r="Q52" s="268">
        <v>0</v>
      </c>
      <c r="R52" s="269">
        <v>8.3000000000000007</v>
      </c>
      <c r="S52" s="141">
        <v>0</v>
      </c>
      <c r="T52" s="119">
        <v>21</v>
      </c>
      <c r="U52" s="119">
        <v>52</v>
      </c>
      <c r="V52" s="119">
        <v>2497</v>
      </c>
      <c r="W52" s="145">
        <v>0</v>
      </c>
      <c r="X52" s="141">
        <v>156585</v>
      </c>
      <c r="Y52" s="58">
        <v>206170</v>
      </c>
      <c r="Z52" s="88">
        <v>17687</v>
      </c>
      <c r="AA52" s="88">
        <f>VLOOKUP(B52,'Renseanlæg 2022'!L:M,2,FALSE)</f>
        <v>6646459.0085479617</v>
      </c>
      <c r="AB52" s="58">
        <v>0</v>
      </c>
      <c r="AC52" s="141">
        <v>525</v>
      </c>
      <c r="AD52" s="119">
        <v>0</v>
      </c>
      <c r="AE52" s="145">
        <v>193</v>
      </c>
      <c r="AF52" s="141">
        <v>525</v>
      </c>
      <c r="AG52" s="119">
        <v>0</v>
      </c>
      <c r="AH52" s="58">
        <v>0</v>
      </c>
      <c r="AI52" s="88">
        <v>15620</v>
      </c>
      <c r="AJ52" s="88">
        <v>1807193</v>
      </c>
      <c r="AK52" s="165" t="s">
        <v>316</v>
      </c>
      <c r="AL52" s="88">
        <v>18500</v>
      </c>
      <c r="AM52" s="48"/>
      <c r="AN52" s="121">
        <v>8696845.4205269516</v>
      </c>
      <c r="AO52" s="166">
        <v>70931155.466666669</v>
      </c>
      <c r="AP52" s="118">
        <v>3895600</v>
      </c>
      <c r="AQ52" s="203"/>
    </row>
    <row r="53" spans="1:43" x14ac:dyDescent="0.25">
      <c r="A53" s="202" t="s">
        <v>117</v>
      </c>
      <c r="B53" s="202" t="s">
        <v>118</v>
      </c>
      <c r="C53" s="141">
        <f t="shared" si="0"/>
        <v>1016175.1723239999</v>
      </c>
      <c r="D53" s="119">
        <f t="shared" si="1"/>
        <v>1768435.2309000001</v>
      </c>
      <c r="E53" s="119">
        <f t="shared" si="2"/>
        <v>251166.0043</v>
      </c>
      <c r="F53" s="119">
        <f t="shared" si="3"/>
        <v>0</v>
      </c>
      <c r="G53" s="119">
        <f t="shared" si="4"/>
        <v>0</v>
      </c>
      <c r="H53" s="119">
        <f t="shared" si="5"/>
        <v>0</v>
      </c>
      <c r="I53" s="119">
        <f t="shared" si="9"/>
        <v>0</v>
      </c>
      <c r="J53" s="119">
        <f t="shared" si="6"/>
        <v>0</v>
      </c>
      <c r="K53" s="119">
        <f t="shared" si="7"/>
        <v>854183.4996436591</v>
      </c>
      <c r="L53" s="159">
        <f t="shared" si="8"/>
        <v>1365188.3674565603</v>
      </c>
      <c r="M53" s="164">
        <v>3.8601551621245275E-2</v>
      </c>
      <c r="N53" s="267">
        <v>42.64</v>
      </c>
      <c r="O53" s="268">
        <v>130.6</v>
      </c>
      <c r="P53" s="268">
        <v>28</v>
      </c>
      <c r="Q53" s="268">
        <v>0</v>
      </c>
      <c r="R53" s="269">
        <v>0</v>
      </c>
      <c r="S53" s="141">
        <v>0</v>
      </c>
      <c r="T53" s="119">
        <v>66</v>
      </c>
      <c r="U53" s="119">
        <v>18</v>
      </c>
      <c r="V53" s="119">
        <v>1953</v>
      </c>
      <c r="W53" s="145">
        <v>0</v>
      </c>
      <c r="X53" s="141">
        <v>41850</v>
      </c>
      <c r="Y53" s="58">
        <v>74389</v>
      </c>
      <c r="Z53" s="88">
        <v>0</v>
      </c>
      <c r="AA53" s="88">
        <f>VLOOKUP(B53,'Renseanlæg 2022'!L:M,2,FALSE)</f>
        <v>0</v>
      </c>
      <c r="AB53" s="58">
        <v>0</v>
      </c>
      <c r="AC53" s="141">
        <v>0</v>
      </c>
      <c r="AD53" s="119">
        <v>0</v>
      </c>
      <c r="AE53" s="145">
        <v>0</v>
      </c>
      <c r="AF53" s="141">
        <v>0</v>
      </c>
      <c r="AG53" s="119">
        <v>0</v>
      </c>
      <c r="AH53" s="58">
        <v>0</v>
      </c>
      <c r="AI53" s="88">
        <v>3861</v>
      </c>
      <c r="AJ53" s="88">
        <v>1030889</v>
      </c>
      <c r="AK53" s="165" t="s">
        <v>315</v>
      </c>
      <c r="AL53" s="88">
        <v>3881</v>
      </c>
      <c r="AM53" s="48"/>
      <c r="AN53" s="121">
        <v>0</v>
      </c>
      <c r="AO53" s="166">
        <v>18077386.324000001</v>
      </c>
      <c r="AP53" s="118">
        <v>206010.66666666666</v>
      </c>
      <c r="AQ53" s="203"/>
    </row>
    <row r="54" spans="1:43" x14ac:dyDescent="0.25">
      <c r="A54" s="202" t="s">
        <v>119</v>
      </c>
      <c r="B54" s="202" t="s">
        <v>120</v>
      </c>
      <c r="C54" s="141">
        <f t="shared" si="0"/>
        <v>3785716.2604349996</v>
      </c>
      <c r="D54" s="119">
        <f t="shared" si="1"/>
        <v>5616408.9246000005</v>
      </c>
      <c r="E54" s="119">
        <f t="shared" si="2"/>
        <v>132638.44220000002</v>
      </c>
      <c r="F54" s="119">
        <f t="shared" si="3"/>
        <v>106958.35400000001</v>
      </c>
      <c r="G54" s="119">
        <f t="shared" si="4"/>
        <v>8494858.436312627</v>
      </c>
      <c r="H54" s="119">
        <f t="shared" si="5"/>
        <v>0</v>
      </c>
      <c r="I54" s="119">
        <f t="shared" si="9"/>
        <v>1056925.0103810001</v>
      </c>
      <c r="J54" s="119">
        <f t="shared" si="6"/>
        <v>1479089.2627650001</v>
      </c>
      <c r="K54" s="119">
        <f t="shared" si="7"/>
        <v>1678877.3421867148</v>
      </c>
      <c r="L54" s="159">
        <f t="shared" si="8"/>
        <v>3342291.4288740652</v>
      </c>
      <c r="M54" s="164">
        <v>2.9657577600436871E-2</v>
      </c>
      <c r="N54" s="267">
        <v>459.35</v>
      </c>
      <c r="O54" s="268">
        <v>611.15</v>
      </c>
      <c r="P54" s="268">
        <v>0</v>
      </c>
      <c r="Q54" s="268">
        <v>0</v>
      </c>
      <c r="R54" s="269">
        <v>1.7</v>
      </c>
      <c r="S54" s="141">
        <v>20</v>
      </c>
      <c r="T54" s="119">
        <v>32</v>
      </c>
      <c r="U54" s="119">
        <v>182</v>
      </c>
      <c r="V54" s="119">
        <v>3076</v>
      </c>
      <c r="W54" s="145">
        <v>0</v>
      </c>
      <c r="X54" s="141">
        <v>43563</v>
      </c>
      <c r="Y54" s="58">
        <v>26696</v>
      </c>
      <c r="Z54" s="88">
        <v>17474</v>
      </c>
      <c r="AA54" s="88">
        <f>VLOOKUP(B54,'Renseanlæg 2022'!L:M,2,FALSE)</f>
        <v>8494858.436312627</v>
      </c>
      <c r="AB54" s="58">
        <v>0</v>
      </c>
      <c r="AC54" s="141">
        <v>1145.73</v>
      </c>
      <c r="AD54" s="119">
        <v>0</v>
      </c>
      <c r="AE54" s="145">
        <v>0</v>
      </c>
      <c r="AF54" s="141">
        <v>1145.73</v>
      </c>
      <c r="AG54" s="119">
        <v>0</v>
      </c>
      <c r="AH54" s="58">
        <v>0</v>
      </c>
      <c r="AI54" s="88">
        <v>21437</v>
      </c>
      <c r="AJ54" s="88">
        <v>1791073</v>
      </c>
      <c r="AK54" s="165" t="s">
        <v>316</v>
      </c>
      <c r="AL54" s="88">
        <v>23896</v>
      </c>
      <c r="AM54" s="48"/>
      <c r="AN54" s="121">
        <v>6864107.2773255762</v>
      </c>
      <c r="AO54" s="166">
        <v>78740569.466666684</v>
      </c>
      <c r="AP54" s="118">
        <v>1843973.3333333335</v>
      </c>
      <c r="AQ54" s="203"/>
    </row>
    <row r="55" spans="1:43" x14ac:dyDescent="0.25">
      <c r="A55" s="202" t="s">
        <v>121</v>
      </c>
      <c r="B55" s="202" t="s">
        <v>122</v>
      </c>
      <c r="C55" s="141">
        <f t="shared" si="0"/>
        <v>35384.843439999997</v>
      </c>
      <c r="D55" s="119">
        <f t="shared" si="1"/>
        <v>667811.03289999999</v>
      </c>
      <c r="E55" s="119">
        <f t="shared" si="2"/>
        <v>0</v>
      </c>
      <c r="F55" s="119">
        <f t="shared" si="3"/>
        <v>0</v>
      </c>
      <c r="G55" s="119">
        <f t="shared" si="4"/>
        <v>9405870.6530250926</v>
      </c>
      <c r="H55" s="119">
        <f t="shared" si="5"/>
        <v>0</v>
      </c>
      <c r="I55" s="119">
        <f t="shared" si="9"/>
        <v>1325505.2403000002</v>
      </c>
      <c r="J55" s="119">
        <f t="shared" si="6"/>
        <v>1233022.8431000002</v>
      </c>
      <c r="K55" s="119">
        <f t="shared" si="7"/>
        <v>62116.659428912084</v>
      </c>
      <c r="L55" s="159">
        <f t="shared" si="8"/>
        <v>3946382.6705449349</v>
      </c>
      <c r="M55" s="164">
        <v>3.875968992248062E-4</v>
      </c>
      <c r="N55" s="267">
        <v>8.9</v>
      </c>
      <c r="O55" s="268">
        <v>4</v>
      </c>
      <c r="P55" s="268">
        <v>0</v>
      </c>
      <c r="Q55" s="268">
        <v>0</v>
      </c>
      <c r="R55" s="269">
        <v>0</v>
      </c>
      <c r="S55" s="141">
        <v>0</v>
      </c>
      <c r="T55" s="119">
        <v>0</v>
      </c>
      <c r="U55" s="119">
        <v>0</v>
      </c>
      <c r="V55" s="119">
        <v>0</v>
      </c>
      <c r="W55" s="145">
        <v>3113</v>
      </c>
      <c r="X55" s="141">
        <v>0</v>
      </c>
      <c r="Y55" s="58">
        <v>0</v>
      </c>
      <c r="Z55" s="88">
        <v>0</v>
      </c>
      <c r="AA55" s="88">
        <f>VLOOKUP(B55,'Renseanlæg 2022'!L:M,2,FALSE)</f>
        <v>9405870.6530250926</v>
      </c>
      <c r="AB55" s="58">
        <v>0</v>
      </c>
      <c r="AC55" s="141">
        <v>899</v>
      </c>
      <c r="AD55" s="119">
        <v>0</v>
      </c>
      <c r="AE55" s="145">
        <v>203</v>
      </c>
      <c r="AF55" s="141">
        <v>899</v>
      </c>
      <c r="AG55" s="119">
        <v>0</v>
      </c>
      <c r="AH55" s="58">
        <v>0</v>
      </c>
      <c r="AI55" s="88">
        <v>5</v>
      </c>
      <c r="AJ55" s="88">
        <v>6042425</v>
      </c>
      <c r="AK55" s="165" t="s">
        <v>317</v>
      </c>
      <c r="AL55" s="88">
        <v>5</v>
      </c>
      <c r="AM55" s="48"/>
      <c r="AN55" s="121">
        <v>12228482.385060871</v>
      </c>
      <c r="AO55" s="166">
        <v>2827111.6733333329</v>
      </c>
      <c r="AP55" s="118">
        <v>3717001.04</v>
      </c>
      <c r="AQ55" s="203"/>
    </row>
    <row r="56" spans="1:43" x14ac:dyDescent="0.25">
      <c r="A56" s="202" t="s">
        <v>123</v>
      </c>
      <c r="B56" s="202" t="s">
        <v>124</v>
      </c>
      <c r="C56" s="141">
        <f t="shared" si="0"/>
        <v>3717591.6312599997</v>
      </c>
      <c r="D56" s="119">
        <f t="shared" si="1"/>
        <v>5596177.6060000006</v>
      </c>
      <c r="E56" s="119">
        <f t="shared" si="2"/>
        <v>8071791.3715000004</v>
      </c>
      <c r="F56" s="119">
        <f t="shared" si="3"/>
        <v>150772.47200000001</v>
      </c>
      <c r="G56" s="119">
        <f t="shared" si="4"/>
        <v>0</v>
      </c>
      <c r="H56" s="119">
        <f t="shared" si="5"/>
        <v>2863.2069999999999</v>
      </c>
      <c r="I56" s="119">
        <f t="shared" si="9"/>
        <v>0</v>
      </c>
      <c r="J56" s="119">
        <f t="shared" si="6"/>
        <v>0</v>
      </c>
      <c r="K56" s="119">
        <f t="shared" si="7"/>
        <v>1497863.9743802047</v>
      </c>
      <c r="L56" s="159">
        <f t="shared" si="8"/>
        <v>2319796.0667228876</v>
      </c>
      <c r="M56" s="164">
        <v>2.4456271576524743E-2</v>
      </c>
      <c r="N56" s="267">
        <v>305.2</v>
      </c>
      <c r="O56" s="268">
        <v>673.3</v>
      </c>
      <c r="P56" s="268">
        <v>21.9</v>
      </c>
      <c r="Q56" s="268">
        <v>0</v>
      </c>
      <c r="R56" s="269">
        <v>0.7</v>
      </c>
      <c r="S56" s="141">
        <v>31</v>
      </c>
      <c r="T56" s="119">
        <v>110</v>
      </c>
      <c r="U56" s="119">
        <v>151</v>
      </c>
      <c r="V56" s="119">
        <v>2453</v>
      </c>
      <c r="W56" s="145">
        <v>0</v>
      </c>
      <c r="X56" s="141">
        <v>371211</v>
      </c>
      <c r="Y56" s="58">
        <v>2961775</v>
      </c>
      <c r="Z56" s="88">
        <v>24632</v>
      </c>
      <c r="AA56" s="88">
        <f>VLOOKUP(B56,'Renseanlæg 2022'!L:M,2,FALSE)</f>
        <v>0</v>
      </c>
      <c r="AB56" s="58">
        <v>1</v>
      </c>
      <c r="AC56" s="141">
        <v>0</v>
      </c>
      <c r="AD56" s="119">
        <v>0</v>
      </c>
      <c r="AE56" s="145">
        <v>0</v>
      </c>
      <c r="AF56" s="141">
        <v>0</v>
      </c>
      <c r="AG56" s="119">
        <v>0</v>
      </c>
      <c r="AH56" s="58">
        <v>0</v>
      </c>
      <c r="AI56" s="88">
        <v>16050</v>
      </c>
      <c r="AJ56" s="88">
        <v>1700189</v>
      </c>
      <c r="AK56" s="165" t="s">
        <v>315</v>
      </c>
      <c r="AL56" s="88">
        <v>17002</v>
      </c>
      <c r="AM56" s="48"/>
      <c r="AN56" s="121">
        <v>1841.2662786691872</v>
      </c>
      <c r="AO56" s="166">
        <v>88685618.786316171</v>
      </c>
      <c r="AP56" s="118">
        <v>3637519.8800000004</v>
      </c>
      <c r="AQ56" s="203"/>
    </row>
    <row r="57" spans="1:43" x14ac:dyDescent="0.25">
      <c r="A57" s="202" t="s">
        <v>125</v>
      </c>
      <c r="B57" s="202" t="s">
        <v>126</v>
      </c>
      <c r="C57" s="141">
        <f t="shared" si="0"/>
        <v>1930506.6005880001</v>
      </c>
      <c r="D57" s="119">
        <f t="shared" si="1"/>
        <v>6373527.3581000008</v>
      </c>
      <c r="E57" s="119">
        <f t="shared" si="2"/>
        <v>173927.24710000001</v>
      </c>
      <c r="F57" s="119">
        <f t="shared" si="3"/>
        <v>25634.748000000003</v>
      </c>
      <c r="G57" s="119">
        <f t="shared" si="4"/>
        <v>3451937.637444187</v>
      </c>
      <c r="H57" s="119">
        <f t="shared" si="5"/>
        <v>8589.6209999999992</v>
      </c>
      <c r="I57" s="119">
        <f t="shared" si="9"/>
        <v>857169.30764000001</v>
      </c>
      <c r="J57" s="119">
        <f t="shared" si="6"/>
        <v>761494.43870000006</v>
      </c>
      <c r="K57" s="119">
        <f t="shared" si="7"/>
        <v>1292723.1981993036</v>
      </c>
      <c r="L57" s="159">
        <f t="shared" si="8"/>
        <v>1988431.1367846685</v>
      </c>
      <c r="M57" s="164">
        <v>3.0838906852106128E-2</v>
      </c>
      <c r="N57" s="267">
        <v>237</v>
      </c>
      <c r="O57" s="268">
        <v>373</v>
      </c>
      <c r="P57" s="268">
        <v>0</v>
      </c>
      <c r="Q57" s="268">
        <v>0</v>
      </c>
      <c r="R57" s="269">
        <v>0.04</v>
      </c>
      <c r="S57" s="141">
        <v>0</v>
      </c>
      <c r="T57" s="119">
        <v>326</v>
      </c>
      <c r="U57" s="119">
        <v>62</v>
      </c>
      <c r="V57" s="119">
        <v>4153</v>
      </c>
      <c r="W57" s="145">
        <v>0</v>
      </c>
      <c r="X57" s="141">
        <v>39278</v>
      </c>
      <c r="Y57" s="58">
        <v>45473</v>
      </c>
      <c r="Z57" s="88">
        <v>4188</v>
      </c>
      <c r="AA57" s="88">
        <f>VLOOKUP(B57,'Renseanlæg 2022'!L:M,2,FALSE)</f>
        <v>3451937.637444187</v>
      </c>
      <c r="AB57" s="58">
        <v>3</v>
      </c>
      <c r="AC57" s="141">
        <v>426.2</v>
      </c>
      <c r="AD57" s="119">
        <v>0</v>
      </c>
      <c r="AE57" s="145">
        <v>0</v>
      </c>
      <c r="AF57" s="141">
        <v>426.2</v>
      </c>
      <c r="AG57" s="119">
        <v>0</v>
      </c>
      <c r="AH57" s="58">
        <v>0</v>
      </c>
      <c r="AI57" s="88">
        <v>11046</v>
      </c>
      <c r="AJ57" s="88">
        <v>1057227</v>
      </c>
      <c r="AK57" s="165" t="s">
        <v>316</v>
      </c>
      <c r="AL57" s="88">
        <v>13925</v>
      </c>
      <c r="AM57" s="48"/>
      <c r="AN57" s="121">
        <v>2315214.532207631</v>
      </c>
      <c r="AO57" s="166">
        <v>41080138.833204895</v>
      </c>
      <c r="AP57" s="118">
        <v>523627.62298307748</v>
      </c>
      <c r="AQ57" s="203"/>
    </row>
    <row r="58" spans="1:43" x14ac:dyDescent="0.25">
      <c r="A58" s="202" t="s">
        <v>127</v>
      </c>
      <c r="B58" s="202" t="s">
        <v>128</v>
      </c>
      <c r="C58" s="141">
        <f t="shared" si="0"/>
        <v>8058841.5191559996</v>
      </c>
      <c r="D58" s="119">
        <f t="shared" si="1"/>
        <v>15396118.895500001</v>
      </c>
      <c r="E58" s="119">
        <f t="shared" si="2"/>
        <v>988512.69570000004</v>
      </c>
      <c r="F58" s="119">
        <f t="shared" si="3"/>
        <v>284338.81300000002</v>
      </c>
      <c r="G58" s="119">
        <f t="shared" si="4"/>
        <v>16172605.998348063</v>
      </c>
      <c r="H58" s="119">
        <f t="shared" si="5"/>
        <v>100212.245</v>
      </c>
      <c r="I58" s="119">
        <f t="shared" si="9"/>
        <v>3623674.8622999997</v>
      </c>
      <c r="J58" s="119">
        <f t="shared" si="6"/>
        <v>785230.42859999998</v>
      </c>
      <c r="K58" s="119">
        <f t="shared" si="7"/>
        <v>2037613.1696255752</v>
      </c>
      <c r="L58" s="159">
        <f t="shared" si="8"/>
        <v>8113100.6324311895</v>
      </c>
      <c r="M58" s="164">
        <v>3.362223938223937E-2</v>
      </c>
      <c r="N58" s="267">
        <v>816.74</v>
      </c>
      <c r="O58" s="268">
        <v>1250.9000000000001</v>
      </c>
      <c r="P58" s="268">
        <v>88.44</v>
      </c>
      <c r="Q58" s="268">
        <v>0</v>
      </c>
      <c r="R58" s="269">
        <v>0.67</v>
      </c>
      <c r="S58" s="141">
        <v>1698</v>
      </c>
      <c r="T58" s="119">
        <v>164</v>
      </c>
      <c r="U58" s="119">
        <v>195</v>
      </c>
      <c r="V58" s="119">
        <v>9194</v>
      </c>
      <c r="W58" s="145">
        <v>6000</v>
      </c>
      <c r="X58" s="141">
        <v>124508</v>
      </c>
      <c r="Y58" s="58">
        <v>316351</v>
      </c>
      <c r="Z58" s="88">
        <v>46453</v>
      </c>
      <c r="AA58" s="88">
        <f>VLOOKUP(B58,'Renseanlæg 2022'!L:M,2,FALSE)</f>
        <v>16172605.998348063</v>
      </c>
      <c r="AB58" s="58">
        <v>35</v>
      </c>
      <c r="AC58" s="141">
        <v>450</v>
      </c>
      <c r="AD58" s="119">
        <v>3532</v>
      </c>
      <c r="AE58" s="145">
        <v>30</v>
      </c>
      <c r="AF58" s="141">
        <v>450</v>
      </c>
      <c r="AG58" s="119">
        <v>0</v>
      </c>
      <c r="AH58" s="58">
        <v>0</v>
      </c>
      <c r="AI58" s="88">
        <v>35036</v>
      </c>
      <c r="AJ58" s="88">
        <v>4406373</v>
      </c>
      <c r="AK58" s="165" t="s">
        <v>316</v>
      </c>
      <c r="AL58" s="88">
        <v>54426</v>
      </c>
      <c r="AM58" s="48"/>
      <c r="AN58" s="121">
        <v>12491653.5252138</v>
      </c>
      <c r="AO58" s="166">
        <v>179116233.20099998</v>
      </c>
      <c r="AP58" s="118">
        <v>2235840</v>
      </c>
      <c r="AQ58" s="203"/>
    </row>
    <row r="59" spans="1:43" x14ac:dyDescent="0.25">
      <c r="A59" s="202" t="s">
        <v>129</v>
      </c>
      <c r="B59" s="202" t="s">
        <v>130</v>
      </c>
      <c r="C59" s="141">
        <f t="shared" si="0"/>
        <v>4003835.8791</v>
      </c>
      <c r="D59" s="119">
        <f t="shared" si="1"/>
        <v>6782720.1803000001</v>
      </c>
      <c r="E59" s="119">
        <f t="shared" si="2"/>
        <v>1014624.6332</v>
      </c>
      <c r="F59" s="119">
        <f t="shared" si="3"/>
        <v>49886.15</v>
      </c>
      <c r="G59" s="119">
        <f t="shared" si="4"/>
        <v>10790477.130642183</v>
      </c>
      <c r="H59" s="119">
        <f t="shared" si="5"/>
        <v>71580.175000000003</v>
      </c>
      <c r="I59" s="119">
        <f t="shared" si="9"/>
        <v>1549877.9723</v>
      </c>
      <c r="J59" s="119">
        <f t="shared" si="6"/>
        <v>2826512.9112</v>
      </c>
      <c r="K59" s="119">
        <f t="shared" si="7"/>
        <v>1566709.1034244383</v>
      </c>
      <c r="L59" s="159">
        <f t="shared" si="8"/>
        <v>7501213.985621741</v>
      </c>
      <c r="M59" s="164">
        <v>3.9480138169257342E-2</v>
      </c>
      <c r="N59" s="267">
        <v>246</v>
      </c>
      <c r="O59" s="268">
        <v>668</v>
      </c>
      <c r="P59" s="268">
        <v>27</v>
      </c>
      <c r="Q59" s="268">
        <v>0</v>
      </c>
      <c r="R59" s="269">
        <v>2</v>
      </c>
      <c r="S59" s="141">
        <v>191</v>
      </c>
      <c r="T59" s="119">
        <v>16</v>
      </c>
      <c r="U59" s="119">
        <v>195</v>
      </c>
      <c r="V59" s="119">
        <v>1548</v>
      </c>
      <c r="W59" s="145">
        <v>4830</v>
      </c>
      <c r="X59" s="141">
        <v>121440</v>
      </c>
      <c r="Y59" s="58">
        <v>328436</v>
      </c>
      <c r="Z59" s="88">
        <v>8150</v>
      </c>
      <c r="AA59" s="88">
        <f>VLOOKUP(B59,'Renseanlæg 2022'!L:M,2,FALSE)</f>
        <v>10790477.130642183</v>
      </c>
      <c r="AB59" s="58">
        <v>25</v>
      </c>
      <c r="AC59" s="141">
        <v>0</v>
      </c>
      <c r="AD59" s="119">
        <v>1057</v>
      </c>
      <c r="AE59" s="145">
        <v>0</v>
      </c>
      <c r="AF59" s="141">
        <v>320</v>
      </c>
      <c r="AG59" s="119">
        <v>737</v>
      </c>
      <c r="AH59" s="58">
        <v>0</v>
      </c>
      <c r="AI59" s="88">
        <v>17988</v>
      </c>
      <c r="AJ59" s="88">
        <v>4069217</v>
      </c>
      <c r="AK59" s="165" t="s">
        <v>316</v>
      </c>
      <c r="AL59" s="88">
        <v>22859</v>
      </c>
      <c r="AM59" s="48"/>
      <c r="AN59" s="121">
        <v>10260847.41596533</v>
      </c>
      <c r="AO59" s="166">
        <v>82992977.728</v>
      </c>
      <c r="AP59" s="118">
        <v>1481538.9866666666</v>
      </c>
      <c r="AQ59" s="203"/>
    </row>
    <row r="60" spans="1:43" x14ac:dyDescent="0.25">
      <c r="A60" s="202" t="s">
        <v>131</v>
      </c>
      <c r="B60" s="202" t="s">
        <v>132</v>
      </c>
      <c r="C60" s="141">
        <f t="shared" si="0"/>
        <v>2256257.5123899998</v>
      </c>
      <c r="D60" s="119">
        <f t="shared" si="1"/>
        <v>3347066.0168000003</v>
      </c>
      <c r="E60" s="119">
        <f t="shared" si="2"/>
        <v>87271.925199999998</v>
      </c>
      <c r="F60" s="119">
        <f t="shared" si="3"/>
        <v>97268.811000000002</v>
      </c>
      <c r="G60" s="119">
        <f t="shared" si="4"/>
        <v>5918912.6139834924</v>
      </c>
      <c r="H60" s="119">
        <f t="shared" si="5"/>
        <v>8589.6209999999992</v>
      </c>
      <c r="I60" s="119">
        <f t="shared" si="9"/>
        <v>914858.68130000005</v>
      </c>
      <c r="J60" s="119">
        <f t="shared" si="6"/>
        <v>877041.8311999999</v>
      </c>
      <c r="K60" s="119">
        <f t="shared" si="7"/>
        <v>1294612.5524788385</v>
      </c>
      <c r="L60" s="159">
        <f t="shared" si="8"/>
        <v>1981861.0330921647</v>
      </c>
      <c r="M60" s="164">
        <v>2.5462783171521036E-2</v>
      </c>
      <c r="N60" s="267">
        <v>300</v>
      </c>
      <c r="O60" s="268">
        <v>325.7</v>
      </c>
      <c r="P60" s="268">
        <v>0</v>
      </c>
      <c r="Q60" s="268">
        <v>0</v>
      </c>
      <c r="R60" s="269">
        <v>1.3</v>
      </c>
      <c r="S60" s="141">
        <v>63</v>
      </c>
      <c r="T60" s="119">
        <v>32</v>
      </c>
      <c r="U60" s="119">
        <v>83</v>
      </c>
      <c r="V60" s="119">
        <v>2791</v>
      </c>
      <c r="W60" s="145">
        <v>0</v>
      </c>
      <c r="X60" s="141">
        <v>22967</v>
      </c>
      <c r="Y60" s="58">
        <v>20906</v>
      </c>
      <c r="Z60" s="88">
        <v>15891</v>
      </c>
      <c r="AA60" s="88">
        <f>VLOOKUP(B60,'Renseanlæg 2022'!L:M,2,FALSE)</f>
        <v>5918912.6139834924</v>
      </c>
      <c r="AB60" s="58">
        <v>3</v>
      </c>
      <c r="AC60" s="141">
        <v>634</v>
      </c>
      <c r="AD60" s="119">
        <v>0</v>
      </c>
      <c r="AE60" s="145">
        <v>0</v>
      </c>
      <c r="AF60" s="141">
        <v>514</v>
      </c>
      <c r="AG60" s="119">
        <v>9.5</v>
      </c>
      <c r="AH60" s="58">
        <v>0</v>
      </c>
      <c r="AI60" s="88">
        <v>11087</v>
      </c>
      <c r="AJ60" s="88">
        <v>1053681</v>
      </c>
      <c r="AK60" s="165" t="s">
        <v>316</v>
      </c>
      <c r="AL60" s="88">
        <v>11802</v>
      </c>
      <c r="AM60" s="48"/>
      <c r="AN60" s="121">
        <v>4707296.6791277658</v>
      </c>
      <c r="AO60" s="166">
        <v>43756167.939240001</v>
      </c>
      <c r="AP60" s="118">
        <v>2122595.7733333334</v>
      </c>
      <c r="AQ60" s="203"/>
    </row>
    <row r="61" spans="1:43" x14ac:dyDescent="0.25">
      <c r="A61" s="202" t="s">
        <v>133</v>
      </c>
      <c r="B61" s="202" t="s">
        <v>134</v>
      </c>
      <c r="C61" s="141">
        <f t="shared" si="0"/>
        <v>1984952.7895880002</v>
      </c>
      <c r="D61" s="119">
        <f t="shared" si="1"/>
        <v>5681488.5529000005</v>
      </c>
      <c r="E61" s="119">
        <f t="shared" si="2"/>
        <v>206090.921</v>
      </c>
      <c r="F61" s="119">
        <f t="shared" si="3"/>
        <v>4376.5150000000003</v>
      </c>
      <c r="G61" s="119">
        <f t="shared" si="4"/>
        <v>10114964.409272682</v>
      </c>
      <c r="H61" s="119">
        <f t="shared" si="5"/>
        <v>51537.725999999995</v>
      </c>
      <c r="I61" s="119">
        <f t="shared" si="9"/>
        <v>930127.7648</v>
      </c>
      <c r="J61" s="119">
        <f t="shared" si="6"/>
        <v>1023587.6381000001</v>
      </c>
      <c r="K61" s="119">
        <f t="shared" si="7"/>
        <v>1328275.3454817461</v>
      </c>
      <c r="L61" s="159">
        <f t="shared" si="8"/>
        <v>2277501.2588302717</v>
      </c>
      <c r="M61" s="164">
        <v>2.782891638480969E-2</v>
      </c>
      <c r="N61" s="267">
        <v>340.54</v>
      </c>
      <c r="O61" s="268">
        <v>325.16000000000003</v>
      </c>
      <c r="P61" s="268">
        <v>0</v>
      </c>
      <c r="Q61" s="268">
        <v>0</v>
      </c>
      <c r="R61" s="269">
        <v>0</v>
      </c>
      <c r="S61" s="141">
        <v>154</v>
      </c>
      <c r="T61" s="119">
        <v>65</v>
      </c>
      <c r="U61" s="119">
        <v>174</v>
      </c>
      <c r="V61" s="119">
        <v>1500</v>
      </c>
      <c r="W61" s="145">
        <v>0</v>
      </c>
      <c r="X61" s="141">
        <v>70500</v>
      </c>
      <c r="Y61" s="58">
        <v>39830</v>
      </c>
      <c r="Z61" s="88">
        <v>715</v>
      </c>
      <c r="AA61" s="88">
        <f>VLOOKUP(B61,'Renseanlæg 2022'!L:M,2,FALSE)</f>
        <v>10114964.409272682</v>
      </c>
      <c r="AB61" s="58">
        <v>18</v>
      </c>
      <c r="AC61" s="141">
        <v>689</v>
      </c>
      <c r="AD61" s="119">
        <v>0</v>
      </c>
      <c r="AE61" s="145">
        <v>0</v>
      </c>
      <c r="AF61" s="141">
        <v>689</v>
      </c>
      <c r="AG61" s="119">
        <v>0</v>
      </c>
      <c r="AH61" s="58">
        <v>0</v>
      </c>
      <c r="AI61" s="88">
        <v>11833</v>
      </c>
      <c r="AJ61" s="88">
        <v>1213411</v>
      </c>
      <c r="AK61" s="165" t="s">
        <v>316</v>
      </c>
      <c r="AL61" s="88">
        <v>13000</v>
      </c>
      <c r="AM61" s="48"/>
      <c r="AN61" s="121">
        <v>9103396.00211454</v>
      </c>
      <c r="AO61" s="166">
        <v>41513351</v>
      </c>
      <c r="AP61" s="118">
        <v>992468.00000000012</v>
      </c>
      <c r="AQ61" s="203"/>
    </row>
    <row r="62" spans="1:43" x14ac:dyDescent="0.25">
      <c r="A62" s="202" t="s">
        <v>135</v>
      </c>
      <c r="B62" s="202" t="s">
        <v>136</v>
      </c>
      <c r="C62" s="141">
        <f t="shared" si="0"/>
        <v>4071618.5895470004</v>
      </c>
      <c r="D62" s="119">
        <f t="shared" si="1"/>
        <v>13809027.175500002</v>
      </c>
      <c r="E62" s="119">
        <f t="shared" si="2"/>
        <v>106974.50469999999</v>
      </c>
      <c r="F62" s="119">
        <f t="shared" si="3"/>
        <v>205065.74200000003</v>
      </c>
      <c r="G62" s="119">
        <f t="shared" si="4"/>
        <v>11404169.585451733</v>
      </c>
      <c r="H62" s="119">
        <f t="shared" si="5"/>
        <v>8589.6209999999992</v>
      </c>
      <c r="I62" s="119">
        <f t="shared" si="9"/>
        <v>1366290.8052680001</v>
      </c>
      <c r="J62" s="119">
        <f t="shared" si="6"/>
        <v>889922.57082000002</v>
      </c>
      <c r="K62" s="119">
        <f t="shared" si="7"/>
        <v>1617225.7158831053</v>
      </c>
      <c r="L62" s="159">
        <f t="shared" si="8"/>
        <v>4764512.8892024411</v>
      </c>
      <c r="M62" s="164">
        <v>2.0811591702962609E-2</v>
      </c>
      <c r="N62" s="267">
        <v>702.2</v>
      </c>
      <c r="O62" s="268">
        <v>494.49</v>
      </c>
      <c r="P62" s="268">
        <v>0</v>
      </c>
      <c r="Q62" s="268">
        <v>0</v>
      </c>
      <c r="R62" s="269">
        <v>2.23</v>
      </c>
      <c r="S62" s="141">
        <v>439</v>
      </c>
      <c r="T62" s="119">
        <v>299</v>
      </c>
      <c r="U62" s="119">
        <v>336</v>
      </c>
      <c r="V62" s="119">
        <v>4502</v>
      </c>
      <c r="W62" s="145">
        <v>0</v>
      </c>
      <c r="X62" s="141">
        <v>14384</v>
      </c>
      <c r="Y62" s="58">
        <v>33701</v>
      </c>
      <c r="Z62" s="88">
        <v>33502</v>
      </c>
      <c r="AA62" s="88">
        <f>VLOOKUP(B62,'Renseanlæg 2022'!L:M,2,FALSE)</f>
        <v>11404169.585451733</v>
      </c>
      <c r="AB62" s="58">
        <v>3</v>
      </c>
      <c r="AC62" s="141">
        <v>878.44</v>
      </c>
      <c r="AD62" s="119">
        <v>0</v>
      </c>
      <c r="AE62" s="145">
        <v>231</v>
      </c>
      <c r="AF62" s="141">
        <v>477</v>
      </c>
      <c r="AG62" s="119">
        <v>26.4</v>
      </c>
      <c r="AH62" s="58">
        <v>0</v>
      </c>
      <c r="AI62" s="88">
        <v>19496</v>
      </c>
      <c r="AJ62" s="88">
        <v>2566944</v>
      </c>
      <c r="AK62" s="165" t="s">
        <v>316</v>
      </c>
      <c r="AL62" s="88">
        <v>19304</v>
      </c>
      <c r="AM62" s="48"/>
      <c r="AN62" s="121">
        <v>11027757.134013038</v>
      </c>
      <c r="AO62" s="166">
        <v>92992751.883333325</v>
      </c>
      <c r="AP62" s="118">
        <v>699173.33333333326</v>
      </c>
      <c r="AQ62" s="203"/>
    </row>
    <row r="63" spans="1:43" x14ac:dyDescent="0.25">
      <c r="A63" s="202" t="s">
        <v>137</v>
      </c>
      <c r="B63" s="202" t="s">
        <v>138</v>
      </c>
      <c r="C63" s="141">
        <f t="shared" si="0"/>
        <v>3029456.7905429997</v>
      </c>
      <c r="D63" s="119">
        <f t="shared" si="1"/>
        <v>1073376.4150999999</v>
      </c>
      <c r="E63" s="119">
        <f t="shared" si="2"/>
        <v>32622.294999999998</v>
      </c>
      <c r="F63" s="119">
        <f t="shared" si="3"/>
        <v>153392.26</v>
      </c>
      <c r="G63" s="119">
        <f t="shared" si="4"/>
        <v>0</v>
      </c>
      <c r="H63" s="119">
        <f t="shared" si="5"/>
        <v>0</v>
      </c>
      <c r="I63" s="119">
        <f t="shared" si="9"/>
        <v>0</v>
      </c>
      <c r="J63" s="119">
        <f t="shared" si="6"/>
        <v>0</v>
      </c>
      <c r="K63" s="119">
        <f t="shared" si="7"/>
        <v>1316782.6455040644</v>
      </c>
      <c r="L63" s="159">
        <f t="shared" si="8"/>
        <v>3734921.6878868099</v>
      </c>
      <c r="M63" s="164">
        <v>0.10967500701087463</v>
      </c>
      <c r="N63" s="267">
        <v>22.37</v>
      </c>
      <c r="O63" s="268">
        <v>334.2</v>
      </c>
      <c r="P63" s="268">
        <v>99.11</v>
      </c>
      <c r="Q63" s="268">
        <v>0</v>
      </c>
      <c r="R63" s="269">
        <v>0.72</v>
      </c>
      <c r="S63" s="141">
        <v>2</v>
      </c>
      <c r="T63" s="119">
        <v>6</v>
      </c>
      <c r="U63" s="119">
        <v>29</v>
      </c>
      <c r="V63" s="119">
        <v>1034</v>
      </c>
      <c r="W63" s="145">
        <v>0</v>
      </c>
      <c r="X63" s="141">
        <v>0</v>
      </c>
      <c r="Y63" s="58">
        <v>12850</v>
      </c>
      <c r="Z63" s="88">
        <v>25060</v>
      </c>
      <c r="AA63" s="88">
        <f>VLOOKUP(B63,'Renseanlæg 2022'!L:M,2,FALSE)</f>
        <v>0</v>
      </c>
      <c r="AB63" s="58">
        <v>0</v>
      </c>
      <c r="AC63" s="141">
        <v>0</v>
      </c>
      <c r="AD63" s="119">
        <v>0</v>
      </c>
      <c r="AE63" s="145">
        <v>0</v>
      </c>
      <c r="AF63" s="141">
        <v>0</v>
      </c>
      <c r="AG63" s="119">
        <v>0</v>
      </c>
      <c r="AH63" s="58">
        <v>0</v>
      </c>
      <c r="AI63" s="88">
        <v>11575</v>
      </c>
      <c r="AJ63" s="88">
        <v>2664874</v>
      </c>
      <c r="AK63" s="165" t="s">
        <v>315</v>
      </c>
      <c r="AL63" s="88">
        <v>35198</v>
      </c>
      <c r="AM63" s="48"/>
      <c r="AN63" s="121">
        <v>0</v>
      </c>
      <c r="AO63" s="166">
        <v>49956432.487558298</v>
      </c>
      <c r="AP63" s="118">
        <v>1579009.1066666665</v>
      </c>
      <c r="AQ63" s="203"/>
    </row>
    <row r="64" spans="1:43" x14ac:dyDescent="0.25">
      <c r="A64" s="202" t="s">
        <v>139</v>
      </c>
      <c r="B64" s="202" t="s">
        <v>140</v>
      </c>
      <c r="C64" s="141">
        <f t="shared" si="0"/>
        <v>4470670.1091080001</v>
      </c>
      <c r="D64" s="119">
        <f t="shared" si="1"/>
        <v>5553421.1183000002</v>
      </c>
      <c r="E64" s="119">
        <f t="shared" si="2"/>
        <v>632120.14350000001</v>
      </c>
      <c r="F64" s="119">
        <f t="shared" si="3"/>
        <v>85804.178</v>
      </c>
      <c r="G64" s="119">
        <f t="shared" si="4"/>
        <v>11544549.740248507</v>
      </c>
      <c r="H64" s="119">
        <f t="shared" si="5"/>
        <v>0</v>
      </c>
      <c r="I64" s="119">
        <f t="shared" si="9"/>
        <v>2446077.8315000003</v>
      </c>
      <c r="J64" s="119">
        <f t="shared" si="6"/>
        <v>1159221.8661000002</v>
      </c>
      <c r="K64" s="119">
        <f t="shared" si="7"/>
        <v>1647779.8316369476</v>
      </c>
      <c r="L64" s="159">
        <f t="shared" si="8"/>
        <v>3977513.5622785268</v>
      </c>
      <c r="M64" s="164">
        <v>2.4438669906407487E-2</v>
      </c>
      <c r="N64" s="267">
        <v>494.6</v>
      </c>
      <c r="O64" s="268">
        <v>681.73</v>
      </c>
      <c r="P64" s="268">
        <v>16.63</v>
      </c>
      <c r="Q64" s="268">
        <v>0</v>
      </c>
      <c r="R64" s="269">
        <v>2</v>
      </c>
      <c r="S64" s="141">
        <v>23</v>
      </c>
      <c r="T64" s="119">
        <v>256</v>
      </c>
      <c r="U64" s="119">
        <v>81</v>
      </c>
      <c r="V64" s="119">
        <v>1800</v>
      </c>
      <c r="W64" s="145">
        <v>900</v>
      </c>
      <c r="X64" s="141">
        <v>94453</v>
      </c>
      <c r="Y64" s="58">
        <v>193595</v>
      </c>
      <c r="Z64" s="88">
        <v>14018</v>
      </c>
      <c r="AA64" s="88">
        <f>VLOOKUP(B64,'Renseanlæg 2022'!L:M,2,FALSE)</f>
        <v>11544549.740248507</v>
      </c>
      <c r="AB64" s="58">
        <v>0</v>
      </c>
      <c r="AC64" s="141">
        <v>0</v>
      </c>
      <c r="AD64" s="119">
        <v>2225</v>
      </c>
      <c r="AE64" s="145">
        <v>0</v>
      </c>
      <c r="AF64" s="141">
        <v>825</v>
      </c>
      <c r="AG64" s="119">
        <v>0</v>
      </c>
      <c r="AH64" s="58">
        <v>0</v>
      </c>
      <c r="AI64" s="88">
        <v>20444</v>
      </c>
      <c r="AJ64" s="88">
        <v>2137094</v>
      </c>
      <c r="AK64" s="165" t="s">
        <v>316</v>
      </c>
      <c r="AL64" s="88">
        <v>21725</v>
      </c>
      <c r="AM64" s="48"/>
      <c r="AN64" s="121">
        <v>16200405.875869671</v>
      </c>
      <c r="AO64" s="166">
        <v>102470210.44133331</v>
      </c>
      <c r="AP64" s="118">
        <v>1873160</v>
      </c>
      <c r="AQ64" s="203"/>
    </row>
    <row r="65" spans="1:43" x14ac:dyDescent="0.25">
      <c r="A65" s="202" t="s">
        <v>141</v>
      </c>
      <c r="B65" s="202" t="s">
        <v>142</v>
      </c>
      <c r="C65" s="141">
        <f t="shared" si="0"/>
        <v>4398983.3185019996</v>
      </c>
      <c r="D65" s="119">
        <f t="shared" si="1"/>
        <v>5919559.1935000001</v>
      </c>
      <c r="E65" s="119">
        <f t="shared" si="2"/>
        <v>441678.24530000001</v>
      </c>
      <c r="F65" s="119">
        <f t="shared" si="3"/>
        <v>58100.532000000007</v>
      </c>
      <c r="G65" s="119">
        <f t="shared" si="4"/>
        <v>7757972.0790103292</v>
      </c>
      <c r="H65" s="119">
        <f t="shared" si="5"/>
        <v>146023.557</v>
      </c>
      <c r="I65" s="119">
        <f t="shared" si="9"/>
        <v>1388512.4813100002</v>
      </c>
      <c r="J65" s="119">
        <f t="shared" si="6"/>
        <v>930294.66353000002</v>
      </c>
      <c r="K65" s="119">
        <f t="shared" si="7"/>
        <v>1571812.0635484541</v>
      </c>
      <c r="L65" s="159">
        <f t="shared" si="8"/>
        <v>2965483.5974795017</v>
      </c>
      <c r="M65" s="164">
        <v>2.0172042013494405E-2</v>
      </c>
      <c r="N65" s="267">
        <v>374.52</v>
      </c>
      <c r="O65" s="268">
        <v>588.91999999999996</v>
      </c>
      <c r="P65" s="268">
        <v>22.16</v>
      </c>
      <c r="Q65" s="268">
        <v>0</v>
      </c>
      <c r="R65" s="269">
        <v>3.65</v>
      </c>
      <c r="S65" s="141">
        <v>385</v>
      </c>
      <c r="T65" s="119">
        <v>67</v>
      </c>
      <c r="U65" s="119">
        <v>142</v>
      </c>
      <c r="V65" s="119">
        <v>984</v>
      </c>
      <c r="W65" s="145">
        <v>2160</v>
      </c>
      <c r="X65" s="141">
        <v>56092</v>
      </c>
      <c r="Y65" s="58">
        <v>141079</v>
      </c>
      <c r="Z65" s="88">
        <v>9492</v>
      </c>
      <c r="AA65" s="88">
        <f>VLOOKUP(B65,'Renseanlæg 2022'!L:M,2,FALSE)</f>
        <v>7757972.0790103292</v>
      </c>
      <c r="AB65" s="58">
        <v>51</v>
      </c>
      <c r="AC65" s="141">
        <v>385.9</v>
      </c>
      <c r="AD65" s="119">
        <v>654.70000000000005</v>
      </c>
      <c r="AE65" s="145">
        <v>24.2</v>
      </c>
      <c r="AF65" s="141">
        <v>520.48</v>
      </c>
      <c r="AG65" s="119">
        <v>0</v>
      </c>
      <c r="AH65" s="58">
        <v>38.299999999999997</v>
      </c>
      <c r="AI65" s="88">
        <v>18137</v>
      </c>
      <c r="AJ65" s="88">
        <v>1586276</v>
      </c>
      <c r="AK65" s="165" t="s">
        <v>316</v>
      </c>
      <c r="AL65" s="88">
        <v>17400</v>
      </c>
      <c r="AM65" s="48"/>
      <c r="AN65" s="121">
        <v>6219193.0254729679</v>
      </c>
      <c r="AO65" s="166">
        <v>95308666.666666657</v>
      </c>
      <c r="AP65" s="118">
        <v>2065653.3333333333</v>
      </c>
      <c r="AQ65" s="203"/>
    </row>
    <row r="66" spans="1:43" x14ac:dyDescent="0.25">
      <c r="A66" s="202" t="s">
        <v>143</v>
      </c>
      <c r="B66" s="202" t="s">
        <v>144</v>
      </c>
      <c r="C66" s="141">
        <f t="shared" si="0"/>
        <v>2611198.9116399996</v>
      </c>
      <c r="D66" s="119">
        <f t="shared" si="1"/>
        <v>5957467.2916000001</v>
      </c>
      <c r="E66" s="119">
        <f t="shared" si="2"/>
        <v>118215.03409999999</v>
      </c>
      <c r="F66" s="119">
        <f t="shared" si="3"/>
        <v>38849.987000000001</v>
      </c>
      <c r="G66" s="119">
        <f t="shared" si="4"/>
        <v>9200702.3560750596</v>
      </c>
      <c r="H66" s="119">
        <f t="shared" si="5"/>
        <v>0</v>
      </c>
      <c r="I66" s="119">
        <f t="shared" si="9"/>
        <v>880156.21880000003</v>
      </c>
      <c r="J66" s="119">
        <f t="shared" si="6"/>
        <v>1835768.8168000001</v>
      </c>
      <c r="K66" s="119">
        <f t="shared" si="7"/>
        <v>1160555.1080386429</v>
      </c>
      <c r="L66" s="159">
        <f t="shared" si="8"/>
        <v>1533586.4487960113</v>
      </c>
      <c r="M66" s="164">
        <v>1.6635478327286613E-2</v>
      </c>
      <c r="N66" s="267">
        <v>374</v>
      </c>
      <c r="O66" s="268">
        <v>345</v>
      </c>
      <c r="P66" s="268">
        <v>0</v>
      </c>
      <c r="Q66" s="268">
        <v>0</v>
      </c>
      <c r="R66" s="269">
        <v>1.7</v>
      </c>
      <c r="S66" s="141">
        <v>608</v>
      </c>
      <c r="T66" s="119">
        <v>73</v>
      </c>
      <c r="U66" s="119">
        <v>124</v>
      </c>
      <c r="V66" s="119">
        <v>1669</v>
      </c>
      <c r="W66" s="145">
        <v>0</v>
      </c>
      <c r="X66" s="141">
        <v>29602</v>
      </c>
      <c r="Y66" s="58">
        <v>29203</v>
      </c>
      <c r="Z66" s="88">
        <v>6347</v>
      </c>
      <c r="AA66" s="88">
        <f>VLOOKUP(B66,'Renseanlæg 2022'!L:M,2,FALSE)</f>
        <v>9200702.3560750596</v>
      </c>
      <c r="AB66" s="58">
        <v>0</v>
      </c>
      <c r="AC66" s="141">
        <v>509</v>
      </c>
      <c r="AD66" s="119">
        <v>0</v>
      </c>
      <c r="AE66" s="145">
        <v>0</v>
      </c>
      <c r="AF66" s="141">
        <v>0</v>
      </c>
      <c r="AG66" s="119">
        <v>509</v>
      </c>
      <c r="AH66" s="58">
        <v>0</v>
      </c>
      <c r="AI66" s="88">
        <v>8402</v>
      </c>
      <c r="AJ66" s="88">
        <v>812194</v>
      </c>
      <c r="AK66" s="165" t="s">
        <v>316</v>
      </c>
      <c r="AL66" s="88">
        <v>8712</v>
      </c>
      <c r="AM66" s="48"/>
      <c r="AN66" s="121">
        <v>12400462.29068399</v>
      </c>
      <c r="AO66" s="166">
        <v>58098342.600000001</v>
      </c>
      <c r="AP66" s="118">
        <v>1528413.3333333333</v>
      </c>
      <c r="AQ66" s="203"/>
    </row>
    <row r="67" spans="1:43" x14ac:dyDescent="0.25">
      <c r="A67" s="202" t="s">
        <v>145</v>
      </c>
      <c r="B67" s="202" t="s">
        <v>146</v>
      </c>
      <c r="C67" s="141">
        <f t="shared" si="0"/>
        <v>35473.029214000002</v>
      </c>
      <c r="D67" s="119">
        <f t="shared" si="1"/>
        <v>0</v>
      </c>
      <c r="E67" s="119">
        <f t="shared" si="2"/>
        <v>0</v>
      </c>
      <c r="F67" s="119">
        <f t="shared" si="3"/>
        <v>0</v>
      </c>
      <c r="G67" s="119">
        <f t="shared" si="4"/>
        <v>12450278.227482773</v>
      </c>
      <c r="H67" s="119">
        <f t="shared" si="5"/>
        <v>0</v>
      </c>
      <c r="I67" s="119">
        <f t="shared" si="9"/>
        <v>3593950.2538999999</v>
      </c>
      <c r="J67" s="119">
        <f t="shared" si="6"/>
        <v>3322107.2117999997</v>
      </c>
      <c r="K67" s="119">
        <f t="shared" si="7"/>
        <v>56886.100554427154</v>
      </c>
      <c r="L67" s="159">
        <f t="shared" si="8"/>
        <v>3439933.6745525487</v>
      </c>
      <c r="M67" s="164">
        <v>5.6179775280898881E-4</v>
      </c>
      <c r="N67" s="267">
        <v>4.51</v>
      </c>
      <c r="O67" s="268">
        <v>5.83</v>
      </c>
      <c r="P67" s="268">
        <v>0.23</v>
      </c>
      <c r="Q67" s="268">
        <v>0</v>
      </c>
      <c r="R67" s="269">
        <v>0</v>
      </c>
      <c r="S67" s="141">
        <v>0</v>
      </c>
      <c r="T67" s="119">
        <v>0</v>
      </c>
      <c r="U67" s="119">
        <v>0</v>
      </c>
      <c r="V67" s="119">
        <v>0</v>
      </c>
      <c r="W67" s="145">
        <v>0</v>
      </c>
      <c r="X67" s="141">
        <v>0</v>
      </c>
      <c r="Y67" s="58">
        <v>0</v>
      </c>
      <c r="Z67" s="88">
        <v>0</v>
      </c>
      <c r="AA67" s="88">
        <f>VLOOKUP(B67,'Renseanlæg 2022'!L:M,2,FALSE)</f>
        <v>12450278.227482773</v>
      </c>
      <c r="AB67" s="58">
        <v>0</v>
      </c>
      <c r="AC67" s="141">
        <v>0</v>
      </c>
      <c r="AD67" s="119">
        <v>3721</v>
      </c>
      <c r="AE67" s="145">
        <v>0</v>
      </c>
      <c r="AF67" s="141">
        <v>627</v>
      </c>
      <c r="AG67" s="119">
        <v>0</v>
      </c>
      <c r="AH67" s="58">
        <v>1209</v>
      </c>
      <c r="AI67" s="88">
        <v>4</v>
      </c>
      <c r="AJ67" s="88">
        <v>4911670</v>
      </c>
      <c r="AK67" s="165" t="s">
        <v>317</v>
      </c>
      <c r="AL67" s="88">
        <v>4</v>
      </c>
      <c r="AM67" s="48"/>
      <c r="AN67" s="121">
        <v>19288314.951349992</v>
      </c>
      <c r="AO67" s="166">
        <v>5082341.6525000008</v>
      </c>
      <c r="AP67" s="118">
        <v>1519733.7733333334</v>
      </c>
      <c r="AQ67" s="203"/>
    </row>
    <row r="68" spans="1:43" x14ac:dyDescent="0.25">
      <c r="A68" s="202" t="s">
        <v>147</v>
      </c>
      <c r="B68" s="202" t="s">
        <v>148</v>
      </c>
      <c r="C68" s="141">
        <f t="shared" si="0"/>
        <v>3252.666311</v>
      </c>
      <c r="D68" s="119">
        <f t="shared" si="1"/>
        <v>289155.79610000004</v>
      </c>
      <c r="E68" s="119">
        <f t="shared" si="2"/>
        <v>0</v>
      </c>
      <c r="F68" s="119">
        <f t="shared" si="3"/>
        <v>24484</v>
      </c>
      <c r="G68" s="119">
        <f t="shared" si="4"/>
        <v>5934837.985578442</v>
      </c>
      <c r="H68" s="119">
        <f t="shared" si="5"/>
        <v>0</v>
      </c>
      <c r="I68" s="119">
        <f t="shared" si="9"/>
        <v>1619701.7627000001</v>
      </c>
      <c r="J68" s="119">
        <f t="shared" si="6"/>
        <v>4217973.1695999997</v>
      </c>
      <c r="K68" s="119">
        <f t="shared" si="7"/>
        <v>56886.100554427154</v>
      </c>
      <c r="L68" s="159">
        <f t="shared" si="8"/>
        <v>1941006.7559931385</v>
      </c>
      <c r="M68" s="164">
        <v>4.3478260869565227E-3</v>
      </c>
      <c r="N68" s="267">
        <v>0.09</v>
      </c>
      <c r="O68" s="268">
        <v>0.83</v>
      </c>
      <c r="P68" s="268">
        <v>0</v>
      </c>
      <c r="Q68" s="268">
        <v>0</v>
      </c>
      <c r="R68" s="269">
        <v>0</v>
      </c>
      <c r="S68" s="141">
        <v>0</v>
      </c>
      <c r="T68" s="119">
        <v>0</v>
      </c>
      <c r="U68" s="119">
        <v>7</v>
      </c>
      <c r="V68" s="119">
        <v>400</v>
      </c>
      <c r="W68" s="145">
        <v>0</v>
      </c>
      <c r="X68" s="141">
        <v>0</v>
      </c>
      <c r="Y68" s="58">
        <v>0</v>
      </c>
      <c r="Z68" s="88">
        <v>4000</v>
      </c>
      <c r="AA68" s="88">
        <f>VLOOKUP(B68,'Renseanlæg 2022'!L:M,2,FALSE)</f>
        <v>5934837.985578442</v>
      </c>
      <c r="AB68" s="58">
        <v>0</v>
      </c>
      <c r="AC68" s="141">
        <v>0</v>
      </c>
      <c r="AD68" s="119">
        <v>1148</v>
      </c>
      <c r="AE68" s="145">
        <v>0</v>
      </c>
      <c r="AF68" s="141">
        <v>3892</v>
      </c>
      <c r="AG68" s="119">
        <v>0</v>
      </c>
      <c r="AH68" s="58">
        <v>0</v>
      </c>
      <c r="AI68" s="88">
        <v>4</v>
      </c>
      <c r="AJ68" s="88">
        <v>2071698</v>
      </c>
      <c r="AK68" s="165" t="s">
        <v>317</v>
      </c>
      <c r="AL68" s="88">
        <v>4</v>
      </c>
      <c r="AM68" s="48"/>
      <c r="AN68" s="121">
        <v>6474645.374142427</v>
      </c>
      <c r="AO68" s="166">
        <v>1008985.5133333332</v>
      </c>
      <c r="AP68" s="118">
        <v>522216.56964578846</v>
      </c>
      <c r="AQ68" s="203"/>
    </row>
    <row r="69" spans="1:43" x14ac:dyDescent="0.25">
      <c r="A69" s="202" t="s">
        <v>149</v>
      </c>
      <c r="B69" s="202" t="s">
        <v>150</v>
      </c>
      <c r="C69" s="141">
        <f t="shared" ref="C69:C105" si="10">2327.9856*N69+3666.4429*O69+15645.4437*P69+15645.4437*Q69+279770.2922*R69</f>
        <v>3023130.6489149998</v>
      </c>
      <c r="D69" s="119">
        <f t="shared" ref="D69:D105" si="11">2855.5628*S69+11103.2371*T69+23253.3823*U69+315.9553*V69+214.5233*W69</f>
        <v>6103835.9671000009</v>
      </c>
      <c r="E69" s="119">
        <f t="shared" ref="E69:E105" si="12">1.489*X69+2.5387*Y69</f>
        <v>178220.36059999999</v>
      </c>
      <c r="F69" s="119">
        <f t="shared" ref="F69:F105" si="13">6.121*Z69</f>
        <v>67955.342000000004</v>
      </c>
      <c r="G69" s="119">
        <f t="shared" ref="G69:G105" si="14">AA69</f>
        <v>9065917.454121463</v>
      </c>
      <c r="H69" s="119">
        <f t="shared" ref="H69:H105" si="15">2863.207*AB69</f>
        <v>68716.967999999993</v>
      </c>
      <c r="I69" s="119">
        <f t="shared" si="9"/>
        <v>1783902.7642999999</v>
      </c>
      <c r="J69" s="119">
        <f t="shared" ref="J69:J105" si="16">IF(SUM(AF69:AH69)&gt;0,336440.7036+997.3105*AF69+2945.6348*AG69+1952.3183*AH69,0)</f>
        <v>1583972.0973</v>
      </c>
      <c r="K69" s="119">
        <f t="shared" ref="K69:K105" si="17">1.3366*24641.8131*(AI69^0.3942)</f>
        <v>1418712.0647905925</v>
      </c>
      <c r="L69" s="159">
        <f t="shared" ref="L69:L105" si="18">IF(AK69="t+r",1.4147*1.6347*(AJ69^0.9851),IF(AK69="t",1.1533*0.5024*(AJ69^1.0597),IF(AK69="r",1.3329*94.6535*(AJ69^0.6629),"FEJL")))</f>
        <v>2806684.4447502093</v>
      </c>
      <c r="M69" s="164">
        <v>2.5299854894109436E-2</v>
      </c>
      <c r="N69" s="267">
        <v>342.32</v>
      </c>
      <c r="O69" s="268">
        <v>315.57</v>
      </c>
      <c r="P69" s="268">
        <v>31.86</v>
      </c>
      <c r="Q69" s="268">
        <v>0</v>
      </c>
      <c r="R69" s="269">
        <v>2.04</v>
      </c>
      <c r="S69" s="141">
        <v>725</v>
      </c>
      <c r="T69" s="119">
        <v>33</v>
      </c>
      <c r="U69" s="119">
        <v>80</v>
      </c>
      <c r="V69" s="119">
        <v>2806</v>
      </c>
      <c r="W69" s="145">
        <v>4290</v>
      </c>
      <c r="X69" s="141">
        <v>19272</v>
      </c>
      <c r="Y69" s="58">
        <v>58898</v>
      </c>
      <c r="Z69" s="88">
        <v>11102</v>
      </c>
      <c r="AA69" s="88">
        <f>VLOOKUP(B69,'Renseanlæg 2022'!L:M,2,FALSE)</f>
        <v>9065917.454121463</v>
      </c>
      <c r="AB69" s="58">
        <v>24</v>
      </c>
      <c r="AC69" s="141">
        <v>0</v>
      </c>
      <c r="AD69" s="119">
        <v>1362</v>
      </c>
      <c r="AE69" s="145">
        <v>0</v>
      </c>
      <c r="AF69" s="141">
        <v>0</v>
      </c>
      <c r="AG69" s="119">
        <v>0</v>
      </c>
      <c r="AH69" s="58">
        <v>639</v>
      </c>
      <c r="AI69" s="88">
        <v>13985</v>
      </c>
      <c r="AJ69" s="88">
        <v>1500083</v>
      </c>
      <c r="AK69" s="165" t="s">
        <v>316</v>
      </c>
      <c r="AL69" s="88">
        <v>13774</v>
      </c>
      <c r="AM69" s="48"/>
      <c r="AN69" s="121">
        <v>7440467.0618675584</v>
      </c>
      <c r="AO69" s="166">
        <v>53600266.379960001</v>
      </c>
      <c r="AP69" s="118">
        <v>0</v>
      </c>
      <c r="AQ69" s="203"/>
    </row>
    <row r="70" spans="1:43" x14ac:dyDescent="0.25">
      <c r="A70" s="202" t="s">
        <v>151</v>
      </c>
      <c r="B70" s="202" t="s">
        <v>152</v>
      </c>
      <c r="C70" s="141">
        <f t="shared" si="10"/>
        <v>7820112.5134000005</v>
      </c>
      <c r="D70" s="119">
        <f t="shared" si="11"/>
        <v>12833773.515699999</v>
      </c>
      <c r="E70" s="119">
        <f t="shared" si="12"/>
        <v>819013.58550000004</v>
      </c>
      <c r="F70" s="119">
        <f t="shared" si="13"/>
        <v>469144.04500000004</v>
      </c>
      <c r="G70" s="119">
        <f t="shared" si="14"/>
        <v>11364920.071906971</v>
      </c>
      <c r="H70" s="119">
        <f t="shared" si="15"/>
        <v>11452.828</v>
      </c>
      <c r="I70" s="119">
        <f t="shared" ref="I70:I106" si="19">IF(SUM(AC70:AE70)&gt;0,738847.7915+277.6197*AC70+767.2944*AD70+1660.4795*AE70,0)</f>
        <v>2134365.1019000001</v>
      </c>
      <c r="J70" s="119">
        <f t="shared" si="16"/>
        <v>1198116.9756</v>
      </c>
      <c r="K70" s="119">
        <f t="shared" si="17"/>
        <v>1485759.0230628026</v>
      </c>
      <c r="L70" s="159">
        <f t="shared" si="18"/>
        <v>5835904.0298810648</v>
      </c>
      <c r="M70" s="164">
        <v>4.5232635983263596E-2</v>
      </c>
      <c r="N70" s="267">
        <v>494</v>
      </c>
      <c r="O70" s="268">
        <v>892</v>
      </c>
      <c r="P70" s="268">
        <v>110</v>
      </c>
      <c r="Q70" s="268">
        <v>0</v>
      </c>
      <c r="R70" s="269">
        <v>6</v>
      </c>
      <c r="S70" s="141">
        <v>280</v>
      </c>
      <c r="T70" s="119">
        <v>411</v>
      </c>
      <c r="U70" s="119">
        <v>166</v>
      </c>
      <c r="V70" s="119">
        <v>7456</v>
      </c>
      <c r="W70" s="145">
        <v>5850</v>
      </c>
      <c r="X70" s="141">
        <v>58014</v>
      </c>
      <c r="Y70" s="58">
        <v>288585</v>
      </c>
      <c r="Z70" s="88">
        <v>76645</v>
      </c>
      <c r="AA70" s="88">
        <f>VLOOKUP(B70,'Renseanlæg 2022'!L:M,2,FALSE)</f>
        <v>11364920.071906971</v>
      </c>
      <c r="AB70" s="58">
        <v>4</v>
      </c>
      <c r="AC70" s="141">
        <v>0</v>
      </c>
      <c r="AD70" s="119">
        <v>1611</v>
      </c>
      <c r="AE70" s="145">
        <v>96</v>
      </c>
      <c r="AF70" s="141">
        <v>864</v>
      </c>
      <c r="AG70" s="119">
        <v>0</v>
      </c>
      <c r="AH70" s="58">
        <v>0</v>
      </c>
      <c r="AI70" s="88">
        <v>15723</v>
      </c>
      <c r="AJ70" s="88">
        <v>3153831</v>
      </c>
      <c r="AK70" s="165" t="s">
        <v>316</v>
      </c>
      <c r="AL70" s="88">
        <v>54053</v>
      </c>
      <c r="AM70" s="48"/>
      <c r="AN70" s="121">
        <v>23034269.919118196</v>
      </c>
      <c r="AO70" s="166">
        <v>146099360.12062663</v>
      </c>
      <c r="AP70" s="118">
        <v>2895315.7066666665</v>
      </c>
      <c r="AQ70" s="203"/>
    </row>
    <row r="71" spans="1:43" x14ac:dyDescent="0.25">
      <c r="A71" s="202" t="s">
        <v>153</v>
      </c>
      <c r="B71" s="202" t="s">
        <v>154</v>
      </c>
      <c r="C71" s="141">
        <f t="shared" si="10"/>
        <v>1970858.1801899998</v>
      </c>
      <c r="D71" s="119">
        <f t="shared" si="11"/>
        <v>1744839.1344999999</v>
      </c>
      <c r="E71" s="119">
        <f t="shared" si="12"/>
        <v>235320.57260000001</v>
      </c>
      <c r="F71" s="119">
        <f t="shared" si="13"/>
        <v>12927.552000000001</v>
      </c>
      <c r="G71" s="119">
        <f t="shared" si="14"/>
        <v>3561936.3966782568</v>
      </c>
      <c r="H71" s="119">
        <f t="shared" si="15"/>
        <v>62990.553999999996</v>
      </c>
      <c r="I71" s="119">
        <f t="shared" si="19"/>
        <v>939011.5952000001</v>
      </c>
      <c r="J71" s="119">
        <f t="shared" si="16"/>
        <v>818141.67510000011</v>
      </c>
      <c r="K71" s="119">
        <f t="shared" si="17"/>
        <v>1254973.7487324739</v>
      </c>
      <c r="L71" s="159">
        <f t="shared" si="18"/>
        <v>1734004.6808900186</v>
      </c>
      <c r="M71" s="164">
        <v>3.5818835937114976E-2</v>
      </c>
      <c r="N71" s="267">
        <v>314.82</v>
      </c>
      <c r="O71" s="268">
        <v>260.33999999999997</v>
      </c>
      <c r="P71" s="268">
        <v>17.579999999999998</v>
      </c>
      <c r="Q71" s="268">
        <v>0</v>
      </c>
      <c r="R71" s="269">
        <v>0.03</v>
      </c>
      <c r="S71" s="141">
        <v>87</v>
      </c>
      <c r="T71" s="119">
        <v>9</v>
      </c>
      <c r="U71" s="119">
        <v>50</v>
      </c>
      <c r="V71" s="119">
        <v>740</v>
      </c>
      <c r="W71" s="145">
        <v>0</v>
      </c>
      <c r="X71" s="141">
        <v>78881</v>
      </c>
      <c r="Y71" s="58">
        <v>46428</v>
      </c>
      <c r="Z71" s="88">
        <v>2112</v>
      </c>
      <c r="AA71" s="88">
        <f>VLOOKUP(B71,'Renseanlæg 2022'!L:M,2,FALSE)</f>
        <v>3561936.3966782568</v>
      </c>
      <c r="AB71" s="58">
        <v>22</v>
      </c>
      <c r="AC71" s="141">
        <v>721</v>
      </c>
      <c r="AD71" s="119">
        <v>0</v>
      </c>
      <c r="AE71" s="145">
        <v>0</v>
      </c>
      <c r="AF71" s="141">
        <v>483</v>
      </c>
      <c r="AG71" s="119">
        <v>0</v>
      </c>
      <c r="AH71" s="58">
        <v>0</v>
      </c>
      <c r="AI71" s="88">
        <v>10246</v>
      </c>
      <c r="AJ71" s="88">
        <v>920044</v>
      </c>
      <c r="AK71" s="165" t="s">
        <v>316</v>
      </c>
      <c r="AL71" s="88">
        <v>14536</v>
      </c>
      <c r="AM71" s="48"/>
      <c r="AN71" s="121">
        <v>3887143.875827665</v>
      </c>
      <c r="AO71" s="166">
        <v>30414622.197984498</v>
      </c>
      <c r="AP71" s="118">
        <v>558800</v>
      </c>
      <c r="AQ71" s="203"/>
    </row>
    <row r="72" spans="1:43" x14ac:dyDescent="0.25">
      <c r="A72" s="202" t="s">
        <v>155</v>
      </c>
      <c r="B72" s="202" t="s">
        <v>156</v>
      </c>
      <c r="C72" s="141">
        <f t="shared" si="10"/>
        <v>3951726.1414599996</v>
      </c>
      <c r="D72" s="119">
        <f t="shared" si="11"/>
        <v>3540302.2224999997</v>
      </c>
      <c r="E72" s="119">
        <f t="shared" si="12"/>
        <v>238049.32500000001</v>
      </c>
      <c r="F72" s="119">
        <f t="shared" si="13"/>
        <v>18363</v>
      </c>
      <c r="G72" s="119">
        <f t="shared" si="14"/>
        <v>5874111.7324129669</v>
      </c>
      <c r="H72" s="119">
        <f t="shared" si="15"/>
        <v>0</v>
      </c>
      <c r="I72" s="119">
        <f t="shared" si="19"/>
        <v>1778170.7995</v>
      </c>
      <c r="J72" s="119">
        <f t="shared" si="16"/>
        <v>822130.91709999996</v>
      </c>
      <c r="K72" s="119">
        <f t="shared" si="17"/>
        <v>862665.28330712253</v>
      </c>
      <c r="L72" s="159">
        <f t="shared" si="18"/>
        <v>2188067.1682851086</v>
      </c>
      <c r="M72" s="164">
        <v>1.9815756909115908E-2</v>
      </c>
      <c r="N72" s="267">
        <v>535</v>
      </c>
      <c r="O72" s="268">
        <v>410</v>
      </c>
      <c r="P72" s="268">
        <v>0</v>
      </c>
      <c r="Q72" s="268">
        <v>0</v>
      </c>
      <c r="R72" s="269">
        <v>4.3</v>
      </c>
      <c r="S72" s="141">
        <v>295</v>
      </c>
      <c r="T72" s="119">
        <v>159</v>
      </c>
      <c r="U72" s="119">
        <v>29</v>
      </c>
      <c r="V72" s="119">
        <v>318</v>
      </c>
      <c r="W72" s="145">
        <v>735</v>
      </c>
      <c r="X72" s="141">
        <v>58000</v>
      </c>
      <c r="Y72" s="58">
        <v>59750</v>
      </c>
      <c r="Z72" s="88">
        <v>3000</v>
      </c>
      <c r="AA72" s="88">
        <f>VLOOKUP(B72,'Renseanlæg 2022'!L:M,2,FALSE)</f>
        <v>5874111.7324129669</v>
      </c>
      <c r="AB72" s="58">
        <v>0</v>
      </c>
      <c r="AC72" s="141">
        <v>827</v>
      </c>
      <c r="AD72" s="119">
        <v>339</v>
      </c>
      <c r="AE72" s="145">
        <v>331</v>
      </c>
      <c r="AF72" s="141">
        <v>487</v>
      </c>
      <c r="AG72" s="119">
        <v>0</v>
      </c>
      <c r="AH72" s="58">
        <v>0</v>
      </c>
      <c r="AI72" s="88">
        <v>3959</v>
      </c>
      <c r="AJ72" s="88">
        <v>1165056</v>
      </c>
      <c r="AK72" s="165" t="s">
        <v>316</v>
      </c>
      <c r="AL72" s="88">
        <v>14412</v>
      </c>
      <c r="AM72" s="48"/>
      <c r="AN72" s="121">
        <v>5421991.901980781</v>
      </c>
      <c r="AO72" s="166">
        <v>60366208.025136694</v>
      </c>
      <c r="AP72" s="118">
        <v>1060240</v>
      </c>
      <c r="AQ72" s="203"/>
    </row>
    <row r="73" spans="1:43" x14ac:dyDescent="0.25">
      <c r="A73" s="202" t="s">
        <v>157</v>
      </c>
      <c r="B73" s="202" t="s">
        <v>158</v>
      </c>
      <c r="C73" s="141">
        <f t="shared" si="10"/>
        <v>7711239.525502</v>
      </c>
      <c r="D73" s="119">
        <f t="shared" si="11"/>
        <v>8484796.5477000009</v>
      </c>
      <c r="E73" s="119">
        <f t="shared" si="12"/>
        <v>1170109.1244000001</v>
      </c>
      <c r="F73" s="119">
        <f t="shared" si="13"/>
        <v>137844.92000000001</v>
      </c>
      <c r="G73" s="119">
        <f t="shared" si="14"/>
        <v>15085500.091130394</v>
      </c>
      <c r="H73" s="119">
        <f t="shared" si="15"/>
        <v>0</v>
      </c>
      <c r="I73" s="119">
        <f>IF(SUM(AC73:AE73)&gt;0,738847.7915+277.6197*AC73+767.2944*AD73+1660.4795*AE73,0)</f>
        <v>4092036.5281699998</v>
      </c>
      <c r="J73" s="119">
        <f t="shared" si="16"/>
        <v>5560546.7966740001</v>
      </c>
      <c r="K73" s="119">
        <f t="shared" si="17"/>
        <v>1994265.3598224733</v>
      </c>
      <c r="L73" s="159">
        <f t="shared" si="18"/>
        <v>8038213.2547075003</v>
      </c>
      <c r="M73" s="164">
        <v>3.9511075734995259E-2</v>
      </c>
      <c r="N73" s="267">
        <v>720.02</v>
      </c>
      <c r="O73" s="268">
        <v>1125.18</v>
      </c>
      <c r="P73" s="268">
        <v>94.34</v>
      </c>
      <c r="Q73" s="268">
        <v>0</v>
      </c>
      <c r="R73" s="269">
        <v>1.55</v>
      </c>
      <c r="S73" s="141">
        <v>229</v>
      </c>
      <c r="T73" s="119">
        <v>12</v>
      </c>
      <c r="U73" s="119">
        <v>121</v>
      </c>
      <c r="V73" s="119">
        <v>7649</v>
      </c>
      <c r="W73" s="145">
        <v>11501</v>
      </c>
      <c r="X73" s="141">
        <v>449237</v>
      </c>
      <c r="Y73" s="58">
        <v>197422</v>
      </c>
      <c r="Z73" s="88">
        <v>22520</v>
      </c>
      <c r="AA73" s="88">
        <f>VLOOKUP(B73,'Renseanlæg 2022'!L:M,2,FALSE)</f>
        <v>15085500.091130394</v>
      </c>
      <c r="AB73" s="58">
        <v>0</v>
      </c>
      <c r="AC73" s="141">
        <v>274.3</v>
      </c>
      <c r="AD73" s="119">
        <v>4270.8999999999996</v>
      </c>
      <c r="AE73" s="145">
        <v>0</v>
      </c>
      <c r="AF73" s="141">
        <v>173.9</v>
      </c>
      <c r="AG73" s="119">
        <v>1714.63</v>
      </c>
      <c r="AH73" s="58">
        <v>0</v>
      </c>
      <c r="AI73" s="88">
        <v>33176</v>
      </c>
      <c r="AJ73" s="88">
        <v>4365088</v>
      </c>
      <c r="AK73" s="165" t="s">
        <v>316</v>
      </c>
      <c r="AL73" s="88">
        <v>46661</v>
      </c>
      <c r="AM73" s="48"/>
      <c r="AN73" s="121">
        <v>22060722.511675488</v>
      </c>
      <c r="AO73" s="166">
        <v>172976070.47045895</v>
      </c>
      <c r="AP73" s="118">
        <v>3451793.2859845981</v>
      </c>
      <c r="AQ73" s="203"/>
    </row>
    <row r="74" spans="1:43" x14ac:dyDescent="0.25">
      <c r="A74" s="202" t="s">
        <v>159</v>
      </c>
      <c r="B74" s="202" t="s">
        <v>160</v>
      </c>
      <c r="C74" s="141">
        <f t="shared" si="10"/>
        <v>2826699.3451040005</v>
      </c>
      <c r="D74" s="119">
        <f t="shared" si="11"/>
        <v>2360689.2298000003</v>
      </c>
      <c r="E74" s="119">
        <f t="shared" si="12"/>
        <v>417774.58920000005</v>
      </c>
      <c r="F74" s="119">
        <f t="shared" si="13"/>
        <v>5343.6330000000007</v>
      </c>
      <c r="G74" s="119">
        <f t="shared" si="14"/>
        <v>2387490.2800736572</v>
      </c>
      <c r="H74" s="119">
        <f t="shared" si="15"/>
        <v>0</v>
      </c>
      <c r="I74" s="119">
        <f t="shared" si="19"/>
        <v>791317.91480000003</v>
      </c>
      <c r="J74" s="119">
        <f t="shared" si="16"/>
        <v>705428.86229999992</v>
      </c>
      <c r="K74" s="119">
        <f t="shared" si="17"/>
        <v>1268097.7170571487</v>
      </c>
      <c r="L74" s="159">
        <f t="shared" si="18"/>
        <v>2204750.3707149546</v>
      </c>
      <c r="M74" s="164">
        <v>2.5255498778049321E-2</v>
      </c>
      <c r="N74" s="267">
        <v>271.10000000000002</v>
      </c>
      <c r="O74" s="268">
        <v>521</v>
      </c>
      <c r="P74" s="268">
        <v>0</v>
      </c>
      <c r="Q74" s="268">
        <v>0</v>
      </c>
      <c r="R74" s="269">
        <v>1.02</v>
      </c>
      <c r="S74" s="141">
        <v>4</v>
      </c>
      <c r="T74" s="119">
        <v>32</v>
      </c>
      <c r="U74" s="119">
        <v>78</v>
      </c>
      <c r="V74" s="119">
        <v>0</v>
      </c>
      <c r="W74" s="145">
        <v>840</v>
      </c>
      <c r="X74" s="141">
        <v>108788</v>
      </c>
      <c r="Y74" s="58">
        <v>100756</v>
      </c>
      <c r="Z74" s="88">
        <v>873</v>
      </c>
      <c r="AA74" s="88">
        <f>VLOOKUP(B74,'Renseanlæg 2022'!L:M,2,FALSE)</f>
        <v>2387490.2800736572</v>
      </c>
      <c r="AB74" s="58">
        <v>0</v>
      </c>
      <c r="AC74" s="141">
        <v>189</v>
      </c>
      <c r="AD74" s="119">
        <v>0</v>
      </c>
      <c r="AE74" s="145">
        <v>0</v>
      </c>
      <c r="AF74" s="141">
        <v>0</v>
      </c>
      <c r="AG74" s="119">
        <v>0</v>
      </c>
      <c r="AH74" s="58">
        <v>189</v>
      </c>
      <c r="AI74" s="88">
        <v>10520</v>
      </c>
      <c r="AJ74" s="88">
        <v>1174074</v>
      </c>
      <c r="AK74" s="165" t="s">
        <v>316</v>
      </c>
      <c r="AL74" s="88">
        <v>13641</v>
      </c>
      <c r="AM74" s="48"/>
      <c r="AN74" s="121">
        <v>1542112.7009601824</v>
      </c>
      <c r="AO74" s="166">
        <v>62690440.333333321</v>
      </c>
      <c r="AP74" s="118">
        <v>814160</v>
      </c>
      <c r="AQ74" s="203"/>
    </row>
    <row r="75" spans="1:43" x14ac:dyDescent="0.25">
      <c r="A75" s="202" t="s">
        <v>161</v>
      </c>
      <c r="B75" s="202" t="s">
        <v>162</v>
      </c>
      <c r="C75" s="141">
        <f t="shared" si="10"/>
        <v>5306191.9686099999</v>
      </c>
      <c r="D75" s="119">
        <f t="shared" si="11"/>
        <v>6252372.9734000005</v>
      </c>
      <c r="E75" s="119">
        <f t="shared" si="12"/>
        <v>468554.01450000005</v>
      </c>
      <c r="F75" s="119">
        <f t="shared" si="13"/>
        <v>126386.40800000001</v>
      </c>
      <c r="G75" s="119">
        <f t="shared" si="14"/>
        <v>0</v>
      </c>
      <c r="H75" s="119">
        <f t="shared" si="15"/>
        <v>0</v>
      </c>
      <c r="I75" s="119">
        <f t="shared" si="19"/>
        <v>0</v>
      </c>
      <c r="J75" s="119">
        <f t="shared" si="16"/>
        <v>0</v>
      </c>
      <c r="K75" s="119">
        <f t="shared" si="17"/>
        <v>1765097.5810936391</v>
      </c>
      <c r="L75" s="159">
        <f t="shared" si="18"/>
        <v>2944123.3135232567</v>
      </c>
      <c r="M75" s="164">
        <v>2.5978821362799269E-2</v>
      </c>
      <c r="N75" s="267">
        <v>718</v>
      </c>
      <c r="O75" s="268">
        <v>831.1</v>
      </c>
      <c r="P75" s="268">
        <v>0</v>
      </c>
      <c r="Q75" s="268">
        <v>0</v>
      </c>
      <c r="R75" s="269">
        <v>2.1</v>
      </c>
      <c r="S75" s="141">
        <v>139</v>
      </c>
      <c r="T75" s="119">
        <v>79</v>
      </c>
      <c r="U75" s="119">
        <v>171</v>
      </c>
      <c r="V75" s="119">
        <v>1926</v>
      </c>
      <c r="W75" s="145">
        <v>1834</v>
      </c>
      <c r="X75" s="141">
        <v>94608</v>
      </c>
      <c r="Y75" s="58">
        <v>129075</v>
      </c>
      <c r="Z75" s="88">
        <v>20648</v>
      </c>
      <c r="AA75" s="88">
        <f>VLOOKUP(B75,'Renseanlæg 2022'!L:M,2,FALSE)</f>
        <v>0</v>
      </c>
      <c r="AB75" s="58">
        <v>0</v>
      </c>
      <c r="AC75" s="141">
        <v>0</v>
      </c>
      <c r="AD75" s="119">
        <v>0</v>
      </c>
      <c r="AE75" s="145">
        <v>0</v>
      </c>
      <c r="AF75" s="141">
        <v>0</v>
      </c>
      <c r="AG75" s="119">
        <v>0</v>
      </c>
      <c r="AH75" s="58">
        <v>0</v>
      </c>
      <c r="AI75" s="88">
        <v>24341</v>
      </c>
      <c r="AJ75" s="88">
        <v>2128983</v>
      </c>
      <c r="AK75" s="165" t="s">
        <v>315</v>
      </c>
      <c r="AL75" s="88">
        <v>28213</v>
      </c>
      <c r="AM75" s="48"/>
      <c r="AN75" s="121">
        <v>0</v>
      </c>
      <c r="AO75" s="166">
        <v>101419991.13333333</v>
      </c>
      <c r="AP75" s="118">
        <v>338733.33333333331</v>
      </c>
      <c r="AQ75" s="203"/>
    </row>
    <row r="76" spans="1:43" x14ac:dyDescent="0.25">
      <c r="A76" s="202" t="s">
        <v>163</v>
      </c>
      <c r="B76" s="202" t="s">
        <v>164</v>
      </c>
      <c r="C76" s="141">
        <f t="shared" si="10"/>
        <v>2016.5435950000001</v>
      </c>
      <c r="D76" s="119">
        <f t="shared" si="11"/>
        <v>0</v>
      </c>
      <c r="E76" s="119">
        <f t="shared" si="12"/>
        <v>8123.84</v>
      </c>
      <c r="F76" s="119">
        <f t="shared" si="13"/>
        <v>0</v>
      </c>
      <c r="G76" s="119">
        <f t="shared" si="14"/>
        <v>10331976.632532073</v>
      </c>
      <c r="H76" s="119">
        <f t="shared" si="15"/>
        <v>0</v>
      </c>
      <c r="I76" s="119">
        <f t="shared" si="19"/>
        <v>1122518.2169000001</v>
      </c>
      <c r="J76" s="119">
        <f t="shared" si="16"/>
        <v>1714723.8146000002</v>
      </c>
      <c r="K76" s="119">
        <f t="shared" si="17"/>
        <v>105137.77587651089</v>
      </c>
      <c r="L76" s="159">
        <f t="shared" si="18"/>
        <v>1931280.6388078486</v>
      </c>
      <c r="M76" s="164">
        <v>0</v>
      </c>
      <c r="N76" s="267">
        <v>0</v>
      </c>
      <c r="O76" s="268">
        <v>0.55000000000000004</v>
      </c>
      <c r="P76" s="268">
        <v>0</v>
      </c>
      <c r="Q76" s="268">
        <v>0</v>
      </c>
      <c r="R76" s="269">
        <v>0</v>
      </c>
      <c r="S76" s="141">
        <v>0</v>
      </c>
      <c r="T76" s="119">
        <v>0</v>
      </c>
      <c r="U76" s="119">
        <v>0</v>
      </c>
      <c r="V76" s="119">
        <v>0</v>
      </c>
      <c r="W76" s="145">
        <v>0</v>
      </c>
      <c r="X76" s="141">
        <v>0</v>
      </c>
      <c r="Y76" s="58">
        <v>3200</v>
      </c>
      <c r="Z76" s="88">
        <v>0</v>
      </c>
      <c r="AA76" s="88">
        <f>VLOOKUP(B76,'Renseanlæg 2022'!L:M,2,FALSE)</f>
        <v>10331976.632532073</v>
      </c>
      <c r="AB76" s="58">
        <v>0</v>
      </c>
      <c r="AC76" s="141">
        <v>1382</v>
      </c>
      <c r="AD76" s="119">
        <v>0</v>
      </c>
      <c r="AE76" s="145">
        <v>0</v>
      </c>
      <c r="AF76" s="141">
        <v>1382</v>
      </c>
      <c r="AG76" s="119">
        <v>0</v>
      </c>
      <c r="AH76" s="58">
        <v>0</v>
      </c>
      <c r="AI76" s="88">
        <v>19</v>
      </c>
      <c r="AJ76" s="88">
        <v>2056058</v>
      </c>
      <c r="AK76" s="165" t="s">
        <v>317</v>
      </c>
      <c r="AL76" s="88">
        <v>2</v>
      </c>
      <c r="AM76" s="48"/>
      <c r="AN76" s="121">
        <v>11342681.766855493</v>
      </c>
      <c r="AO76" s="166">
        <v>840865.01199999999</v>
      </c>
      <c r="AP76" s="118">
        <v>536894.06666666665</v>
      </c>
      <c r="AQ76" s="203"/>
    </row>
    <row r="77" spans="1:43" x14ac:dyDescent="0.25">
      <c r="A77" s="202" t="s">
        <v>165</v>
      </c>
      <c r="B77" s="202" t="s">
        <v>166</v>
      </c>
      <c r="C77" s="141">
        <f t="shared" si="10"/>
        <v>2872701.6751610003</v>
      </c>
      <c r="D77" s="119">
        <f t="shared" si="11"/>
        <v>8468830.4839000013</v>
      </c>
      <c r="E77" s="119">
        <f t="shared" si="12"/>
        <v>551812.15399999998</v>
      </c>
      <c r="F77" s="119">
        <f t="shared" si="13"/>
        <v>189720.39500000002</v>
      </c>
      <c r="G77" s="119">
        <f t="shared" si="14"/>
        <v>708116.78202552511</v>
      </c>
      <c r="H77" s="119">
        <f t="shared" si="15"/>
        <v>68716.967999999993</v>
      </c>
      <c r="I77" s="119">
        <f t="shared" si="19"/>
        <v>829907.05310000002</v>
      </c>
      <c r="J77" s="119">
        <f t="shared" si="16"/>
        <v>663558.54760000005</v>
      </c>
      <c r="K77" s="119">
        <f t="shared" si="17"/>
        <v>1277218.1268547452</v>
      </c>
      <c r="L77" s="159">
        <f t="shared" si="18"/>
        <v>2678183.38109875</v>
      </c>
      <c r="M77" s="164">
        <v>2.3028813559322039E-2</v>
      </c>
      <c r="N77" s="267">
        <v>336.5</v>
      </c>
      <c r="O77" s="268">
        <v>420.8</v>
      </c>
      <c r="P77" s="268">
        <v>34.93</v>
      </c>
      <c r="Q77" s="268">
        <v>0</v>
      </c>
      <c r="R77" s="269">
        <v>0</v>
      </c>
      <c r="S77" s="141">
        <v>995</v>
      </c>
      <c r="T77" s="119">
        <v>236</v>
      </c>
      <c r="U77" s="119">
        <v>65</v>
      </c>
      <c r="V77" s="119">
        <v>3376</v>
      </c>
      <c r="W77" s="145">
        <v>2000</v>
      </c>
      <c r="X77" s="141">
        <v>65795</v>
      </c>
      <c r="Y77" s="58">
        <v>178770</v>
      </c>
      <c r="Z77" s="88">
        <v>30995</v>
      </c>
      <c r="AA77" s="88">
        <f>VLOOKUP(B77,'Renseanlæg 2022'!L:M,2,FALSE)</f>
        <v>708116.78202552511</v>
      </c>
      <c r="AB77" s="58">
        <v>24</v>
      </c>
      <c r="AC77" s="141">
        <v>328</v>
      </c>
      <c r="AD77" s="119">
        <v>0</v>
      </c>
      <c r="AE77" s="145">
        <v>0</v>
      </c>
      <c r="AF77" s="141">
        <v>328</v>
      </c>
      <c r="AG77" s="119">
        <v>0</v>
      </c>
      <c r="AH77" s="58">
        <v>0</v>
      </c>
      <c r="AI77" s="88">
        <v>10713</v>
      </c>
      <c r="AJ77" s="88">
        <v>1430389</v>
      </c>
      <c r="AK77" s="165" t="s">
        <v>316</v>
      </c>
      <c r="AL77" s="88">
        <v>13587</v>
      </c>
      <c r="AM77" s="48"/>
      <c r="AN77" s="121">
        <v>245897.80742280229</v>
      </c>
      <c r="AO77" s="166">
        <v>68228435.212244034</v>
      </c>
      <c r="AP77" s="118">
        <v>956281.06666666665</v>
      </c>
      <c r="AQ77" s="203"/>
    </row>
    <row r="78" spans="1:43" x14ac:dyDescent="0.25">
      <c r="A78" s="202" t="s">
        <v>167</v>
      </c>
      <c r="B78" s="202" t="s">
        <v>168</v>
      </c>
      <c r="C78" s="141">
        <f t="shared" si="10"/>
        <v>5523517.2288500005</v>
      </c>
      <c r="D78" s="119">
        <f t="shared" si="11"/>
        <v>5770472.2784000002</v>
      </c>
      <c r="E78" s="119">
        <f t="shared" si="12"/>
        <v>555557.71360000002</v>
      </c>
      <c r="F78" s="119">
        <f t="shared" si="13"/>
        <v>204582.18300000002</v>
      </c>
      <c r="G78" s="119">
        <f t="shared" si="14"/>
        <v>14833235.700242234</v>
      </c>
      <c r="H78" s="119">
        <f t="shared" si="15"/>
        <v>5726.4139999999998</v>
      </c>
      <c r="I78" s="119">
        <f t="shared" si="19"/>
        <v>2222413.4611400003</v>
      </c>
      <c r="J78" s="119">
        <f t="shared" si="16"/>
        <v>3446266.9670999995</v>
      </c>
      <c r="K78" s="119">
        <f t="shared" si="17"/>
        <v>1758475.2348322645</v>
      </c>
      <c r="L78" s="159">
        <f t="shared" si="18"/>
        <v>7185869.1051570196</v>
      </c>
      <c r="M78" s="164">
        <v>4.7122770919067219E-2</v>
      </c>
      <c r="N78" s="267">
        <v>242</v>
      </c>
      <c r="O78" s="268">
        <v>837.6</v>
      </c>
      <c r="P78" s="268">
        <v>97.5</v>
      </c>
      <c r="Q78" s="268">
        <v>0</v>
      </c>
      <c r="R78" s="269">
        <v>1.3</v>
      </c>
      <c r="S78" s="141">
        <v>130</v>
      </c>
      <c r="T78" s="119">
        <v>158</v>
      </c>
      <c r="U78" s="119">
        <v>121</v>
      </c>
      <c r="V78" s="119">
        <v>2631</v>
      </c>
      <c r="W78" s="145">
        <v>0</v>
      </c>
      <c r="X78" s="141">
        <v>76583</v>
      </c>
      <c r="Y78" s="58">
        <v>173918</v>
      </c>
      <c r="Z78" s="88">
        <v>33423</v>
      </c>
      <c r="AA78" s="88">
        <f>VLOOKUP(B78,'Renseanlæg 2022'!L:M,2,FALSE)</f>
        <v>14833235.700242234</v>
      </c>
      <c r="AB78" s="58">
        <v>2</v>
      </c>
      <c r="AC78" s="141">
        <v>413.2</v>
      </c>
      <c r="AD78" s="119">
        <v>1784</v>
      </c>
      <c r="AE78" s="145">
        <v>0</v>
      </c>
      <c r="AF78" s="141">
        <v>1593</v>
      </c>
      <c r="AG78" s="119">
        <v>470</v>
      </c>
      <c r="AH78" s="58">
        <v>70</v>
      </c>
      <c r="AI78" s="88">
        <v>24110</v>
      </c>
      <c r="AJ78" s="88">
        <v>3895619</v>
      </c>
      <c r="AK78" s="165" t="s">
        <v>316</v>
      </c>
      <c r="AL78" s="88">
        <v>41223</v>
      </c>
      <c r="AM78" s="48"/>
      <c r="AN78" s="121">
        <v>14645364.751411684</v>
      </c>
      <c r="AO78" s="166">
        <v>107565859.59005331</v>
      </c>
      <c r="AP78" s="118">
        <v>2849421.9592844406</v>
      </c>
      <c r="AQ78" s="203"/>
    </row>
    <row r="79" spans="1:43" x14ac:dyDescent="0.25">
      <c r="A79" s="202" t="s">
        <v>169</v>
      </c>
      <c r="B79" s="202" t="s">
        <v>170</v>
      </c>
      <c r="C79" s="141">
        <f t="shared" si="10"/>
        <v>2862904.2499259999</v>
      </c>
      <c r="D79" s="119">
        <f t="shared" si="11"/>
        <v>2042152.8748000001</v>
      </c>
      <c r="E79" s="119">
        <f t="shared" si="12"/>
        <v>11303.4583</v>
      </c>
      <c r="F79" s="119">
        <f t="shared" si="13"/>
        <v>182846.51200000002</v>
      </c>
      <c r="G79" s="119">
        <f t="shared" si="14"/>
        <v>5591554.3069683686</v>
      </c>
      <c r="H79" s="119">
        <f t="shared" si="15"/>
        <v>0</v>
      </c>
      <c r="I79" s="119">
        <f t="shared" si="19"/>
        <v>1126404.8927000002</v>
      </c>
      <c r="J79" s="119">
        <f t="shared" si="16"/>
        <v>1760833.1262600003</v>
      </c>
      <c r="K79" s="119">
        <f t="shared" si="17"/>
        <v>1489551.111692898</v>
      </c>
      <c r="L79" s="159">
        <f t="shared" si="18"/>
        <v>4622413.8268858073</v>
      </c>
      <c r="M79" s="164">
        <v>6.3766022380467954E-2</v>
      </c>
      <c r="N79" s="267">
        <v>93.86</v>
      </c>
      <c r="O79" s="268">
        <v>433.74</v>
      </c>
      <c r="P79" s="268">
        <v>21.24</v>
      </c>
      <c r="Q79" s="268">
        <v>0</v>
      </c>
      <c r="R79" s="269">
        <v>2.58</v>
      </c>
      <c r="S79" s="141">
        <v>58</v>
      </c>
      <c r="T79" s="119">
        <v>24</v>
      </c>
      <c r="U79" s="119">
        <v>60</v>
      </c>
      <c r="V79" s="119">
        <v>680</v>
      </c>
      <c r="W79" s="145">
        <v>0</v>
      </c>
      <c r="X79" s="141">
        <v>5530</v>
      </c>
      <c r="Y79" s="58">
        <v>1209</v>
      </c>
      <c r="Z79" s="88">
        <v>29872</v>
      </c>
      <c r="AA79" s="88">
        <f>VLOOKUP(B79,'Renseanlæg 2022'!L:M,2,FALSE)</f>
        <v>5591554.3069683686</v>
      </c>
      <c r="AB79" s="58">
        <v>0</v>
      </c>
      <c r="AC79" s="141">
        <v>1396</v>
      </c>
      <c r="AD79" s="119">
        <v>0</v>
      </c>
      <c r="AE79" s="145">
        <v>0</v>
      </c>
      <c r="AF79" s="141">
        <v>1392.2</v>
      </c>
      <c r="AG79" s="119">
        <v>12.2</v>
      </c>
      <c r="AH79" s="58">
        <v>0</v>
      </c>
      <c r="AI79" s="88">
        <v>15825</v>
      </c>
      <c r="AJ79" s="88">
        <v>2489246</v>
      </c>
      <c r="AK79" s="165" t="s">
        <v>316</v>
      </c>
      <c r="AL79" s="88">
        <v>31341</v>
      </c>
      <c r="AM79" s="48"/>
      <c r="AN79" s="121">
        <v>4414298.6292461986</v>
      </c>
      <c r="AO79" s="166">
        <v>63760096.979831934</v>
      </c>
      <c r="AP79" s="118">
        <v>1530906.9401446492</v>
      </c>
      <c r="AQ79" s="203"/>
    </row>
    <row r="80" spans="1:43" x14ac:dyDescent="0.25">
      <c r="A80" s="202" t="s">
        <v>171</v>
      </c>
      <c r="B80" s="202" t="s">
        <v>172</v>
      </c>
      <c r="C80" s="141">
        <f t="shared" si="10"/>
        <v>8086188.8139260001</v>
      </c>
      <c r="D80" s="119">
        <f t="shared" si="11"/>
        <v>6195841.172518</v>
      </c>
      <c r="E80" s="119">
        <f t="shared" si="12"/>
        <v>1821018.0582000001</v>
      </c>
      <c r="F80" s="119">
        <f t="shared" si="13"/>
        <v>62134.271000000008</v>
      </c>
      <c r="G80" s="119">
        <f t="shared" si="14"/>
        <v>14934061.816619871</v>
      </c>
      <c r="H80" s="119">
        <f t="shared" si="15"/>
        <v>37221.690999999999</v>
      </c>
      <c r="I80" s="119">
        <f t="shared" si="19"/>
        <v>2909043.193</v>
      </c>
      <c r="J80" s="119">
        <f t="shared" si="16"/>
        <v>1693780.2941000001</v>
      </c>
      <c r="K80" s="119">
        <f t="shared" si="17"/>
        <v>1974807.4740514774</v>
      </c>
      <c r="L80" s="159">
        <f t="shared" si="18"/>
        <v>7035564.0486484412</v>
      </c>
      <c r="M80" s="164">
        <v>5.5245168923360073E-2</v>
      </c>
      <c r="N80" s="267">
        <v>502.6</v>
      </c>
      <c r="O80" s="268">
        <v>1181.5999999999999</v>
      </c>
      <c r="P80" s="268">
        <v>76.099999999999994</v>
      </c>
      <c r="Q80" s="268">
        <v>0</v>
      </c>
      <c r="R80" s="269">
        <v>4.9800000000000004</v>
      </c>
      <c r="S80" s="141">
        <v>147</v>
      </c>
      <c r="T80" s="119">
        <v>31</v>
      </c>
      <c r="U80" s="119">
        <v>130</v>
      </c>
      <c r="V80" s="119">
        <v>7115.06</v>
      </c>
      <c r="W80" s="145">
        <v>750</v>
      </c>
      <c r="X80" s="141">
        <v>364501</v>
      </c>
      <c r="Y80" s="58">
        <v>503516</v>
      </c>
      <c r="Z80" s="88">
        <v>10151</v>
      </c>
      <c r="AA80" s="88">
        <f>VLOOKUP(B80,'Renseanlæg 2022'!L:M,2,FALSE)</f>
        <v>14934061.816619871</v>
      </c>
      <c r="AB80" s="58">
        <v>13</v>
      </c>
      <c r="AC80" s="141">
        <v>72</v>
      </c>
      <c r="AD80" s="119">
        <v>2099</v>
      </c>
      <c r="AE80" s="145">
        <v>325</v>
      </c>
      <c r="AF80" s="141">
        <v>1361</v>
      </c>
      <c r="AG80" s="119">
        <v>0</v>
      </c>
      <c r="AH80" s="58">
        <v>0</v>
      </c>
      <c r="AI80" s="88">
        <v>32361</v>
      </c>
      <c r="AJ80" s="88">
        <v>3812916</v>
      </c>
      <c r="AK80" s="165" t="s">
        <v>316</v>
      </c>
      <c r="AL80" s="88">
        <v>58835</v>
      </c>
      <c r="AM80" s="48"/>
      <c r="AN80" s="121">
        <v>16653616.324112456</v>
      </c>
      <c r="AO80" s="166">
        <v>167669806.30000001</v>
      </c>
      <c r="AP80" s="118">
        <v>2604406.6666666665</v>
      </c>
      <c r="AQ80" s="203"/>
    </row>
    <row r="81" spans="1:43" x14ac:dyDescent="0.25">
      <c r="A81" s="202" t="s">
        <v>173</v>
      </c>
      <c r="B81" s="202" t="s">
        <v>174</v>
      </c>
      <c r="C81" s="141">
        <f t="shared" si="10"/>
        <v>5842013.9707180001</v>
      </c>
      <c r="D81" s="119">
        <f t="shared" si="11"/>
        <v>13574178.979700001</v>
      </c>
      <c r="E81" s="119">
        <f t="shared" si="12"/>
        <v>696511.64139999996</v>
      </c>
      <c r="F81" s="119">
        <f t="shared" si="13"/>
        <v>340254.14800000004</v>
      </c>
      <c r="G81" s="119">
        <f t="shared" si="14"/>
        <v>17932969.311473228</v>
      </c>
      <c r="H81" s="119">
        <f t="shared" si="15"/>
        <v>17179.241999999998</v>
      </c>
      <c r="I81" s="119">
        <f t="shared" si="19"/>
        <v>2578189.6133100004</v>
      </c>
      <c r="J81" s="119">
        <f t="shared" si="16"/>
        <v>2100516.2233000002</v>
      </c>
      <c r="K81" s="119">
        <f t="shared" si="17"/>
        <v>1925739.2079055929</v>
      </c>
      <c r="L81" s="159">
        <f t="shared" si="18"/>
        <v>5932224.0284148362</v>
      </c>
      <c r="M81" s="164">
        <v>3.5873486622602785E-2</v>
      </c>
      <c r="N81" s="267">
        <v>418.92</v>
      </c>
      <c r="O81" s="268">
        <v>907.12</v>
      </c>
      <c r="P81" s="268">
        <v>90.44</v>
      </c>
      <c r="Q81" s="268">
        <v>0</v>
      </c>
      <c r="R81" s="269">
        <v>0.45</v>
      </c>
      <c r="S81" s="141">
        <v>80</v>
      </c>
      <c r="T81" s="119">
        <v>579</v>
      </c>
      <c r="U81" s="119">
        <v>158</v>
      </c>
      <c r="V81" s="119">
        <v>6131</v>
      </c>
      <c r="W81" s="145">
        <v>6087</v>
      </c>
      <c r="X81" s="141">
        <v>45106</v>
      </c>
      <c r="Y81" s="58">
        <v>247902</v>
      </c>
      <c r="Z81" s="88">
        <v>55588</v>
      </c>
      <c r="AA81" s="88">
        <f>VLOOKUP(B81,'Renseanlæg 2022'!L:M,2,FALSE)</f>
        <v>17932969.311473228</v>
      </c>
      <c r="AB81" s="58">
        <v>6</v>
      </c>
      <c r="AC81" s="141">
        <v>0</v>
      </c>
      <c r="AD81" s="119">
        <v>2360</v>
      </c>
      <c r="AE81" s="145">
        <v>17.18</v>
      </c>
      <c r="AF81" s="141">
        <v>1115</v>
      </c>
      <c r="AG81" s="119">
        <v>0</v>
      </c>
      <c r="AH81" s="58">
        <v>334</v>
      </c>
      <c r="AI81" s="88">
        <v>30360</v>
      </c>
      <c r="AJ81" s="88">
        <v>3206678</v>
      </c>
      <c r="AK81" s="165" t="s">
        <v>316</v>
      </c>
      <c r="AL81" s="88">
        <v>39675</v>
      </c>
      <c r="AM81" s="48"/>
      <c r="AN81" s="121">
        <v>57967067.584396482</v>
      </c>
      <c r="AO81" s="166">
        <v>126659573.09466664</v>
      </c>
      <c r="AP81" s="118">
        <v>3085051.1999999997</v>
      </c>
      <c r="AQ81" s="203"/>
    </row>
    <row r="82" spans="1:43" x14ac:dyDescent="0.25">
      <c r="A82" s="202" t="s">
        <v>175</v>
      </c>
      <c r="B82" s="202" t="s">
        <v>176</v>
      </c>
      <c r="C82" s="141">
        <f t="shared" si="10"/>
        <v>4608059.0537109999</v>
      </c>
      <c r="D82" s="119">
        <f t="shared" si="11"/>
        <v>4812976.6635000007</v>
      </c>
      <c r="E82" s="119">
        <f t="shared" si="12"/>
        <v>576300.9828</v>
      </c>
      <c r="F82" s="119">
        <f t="shared" si="13"/>
        <v>111518.49900000001</v>
      </c>
      <c r="G82" s="119">
        <f t="shared" si="14"/>
        <v>11213091.623946024</v>
      </c>
      <c r="H82" s="119">
        <f t="shared" si="15"/>
        <v>25768.862999999998</v>
      </c>
      <c r="I82" s="119">
        <f t="shared" si="19"/>
        <v>1154999.7217999999</v>
      </c>
      <c r="J82" s="119">
        <f t="shared" si="16"/>
        <v>2519014.7590999999</v>
      </c>
      <c r="K82" s="119">
        <f t="shared" si="17"/>
        <v>1674050.5771896502</v>
      </c>
      <c r="L82" s="159">
        <f t="shared" si="18"/>
        <v>4806246.2690459937</v>
      </c>
      <c r="M82" s="164">
        <v>3.7586671069006677E-2</v>
      </c>
      <c r="N82" s="267">
        <v>360.19</v>
      </c>
      <c r="O82" s="268">
        <v>814.39</v>
      </c>
      <c r="P82" s="268">
        <v>32.92</v>
      </c>
      <c r="Q82" s="268">
        <v>0</v>
      </c>
      <c r="R82" s="269">
        <v>0.96</v>
      </c>
      <c r="S82" s="141">
        <v>182</v>
      </c>
      <c r="T82" s="119">
        <v>10</v>
      </c>
      <c r="U82" s="119">
        <v>117</v>
      </c>
      <c r="V82" s="119">
        <v>3526</v>
      </c>
      <c r="W82" s="145">
        <v>1620</v>
      </c>
      <c r="X82" s="141">
        <v>190756</v>
      </c>
      <c r="Y82" s="58">
        <v>115124</v>
      </c>
      <c r="Z82" s="88">
        <v>18219</v>
      </c>
      <c r="AA82" s="88">
        <f>VLOOKUP(B82,'Renseanlæg 2022'!L:M,2,FALSE)</f>
        <v>11213091.623946024</v>
      </c>
      <c r="AB82" s="58">
        <v>9</v>
      </c>
      <c r="AC82" s="141">
        <v>1499</v>
      </c>
      <c r="AD82" s="119">
        <v>0</v>
      </c>
      <c r="AE82" s="145">
        <v>0</v>
      </c>
      <c r="AF82" s="141">
        <v>779</v>
      </c>
      <c r="AG82" s="119">
        <v>0</v>
      </c>
      <c r="AH82" s="58">
        <v>720</v>
      </c>
      <c r="AI82" s="88">
        <v>21281</v>
      </c>
      <c r="AJ82" s="88">
        <v>2589770</v>
      </c>
      <c r="AK82" s="165" t="s">
        <v>316</v>
      </c>
      <c r="AL82" s="88">
        <v>29598</v>
      </c>
      <c r="AM82" s="48"/>
      <c r="AN82" s="121">
        <v>10222267.67205774</v>
      </c>
      <c r="AO82" s="166">
        <v>93415841.947285801</v>
      </c>
      <c r="AP82" s="118">
        <v>2504253.3333333335</v>
      </c>
      <c r="AQ82" s="203"/>
    </row>
    <row r="83" spans="1:43" x14ac:dyDescent="0.25">
      <c r="A83" s="202" t="s">
        <v>177</v>
      </c>
      <c r="B83" s="202" t="s">
        <v>178</v>
      </c>
      <c r="C83" s="141">
        <f t="shared" si="10"/>
        <v>4297669.3631639993</v>
      </c>
      <c r="D83" s="119">
        <f t="shared" si="11"/>
        <v>4296288.5454000002</v>
      </c>
      <c r="E83" s="119">
        <f t="shared" si="12"/>
        <v>336596.89</v>
      </c>
      <c r="F83" s="119">
        <f t="shared" si="13"/>
        <v>183630</v>
      </c>
      <c r="G83" s="119">
        <f t="shared" si="14"/>
        <v>7755656.8944550343</v>
      </c>
      <c r="H83" s="119">
        <f t="shared" si="15"/>
        <v>0</v>
      </c>
      <c r="I83" s="119">
        <f t="shared" si="19"/>
        <v>1696940.9967169999</v>
      </c>
      <c r="J83" s="119">
        <f t="shared" si="16"/>
        <v>651590.82160000002</v>
      </c>
      <c r="K83" s="119">
        <f t="shared" si="17"/>
        <v>1511563.2903800393</v>
      </c>
      <c r="L83" s="159">
        <f t="shared" si="18"/>
        <v>3313669.4094080692</v>
      </c>
      <c r="M83" s="164">
        <v>1.907571053260091E-2</v>
      </c>
      <c r="N83" s="267">
        <v>410.34</v>
      </c>
      <c r="O83" s="268">
        <v>664</v>
      </c>
      <c r="P83" s="268">
        <v>32.1</v>
      </c>
      <c r="Q83" s="268">
        <v>0</v>
      </c>
      <c r="R83" s="269">
        <v>1.45</v>
      </c>
      <c r="S83" s="141">
        <v>0</v>
      </c>
      <c r="T83" s="119">
        <v>255</v>
      </c>
      <c r="U83" s="119">
        <v>63</v>
      </c>
      <c r="V83" s="119">
        <v>0</v>
      </c>
      <c r="W83" s="145">
        <v>0</v>
      </c>
      <c r="X83" s="141">
        <v>66300</v>
      </c>
      <c r="Y83" s="58">
        <v>93700</v>
      </c>
      <c r="Z83" s="88">
        <v>30000</v>
      </c>
      <c r="AA83" s="88">
        <f>VLOOKUP(B83,'Renseanlæg 2022'!L:M,2,FALSE)</f>
        <v>7755656.8944550343</v>
      </c>
      <c r="AB83" s="58">
        <v>0</v>
      </c>
      <c r="AC83" s="141">
        <v>436.61</v>
      </c>
      <c r="AD83" s="119">
        <v>0</v>
      </c>
      <c r="AE83" s="145">
        <v>504</v>
      </c>
      <c r="AF83" s="141">
        <v>316</v>
      </c>
      <c r="AG83" s="119">
        <v>0</v>
      </c>
      <c r="AH83" s="58">
        <v>0</v>
      </c>
      <c r="AI83" s="88">
        <v>16425</v>
      </c>
      <c r="AJ83" s="88">
        <v>1775504</v>
      </c>
      <c r="AK83" s="165" t="s">
        <v>316</v>
      </c>
      <c r="AL83" s="88">
        <v>15974</v>
      </c>
      <c r="AM83" s="48"/>
      <c r="AN83" s="121">
        <v>11908209.611354603</v>
      </c>
      <c r="AO83" s="166">
        <v>86001516.843542024</v>
      </c>
      <c r="AP83" s="118">
        <v>1702110.9454841337</v>
      </c>
      <c r="AQ83" s="203"/>
    </row>
    <row r="84" spans="1:43" x14ac:dyDescent="0.25">
      <c r="A84" s="202" t="s">
        <v>179</v>
      </c>
      <c r="B84" s="202" t="s">
        <v>180</v>
      </c>
      <c r="C84" s="141">
        <f t="shared" si="10"/>
        <v>1849625.9786089999</v>
      </c>
      <c r="D84" s="119">
        <f t="shared" si="11"/>
        <v>2073998.4431000003</v>
      </c>
      <c r="E84" s="119">
        <f t="shared" si="12"/>
        <v>246698.58369999999</v>
      </c>
      <c r="F84" s="119">
        <f t="shared" si="13"/>
        <v>7161.5700000000006</v>
      </c>
      <c r="G84" s="119">
        <f t="shared" si="14"/>
        <v>3025403.3493373985</v>
      </c>
      <c r="H84" s="119">
        <f t="shared" si="15"/>
        <v>0</v>
      </c>
      <c r="I84" s="119">
        <f t="shared" si="19"/>
        <v>844343.27750000008</v>
      </c>
      <c r="J84" s="119">
        <f t="shared" si="16"/>
        <v>1064477.3686000002</v>
      </c>
      <c r="K84" s="119">
        <f t="shared" si="17"/>
        <v>1108168.5944260207</v>
      </c>
      <c r="L84" s="159">
        <f t="shared" si="18"/>
        <v>1716315.3350678859</v>
      </c>
      <c r="M84" s="164">
        <v>4.0906981062012626E-2</v>
      </c>
      <c r="N84" s="267">
        <v>65.64</v>
      </c>
      <c r="O84" s="268">
        <v>271.8</v>
      </c>
      <c r="P84" s="268">
        <v>37.07</v>
      </c>
      <c r="Q84" s="268">
        <v>0</v>
      </c>
      <c r="R84" s="269">
        <v>0.43</v>
      </c>
      <c r="S84" s="141">
        <v>107</v>
      </c>
      <c r="T84" s="119">
        <v>7</v>
      </c>
      <c r="U84" s="119">
        <v>16</v>
      </c>
      <c r="V84" s="119">
        <v>2870</v>
      </c>
      <c r="W84" s="145">
        <v>1920</v>
      </c>
      <c r="X84" s="141">
        <v>44916</v>
      </c>
      <c r="Y84" s="58">
        <v>70831</v>
      </c>
      <c r="Z84" s="88">
        <v>1170</v>
      </c>
      <c r="AA84" s="88">
        <f>VLOOKUP(B84,'Renseanlæg 2022'!L:M,2,FALSE)</f>
        <v>3025403.3493373985</v>
      </c>
      <c r="AB84" s="58">
        <v>0</v>
      </c>
      <c r="AC84" s="141">
        <v>380</v>
      </c>
      <c r="AD84" s="119">
        <v>0</v>
      </c>
      <c r="AE84" s="145">
        <v>0</v>
      </c>
      <c r="AF84" s="141">
        <v>730</v>
      </c>
      <c r="AG84" s="119">
        <v>0</v>
      </c>
      <c r="AH84" s="58">
        <v>0</v>
      </c>
      <c r="AI84" s="88">
        <v>7473</v>
      </c>
      <c r="AJ84" s="88">
        <v>910517</v>
      </c>
      <c r="AK84" s="165" t="s">
        <v>316</v>
      </c>
      <c r="AL84" s="88">
        <v>8813</v>
      </c>
      <c r="AM84" s="48"/>
      <c r="AN84" s="121">
        <v>1918000.7702984554</v>
      </c>
      <c r="AO84" s="166">
        <v>29335387.121333338</v>
      </c>
      <c r="AP84" s="118">
        <v>796692.42666666675</v>
      </c>
      <c r="AQ84" s="203"/>
    </row>
    <row r="85" spans="1:43" x14ac:dyDescent="0.25">
      <c r="A85" s="202" t="s">
        <v>181</v>
      </c>
      <c r="B85" s="202" t="s">
        <v>182</v>
      </c>
      <c r="C85" s="148">
        <f t="shared" si="10"/>
        <v>0</v>
      </c>
      <c r="D85" s="149">
        <f t="shared" si="11"/>
        <v>0</v>
      </c>
      <c r="E85" s="149">
        <f t="shared" si="12"/>
        <v>0</v>
      </c>
      <c r="F85" s="149">
        <f t="shared" si="13"/>
        <v>0</v>
      </c>
      <c r="G85" s="149">
        <f t="shared" si="14"/>
        <v>0</v>
      </c>
      <c r="H85" s="149">
        <f t="shared" si="15"/>
        <v>0</v>
      </c>
      <c r="I85" s="149">
        <f t="shared" si="19"/>
        <v>0</v>
      </c>
      <c r="J85" s="149">
        <f t="shared" si="16"/>
        <v>0</v>
      </c>
      <c r="K85" s="149">
        <f t="shared" si="17"/>
        <v>0</v>
      </c>
      <c r="L85" s="167">
        <f t="shared" si="18"/>
        <v>1871137.8855206582</v>
      </c>
      <c r="M85" s="168">
        <v>0</v>
      </c>
      <c r="N85" s="271">
        <v>0</v>
      </c>
      <c r="O85" s="272">
        <v>0</v>
      </c>
      <c r="P85" s="272">
        <v>0</v>
      </c>
      <c r="Q85" s="272">
        <v>0</v>
      </c>
      <c r="R85" s="273">
        <v>0</v>
      </c>
      <c r="S85" s="148">
        <v>0</v>
      </c>
      <c r="T85" s="149">
        <v>0</v>
      </c>
      <c r="U85" s="149">
        <v>0</v>
      </c>
      <c r="V85" s="149">
        <v>0</v>
      </c>
      <c r="W85" s="274">
        <v>0</v>
      </c>
      <c r="X85" s="148">
        <v>0</v>
      </c>
      <c r="Y85" s="61">
        <v>0</v>
      </c>
      <c r="Z85" s="150">
        <v>0</v>
      </c>
      <c r="AA85" s="150">
        <f>VLOOKUP(B85,'Renseanlæg 2022'!L:M,2,FALSE)</f>
        <v>0</v>
      </c>
      <c r="AB85" s="61">
        <v>0</v>
      </c>
      <c r="AC85" s="148">
        <v>0</v>
      </c>
      <c r="AD85" s="149">
        <v>0</v>
      </c>
      <c r="AE85" s="274">
        <v>0</v>
      </c>
      <c r="AF85" s="148">
        <v>0</v>
      </c>
      <c r="AG85" s="149">
        <v>0</v>
      </c>
      <c r="AH85" s="61">
        <v>0</v>
      </c>
      <c r="AI85" s="150">
        <v>0</v>
      </c>
      <c r="AJ85" s="150">
        <v>993949</v>
      </c>
      <c r="AK85" s="165" t="s">
        <v>316</v>
      </c>
      <c r="AL85" s="150">
        <v>0</v>
      </c>
      <c r="AM85" s="48"/>
      <c r="AN85" s="121" t="e">
        <v>#N/A</v>
      </c>
      <c r="AO85" s="166" t="e">
        <v>#N/A</v>
      </c>
      <c r="AP85" s="118" t="e">
        <v>#N/A</v>
      </c>
      <c r="AQ85" s="203"/>
    </row>
    <row r="86" spans="1:43" x14ac:dyDescent="0.25">
      <c r="A86" s="202" t="s">
        <v>183</v>
      </c>
      <c r="B86" s="202" t="s">
        <v>184</v>
      </c>
      <c r="C86" s="141">
        <f t="shared" si="10"/>
        <v>1827668.7245180001</v>
      </c>
      <c r="D86" s="119">
        <f t="shared" si="11"/>
        <v>5672734.8967000004</v>
      </c>
      <c r="E86" s="119">
        <f t="shared" si="12"/>
        <v>209824.11359999998</v>
      </c>
      <c r="F86" s="119">
        <f t="shared" si="13"/>
        <v>43795.755000000005</v>
      </c>
      <c r="G86" s="119">
        <f t="shared" si="14"/>
        <v>4440289.0909847459</v>
      </c>
      <c r="H86" s="119">
        <f t="shared" si="15"/>
        <v>0</v>
      </c>
      <c r="I86" s="119">
        <f t="shared" si="19"/>
        <v>1196265.3962000001</v>
      </c>
      <c r="J86" s="119">
        <f t="shared" si="16"/>
        <v>591752.19160000002</v>
      </c>
      <c r="K86" s="119">
        <f t="shared" si="17"/>
        <v>1227324.0123720537</v>
      </c>
      <c r="L86" s="159">
        <f t="shared" si="18"/>
        <v>1649469.144506885</v>
      </c>
      <c r="M86" s="164">
        <v>1.9731918078519428E-2</v>
      </c>
      <c r="N86" s="267">
        <v>330.47</v>
      </c>
      <c r="O86" s="268">
        <v>239.82</v>
      </c>
      <c r="P86" s="268">
        <v>0</v>
      </c>
      <c r="Q86" s="268">
        <v>0</v>
      </c>
      <c r="R86" s="269">
        <v>0.64</v>
      </c>
      <c r="S86" s="141">
        <v>679</v>
      </c>
      <c r="T86" s="119">
        <v>11</v>
      </c>
      <c r="U86" s="119">
        <v>82</v>
      </c>
      <c r="V86" s="119">
        <v>5396</v>
      </c>
      <c r="W86" s="145">
        <v>0</v>
      </c>
      <c r="X86" s="141">
        <v>58399</v>
      </c>
      <c r="Y86" s="58">
        <v>48398</v>
      </c>
      <c r="Z86" s="88">
        <v>7155</v>
      </c>
      <c r="AA86" s="88">
        <f>VLOOKUP(B86,'Renseanlæg 2022'!L:M,2,FALSE)</f>
        <v>4440289.0909847459</v>
      </c>
      <c r="AB86" s="58">
        <v>0</v>
      </c>
      <c r="AC86" s="141">
        <v>266</v>
      </c>
      <c r="AD86" s="119">
        <v>0</v>
      </c>
      <c r="AE86" s="145">
        <v>231</v>
      </c>
      <c r="AF86" s="141">
        <v>256</v>
      </c>
      <c r="AG86" s="119">
        <v>0</v>
      </c>
      <c r="AH86" s="58">
        <v>0</v>
      </c>
      <c r="AI86" s="88">
        <v>9683</v>
      </c>
      <c r="AJ86" s="88">
        <v>874529</v>
      </c>
      <c r="AK86" s="165" t="s">
        <v>316</v>
      </c>
      <c r="AL86" s="88">
        <v>8700</v>
      </c>
      <c r="AM86" s="48"/>
      <c r="AN86" s="121">
        <v>6275324.4221387673</v>
      </c>
      <c r="AO86" s="166">
        <v>40588001.655999996</v>
      </c>
      <c r="AP86" s="118">
        <v>1812033.4933333334</v>
      </c>
      <c r="AQ86" s="203"/>
    </row>
    <row r="87" spans="1:43" x14ac:dyDescent="0.25">
      <c r="A87" s="202" t="s">
        <v>185</v>
      </c>
      <c r="B87" s="202" t="s">
        <v>186</v>
      </c>
      <c r="C87" s="141">
        <f t="shared" si="10"/>
        <v>1806333.6344860001</v>
      </c>
      <c r="D87" s="119">
        <f t="shared" si="11"/>
        <v>1991829.7213999999</v>
      </c>
      <c r="E87" s="119">
        <f t="shared" si="12"/>
        <v>63872.639199999998</v>
      </c>
      <c r="F87" s="119">
        <f t="shared" si="13"/>
        <v>2968.6850000000004</v>
      </c>
      <c r="G87" s="119">
        <f t="shared" si="14"/>
        <v>5669610.7926147375</v>
      </c>
      <c r="H87" s="119">
        <f t="shared" si="15"/>
        <v>0</v>
      </c>
      <c r="I87" s="119">
        <f t="shared" si="19"/>
        <v>818774.50313000008</v>
      </c>
      <c r="J87" s="119">
        <f t="shared" si="16"/>
        <v>1204654.868366</v>
      </c>
      <c r="K87" s="119">
        <f t="shared" si="17"/>
        <v>1179961.5465404352</v>
      </c>
      <c r="L87" s="159">
        <f t="shared" si="18"/>
        <v>1592232.5193194603</v>
      </c>
      <c r="M87" s="164">
        <v>3.0332517633510872E-2</v>
      </c>
      <c r="N87" s="267">
        <v>199.53</v>
      </c>
      <c r="O87" s="268">
        <v>290.02</v>
      </c>
      <c r="P87" s="268">
        <v>17.8</v>
      </c>
      <c r="Q87" s="268">
        <v>0</v>
      </c>
      <c r="R87" s="269">
        <v>0</v>
      </c>
      <c r="S87" s="141">
        <v>115</v>
      </c>
      <c r="T87" s="119">
        <v>54</v>
      </c>
      <c r="U87" s="119">
        <v>34</v>
      </c>
      <c r="V87" s="119">
        <v>101</v>
      </c>
      <c r="W87" s="145">
        <v>1125</v>
      </c>
      <c r="X87" s="141">
        <v>23296</v>
      </c>
      <c r="Y87" s="58">
        <v>11496</v>
      </c>
      <c r="Z87" s="88">
        <v>485</v>
      </c>
      <c r="AA87" s="88">
        <f>VLOOKUP(B87,'Renseanlæg 2022'!L:M,2,FALSE)</f>
        <v>5669610.7926147375</v>
      </c>
      <c r="AB87" s="58">
        <v>0</v>
      </c>
      <c r="AC87" s="141">
        <v>287.89999999999998</v>
      </c>
      <c r="AD87" s="119">
        <v>0</v>
      </c>
      <c r="AE87" s="145">
        <v>0</v>
      </c>
      <c r="AF87" s="141">
        <v>418</v>
      </c>
      <c r="AG87" s="119">
        <v>66.650000000000006</v>
      </c>
      <c r="AH87" s="58">
        <v>130.62</v>
      </c>
      <c r="AI87" s="88">
        <v>8763</v>
      </c>
      <c r="AJ87" s="88">
        <v>843732</v>
      </c>
      <c r="AK87" s="165" t="s">
        <v>316</v>
      </c>
      <c r="AL87" s="88">
        <v>10536</v>
      </c>
      <c r="AM87" s="48"/>
      <c r="AN87" s="121">
        <v>4559420.8517770935</v>
      </c>
      <c r="AO87" s="166">
        <v>34056304.433333337</v>
      </c>
      <c r="AP87" s="118">
        <v>122040</v>
      </c>
      <c r="AQ87" s="203"/>
    </row>
    <row r="88" spans="1:43" x14ac:dyDescent="0.25">
      <c r="A88" s="202" t="s">
        <v>187</v>
      </c>
      <c r="B88" s="202" t="s">
        <v>188</v>
      </c>
      <c r="C88" s="141">
        <f t="shared" si="10"/>
        <v>4319664.5194160007</v>
      </c>
      <c r="D88" s="119">
        <f t="shared" si="11"/>
        <v>7739727.9110000003</v>
      </c>
      <c r="E88" s="119">
        <f t="shared" si="12"/>
        <v>412521.62670000002</v>
      </c>
      <c r="F88" s="119">
        <f t="shared" si="13"/>
        <v>259775.24000000002</v>
      </c>
      <c r="G88" s="119">
        <f t="shared" si="14"/>
        <v>11697879.933699524</v>
      </c>
      <c r="H88" s="119">
        <f t="shared" si="15"/>
        <v>54400.932999999997</v>
      </c>
      <c r="I88" s="119">
        <f t="shared" si="19"/>
        <v>2279409.2165000001</v>
      </c>
      <c r="J88" s="119">
        <f t="shared" si="16"/>
        <v>1733672.7141</v>
      </c>
      <c r="K88" s="119">
        <f t="shared" si="17"/>
        <v>1682144.9370829319</v>
      </c>
      <c r="L88" s="159">
        <f t="shared" si="18"/>
        <v>4749038.35979125</v>
      </c>
      <c r="M88" s="164">
        <v>3.5237733351310939E-2</v>
      </c>
      <c r="N88" s="267">
        <v>413.6</v>
      </c>
      <c r="O88" s="268">
        <v>599.5</v>
      </c>
      <c r="P88" s="268">
        <v>32.4</v>
      </c>
      <c r="Q88" s="268">
        <v>0</v>
      </c>
      <c r="R88" s="269">
        <v>2.33</v>
      </c>
      <c r="S88" s="141">
        <v>298</v>
      </c>
      <c r="T88" s="119">
        <v>148</v>
      </c>
      <c r="U88" s="119">
        <v>162</v>
      </c>
      <c r="V88" s="119">
        <v>524</v>
      </c>
      <c r="W88" s="145">
        <v>6120</v>
      </c>
      <c r="X88" s="141">
        <v>75875</v>
      </c>
      <c r="Y88" s="58">
        <v>117991</v>
      </c>
      <c r="Z88" s="88">
        <v>42440</v>
      </c>
      <c r="AA88" s="88">
        <f>VLOOKUP(B88,'Renseanlæg 2022'!L:M,2,FALSE)</f>
        <v>11697879.933699524</v>
      </c>
      <c r="AB88" s="58">
        <v>19</v>
      </c>
      <c r="AC88" s="141">
        <v>2061</v>
      </c>
      <c r="AD88" s="119">
        <v>1079</v>
      </c>
      <c r="AE88" s="145">
        <v>84.6</v>
      </c>
      <c r="AF88" s="141">
        <v>1401</v>
      </c>
      <c r="AG88" s="119">
        <v>0</v>
      </c>
      <c r="AH88" s="58">
        <v>0</v>
      </c>
      <c r="AI88" s="88">
        <v>21543</v>
      </c>
      <c r="AJ88" s="88">
        <v>2558481</v>
      </c>
      <c r="AK88" s="165" t="s">
        <v>316</v>
      </c>
      <c r="AL88" s="88">
        <v>28748</v>
      </c>
      <c r="AM88" s="48"/>
      <c r="AN88" s="121">
        <v>12044797.356914774</v>
      </c>
      <c r="AO88" s="166">
        <v>93109419.299999997</v>
      </c>
      <c r="AP88" s="118">
        <v>3716346.6666666665</v>
      </c>
      <c r="AQ88" s="203"/>
    </row>
    <row r="89" spans="1:43" x14ac:dyDescent="0.25">
      <c r="A89" s="202" t="s">
        <v>189</v>
      </c>
      <c r="B89" s="202" t="s">
        <v>190</v>
      </c>
      <c r="C89" s="141">
        <f t="shared" si="10"/>
        <v>3803621.3061100002</v>
      </c>
      <c r="D89" s="119">
        <f t="shared" si="11"/>
        <v>7258480.0512000006</v>
      </c>
      <c r="E89" s="119">
        <f t="shared" si="12"/>
        <v>559948.77659999998</v>
      </c>
      <c r="F89" s="119">
        <f t="shared" si="13"/>
        <v>90572.437000000005</v>
      </c>
      <c r="G89" s="119">
        <f t="shared" si="14"/>
        <v>6601150.1592392204</v>
      </c>
      <c r="H89" s="119">
        <f t="shared" si="15"/>
        <v>186108.45499999999</v>
      </c>
      <c r="I89" s="119">
        <f t="shared" si="19"/>
        <v>924852.99050000007</v>
      </c>
      <c r="J89" s="119">
        <f t="shared" si="16"/>
        <v>1004638.7386</v>
      </c>
      <c r="K89" s="119">
        <f t="shared" si="17"/>
        <v>1565334.8245430167</v>
      </c>
      <c r="L89" s="159">
        <f t="shared" si="18"/>
        <v>3038500.8992601368</v>
      </c>
      <c r="M89" s="164">
        <v>2.6135782376191585E-2</v>
      </c>
      <c r="N89" s="267">
        <v>564.6</v>
      </c>
      <c r="O89" s="268">
        <v>472.9</v>
      </c>
      <c r="P89" s="268">
        <v>0</v>
      </c>
      <c r="Q89" s="268">
        <v>0</v>
      </c>
      <c r="R89" s="269">
        <v>2.7</v>
      </c>
      <c r="S89" s="141">
        <v>72</v>
      </c>
      <c r="T89" s="119">
        <v>61</v>
      </c>
      <c r="U89" s="119">
        <v>75</v>
      </c>
      <c r="V89" s="119">
        <v>13980</v>
      </c>
      <c r="W89" s="145">
        <v>1000</v>
      </c>
      <c r="X89" s="141">
        <v>76787</v>
      </c>
      <c r="Y89" s="58">
        <v>175528</v>
      </c>
      <c r="Z89" s="88">
        <v>14797</v>
      </c>
      <c r="AA89" s="88">
        <f>VLOOKUP(B89,'Renseanlæg 2022'!L:M,2,FALSE)</f>
        <v>6601150.1592392204</v>
      </c>
      <c r="AB89" s="58">
        <v>65</v>
      </c>
      <c r="AC89" s="141">
        <v>670</v>
      </c>
      <c r="AD89" s="119">
        <v>0</v>
      </c>
      <c r="AE89" s="145">
        <v>0</v>
      </c>
      <c r="AF89" s="141">
        <v>670</v>
      </c>
      <c r="AG89" s="119">
        <v>0</v>
      </c>
      <c r="AH89" s="58">
        <v>0</v>
      </c>
      <c r="AI89" s="88">
        <v>17948</v>
      </c>
      <c r="AJ89" s="88">
        <v>1625932</v>
      </c>
      <c r="AK89" s="165" t="s">
        <v>316</v>
      </c>
      <c r="AL89" s="88">
        <v>22482</v>
      </c>
      <c r="AM89" s="48"/>
      <c r="AN89" s="121">
        <v>6118269.221702314</v>
      </c>
      <c r="AO89" s="166">
        <v>73298213.446666658</v>
      </c>
      <c r="AP89" s="118">
        <v>1907275.3839700376</v>
      </c>
      <c r="AQ89" s="203"/>
    </row>
    <row r="90" spans="1:43" x14ac:dyDescent="0.25">
      <c r="A90" s="202" t="s">
        <v>191</v>
      </c>
      <c r="B90" s="202" t="s">
        <v>192</v>
      </c>
      <c r="C90" s="141">
        <f t="shared" si="10"/>
        <v>7168286.7704949994</v>
      </c>
      <c r="D90" s="119">
        <f t="shared" si="11"/>
        <v>24604953.111100003</v>
      </c>
      <c r="E90" s="119">
        <f t="shared" si="12"/>
        <v>401515.22739999997</v>
      </c>
      <c r="F90" s="119">
        <f t="shared" si="13"/>
        <v>131105.69900000002</v>
      </c>
      <c r="G90" s="119">
        <f t="shared" si="14"/>
        <v>11652521.727612633</v>
      </c>
      <c r="H90" s="119">
        <f t="shared" si="15"/>
        <v>186108.45499999999</v>
      </c>
      <c r="I90" s="119">
        <f t="shared" si="19"/>
        <v>1252721.8562</v>
      </c>
      <c r="J90" s="119">
        <f t="shared" si="16"/>
        <v>2182462.4391000001</v>
      </c>
      <c r="K90" s="119">
        <f t="shared" si="17"/>
        <v>2029680.0644425612</v>
      </c>
      <c r="L90" s="159">
        <f t="shared" si="18"/>
        <v>6011169.5576645033</v>
      </c>
      <c r="M90" s="164">
        <v>3.0377693242120068E-2</v>
      </c>
      <c r="N90" s="267">
        <v>604.6</v>
      </c>
      <c r="O90" s="268">
        <v>1223.92</v>
      </c>
      <c r="P90" s="268">
        <v>8.43</v>
      </c>
      <c r="Q90" s="268">
        <v>0</v>
      </c>
      <c r="R90" s="269">
        <v>4.08</v>
      </c>
      <c r="S90" s="141">
        <v>12</v>
      </c>
      <c r="T90" s="119">
        <v>789</v>
      </c>
      <c r="U90" s="119">
        <v>148</v>
      </c>
      <c r="V90" s="119">
        <v>20669</v>
      </c>
      <c r="W90" s="145">
        <v>27215</v>
      </c>
      <c r="X90" s="141">
        <v>84781</v>
      </c>
      <c r="Y90" s="58">
        <v>108432</v>
      </c>
      <c r="Z90" s="88">
        <v>21419</v>
      </c>
      <c r="AA90" s="88">
        <f>VLOOKUP(B90,'Renseanlæg 2022'!L:M,2,FALSE)</f>
        <v>11652521.727612633</v>
      </c>
      <c r="AB90" s="58">
        <v>65</v>
      </c>
      <c r="AC90" s="141">
        <v>1851</v>
      </c>
      <c r="AD90" s="119">
        <v>0</v>
      </c>
      <c r="AE90" s="145">
        <v>0</v>
      </c>
      <c r="AF90" s="141">
        <v>1851</v>
      </c>
      <c r="AG90" s="119">
        <v>0</v>
      </c>
      <c r="AH90" s="58">
        <v>0</v>
      </c>
      <c r="AI90" s="88">
        <v>34691</v>
      </c>
      <c r="AJ90" s="88">
        <v>3250002</v>
      </c>
      <c r="AK90" s="165" t="s">
        <v>316</v>
      </c>
      <c r="AL90" s="88">
        <v>38011</v>
      </c>
      <c r="AM90" s="48"/>
      <c r="AN90" s="121">
        <v>12715438.246780626</v>
      </c>
      <c r="AO90" s="166">
        <v>123054383.31437932</v>
      </c>
      <c r="AP90" s="118">
        <v>7097986.666666667</v>
      </c>
      <c r="AQ90" s="203"/>
    </row>
    <row r="91" spans="1:43" x14ac:dyDescent="0.25">
      <c r="A91" s="202" t="s">
        <v>193</v>
      </c>
      <c r="B91" s="202" t="s">
        <v>194</v>
      </c>
      <c r="C91" s="141">
        <f t="shared" si="10"/>
        <v>0</v>
      </c>
      <c r="D91" s="119">
        <f t="shared" si="11"/>
        <v>0</v>
      </c>
      <c r="E91" s="119">
        <f t="shared" si="12"/>
        <v>0</v>
      </c>
      <c r="F91" s="119">
        <f t="shared" si="13"/>
        <v>0</v>
      </c>
      <c r="G91" s="119">
        <f t="shared" si="14"/>
        <v>19873396.946369991</v>
      </c>
      <c r="H91" s="119">
        <f t="shared" si="15"/>
        <v>0</v>
      </c>
      <c r="I91" s="119">
        <f t="shared" si="19"/>
        <v>2216676.4741100003</v>
      </c>
      <c r="J91" s="119">
        <f t="shared" si="16"/>
        <v>2383419.2217800003</v>
      </c>
      <c r="K91" s="119">
        <f t="shared" si="17"/>
        <v>129123.18723985981</v>
      </c>
      <c r="L91" s="159">
        <f t="shared" si="18"/>
        <v>2097612.859338881</v>
      </c>
      <c r="M91" s="164">
        <v>0</v>
      </c>
      <c r="N91" s="267">
        <v>0</v>
      </c>
      <c r="O91" s="268">
        <v>0</v>
      </c>
      <c r="P91" s="268">
        <v>0</v>
      </c>
      <c r="Q91" s="268">
        <v>0</v>
      </c>
      <c r="R91" s="269">
        <v>0</v>
      </c>
      <c r="S91" s="141">
        <v>0</v>
      </c>
      <c r="T91" s="119">
        <v>0</v>
      </c>
      <c r="U91" s="119">
        <v>0</v>
      </c>
      <c r="V91" s="119">
        <v>0</v>
      </c>
      <c r="W91" s="145">
        <v>0</v>
      </c>
      <c r="X91" s="141">
        <v>0</v>
      </c>
      <c r="Y91" s="58">
        <v>0</v>
      </c>
      <c r="Z91" s="88">
        <v>0</v>
      </c>
      <c r="AA91" s="88">
        <f>VLOOKUP(B91,'Renseanlæg 2022'!L:M,2,FALSE)</f>
        <v>19873396.946369991</v>
      </c>
      <c r="AB91" s="58">
        <v>0</v>
      </c>
      <c r="AC91" s="141">
        <v>512.9</v>
      </c>
      <c r="AD91" s="119">
        <v>1740.45</v>
      </c>
      <c r="AE91" s="145">
        <v>0</v>
      </c>
      <c r="AF91" s="141">
        <v>1277.0999999999999</v>
      </c>
      <c r="AG91" s="119">
        <v>0</v>
      </c>
      <c r="AH91" s="58">
        <v>396.1</v>
      </c>
      <c r="AI91" s="88">
        <v>32</v>
      </c>
      <c r="AJ91" s="88">
        <v>2328955</v>
      </c>
      <c r="AK91" s="165" t="s">
        <v>317</v>
      </c>
      <c r="AL91" s="88">
        <v>15</v>
      </c>
      <c r="AM91" s="48"/>
      <c r="AN91" s="121">
        <v>26418896.314856905</v>
      </c>
      <c r="AO91" s="166">
        <v>0</v>
      </c>
      <c r="AP91" s="118">
        <v>2893600.0000000005</v>
      </c>
      <c r="AQ91" s="203"/>
    </row>
    <row r="92" spans="1:43" x14ac:dyDescent="0.25">
      <c r="A92" s="202" t="s">
        <v>195</v>
      </c>
      <c r="B92" s="202" t="s">
        <v>196</v>
      </c>
      <c r="C92" s="141">
        <f t="shared" si="10"/>
        <v>3410864.2831760002</v>
      </c>
      <c r="D92" s="119">
        <f t="shared" si="11"/>
        <v>5917800.8857999993</v>
      </c>
      <c r="E92" s="119">
        <f t="shared" si="12"/>
        <v>172857.24650000001</v>
      </c>
      <c r="F92" s="119">
        <f t="shared" si="13"/>
        <v>118116.93700000001</v>
      </c>
      <c r="G92" s="119">
        <f t="shared" si="14"/>
        <v>0</v>
      </c>
      <c r="H92" s="119">
        <f t="shared" si="15"/>
        <v>0</v>
      </c>
      <c r="I92" s="119">
        <f t="shared" si="19"/>
        <v>0</v>
      </c>
      <c r="J92" s="119">
        <f t="shared" si="16"/>
        <v>0</v>
      </c>
      <c r="K92" s="119">
        <f t="shared" si="17"/>
        <v>1530498.8657024784</v>
      </c>
      <c r="L92" s="159">
        <f t="shared" si="18"/>
        <v>2537888.2225446762</v>
      </c>
      <c r="M92" s="164">
        <v>2.6776581172951987E-2</v>
      </c>
      <c r="N92" s="267">
        <v>433.99</v>
      </c>
      <c r="O92" s="268">
        <v>591.91999999999996</v>
      </c>
      <c r="P92" s="268">
        <v>14.72</v>
      </c>
      <c r="Q92" s="268">
        <v>0</v>
      </c>
      <c r="R92" s="269">
        <v>0</v>
      </c>
      <c r="S92" s="141">
        <v>68</v>
      </c>
      <c r="T92" s="119">
        <v>150</v>
      </c>
      <c r="U92" s="119">
        <v>103</v>
      </c>
      <c r="V92" s="119">
        <v>3505</v>
      </c>
      <c r="W92" s="145">
        <v>2590</v>
      </c>
      <c r="X92" s="141">
        <v>40619</v>
      </c>
      <c r="Y92" s="58">
        <v>44265</v>
      </c>
      <c r="Z92" s="88">
        <v>19297</v>
      </c>
      <c r="AA92" s="88">
        <f>VLOOKUP(B92,'Renseanlæg 2022'!L:M,2,FALSE)</f>
        <v>0</v>
      </c>
      <c r="AB92" s="58">
        <v>0</v>
      </c>
      <c r="AC92" s="141">
        <v>0</v>
      </c>
      <c r="AD92" s="119">
        <v>0</v>
      </c>
      <c r="AE92" s="145">
        <v>0</v>
      </c>
      <c r="AF92" s="141">
        <v>0</v>
      </c>
      <c r="AG92" s="119">
        <v>0</v>
      </c>
      <c r="AH92" s="58">
        <v>0</v>
      </c>
      <c r="AI92" s="88">
        <v>16952</v>
      </c>
      <c r="AJ92" s="88">
        <v>1850638</v>
      </c>
      <c r="AK92" s="165" t="s">
        <v>315</v>
      </c>
      <c r="AL92" s="88">
        <v>21308</v>
      </c>
      <c r="AM92" s="48"/>
      <c r="AN92" s="121">
        <v>0</v>
      </c>
      <c r="AO92" s="166">
        <v>94307181.223333314</v>
      </c>
      <c r="AP92" s="118">
        <v>2301546.6666666665</v>
      </c>
      <c r="AQ92" s="203"/>
    </row>
    <row r="93" spans="1:43" x14ac:dyDescent="0.25">
      <c r="A93" s="202" t="s">
        <v>197</v>
      </c>
      <c r="B93" s="202" t="s">
        <v>198</v>
      </c>
      <c r="C93" s="141">
        <f t="shared" si="10"/>
        <v>3088881.1550000003</v>
      </c>
      <c r="D93" s="119">
        <f t="shared" si="11"/>
        <v>6164138.9463999998</v>
      </c>
      <c r="E93" s="119">
        <f t="shared" si="12"/>
        <v>349106.0428</v>
      </c>
      <c r="F93" s="119">
        <f t="shared" si="13"/>
        <v>41377.960000000006</v>
      </c>
      <c r="G93" s="119">
        <f t="shared" si="14"/>
        <v>10345334.265343536</v>
      </c>
      <c r="H93" s="119">
        <f t="shared" si="15"/>
        <v>8589.6209999999992</v>
      </c>
      <c r="I93" s="119">
        <f t="shared" si="19"/>
        <v>1954921.2674</v>
      </c>
      <c r="J93" s="119">
        <f t="shared" si="16"/>
        <v>1872198.7698999997</v>
      </c>
      <c r="K93" s="119">
        <f t="shared" si="17"/>
        <v>1662422.0865172243</v>
      </c>
      <c r="L93" s="159">
        <f t="shared" si="18"/>
        <v>3581317.784588282</v>
      </c>
      <c r="M93" s="164">
        <v>2.8614084507042253E-2</v>
      </c>
      <c r="N93" s="267">
        <v>394</v>
      </c>
      <c r="O93" s="268">
        <v>516</v>
      </c>
      <c r="P93" s="268">
        <v>0</v>
      </c>
      <c r="Q93" s="268">
        <v>0</v>
      </c>
      <c r="R93" s="269">
        <v>1</v>
      </c>
      <c r="S93" s="141">
        <v>0</v>
      </c>
      <c r="T93" s="119">
        <v>396</v>
      </c>
      <c r="U93" s="119">
        <v>76</v>
      </c>
      <c r="V93" s="119">
        <v>0</v>
      </c>
      <c r="W93" s="145">
        <v>0</v>
      </c>
      <c r="X93" s="141">
        <v>101377</v>
      </c>
      <c r="Y93" s="58">
        <v>78054</v>
      </c>
      <c r="Z93" s="88">
        <v>6760</v>
      </c>
      <c r="AA93" s="88">
        <f>VLOOKUP(B93,'Renseanlæg 2022'!L:M,2,FALSE)</f>
        <v>10345334.265343536</v>
      </c>
      <c r="AB93" s="58">
        <v>3</v>
      </c>
      <c r="AC93" s="141">
        <v>1007</v>
      </c>
      <c r="AD93" s="119">
        <v>0</v>
      </c>
      <c r="AE93" s="145">
        <v>564</v>
      </c>
      <c r="AF93" s="141">
        <v>843</v>
      </c>
      <c r="AG93" s="119">
        <v>0</v>
      </c>
      <c r="AH93" s="58">
        <v>356</v>
      </c>
      <c r="AI93" s="88">
        <v>20908</v>
      </c>
      <c r="AJ93" s="88">
        <v>1921169</v>
      </c>
      <c r="AK93" s="165" t="s">
        <v>316</v>
      </c>
      <c r="AL93" s="88">
        <v>20316</v>
      </c>
      <c r="AM93" s="48"/>
      <c r="AN93" s="121">
        <v>8100401.6652607638</v>
      </c>
      <c r="AO93" s="166">
        <v>107499302.07512234</v>
      </c>
      <c r="AP93" s="118">
        <v>1830520</v>
      </c>
      <c r="AQ93" s="203"/>
    </row>
    <row r="94" spans="1:43" x14ac:dyDescent="0.25">
      <c r="A94" s="202" t="s">
        <v>199</v>
      </c>
      <c r="B94" s="202" t="s">
        <v>200</v>
      </c>
      <c r="C94" s="141">
        <f t="shared" si="10"/>
        <v>2047100.2858000002</v>
      </c>
      <c r="D94" s="119">
        <f t="shared" si="11"/>
        <v>3581445.0205999999</v>
      </c>
      <c r="E94" s="119">
        <f t="shared" si="12"/>
        <v>125696.11439999999</v>
      </c>
      <c r="F94" s="119">
        <f t="shared" si="13"/>
        <v>80185.100000000006</v>
      </c>
      <c r="G94" s="119">
        <f t="shared" si="14"/>
        <v>5923931.3006967157</v>
      </c>
      <c r="H94" s="119">
        <f t="shared" si="15"/>
        <v>0</v>
      </c>
      <c r="I94" s="119">
        <f t="shared" si="19"/>
        <v>1086427.6559000001</v>
      </c>
      <c r="J94" s="119">
        <f t="shared" si="16"/>
        <v>1585073.4495999999</v>
      </c>
      <c r="K94" s="119">
        <f t="shared" si="17"/>
        <v>1227873.438400436</v>
      </c>
      <c r="L94" s="159">
        <f t="shared" si="18"/>
        <v>4092843.4953345307</v>
      </c>
      <c r="M94" s="164">
        <v>5.632549019607843E-2</v>
      </c>
      <c r="N94" s="267">
        <v>20</v>
      </c>
      <c r="O94" s="268">
        <v>201</v>
      </c>
      <c r="P94" s="268">
        <v>45</v>
      </c>
      <c r="Q94" s="268">
        <v>0</v>
      </c>
      <c r="R94" s="269">
        <v>2</v>
      </c>
      <c r="S94" s="141">
        <v>0</v>
      </c>
      <c r="T94" s="119">
        <v>20</v>
      </c>
      <c r="U94" s="119">
        <v>40</v>
      </c>
      <c r="V94" s="119">
        <v>2542</v>
      </c>
      <c r="W94" s="145">
        <v>7580</v>
      </c>
      <c r="X94" s="141">
        <v>0</v>
      </c>
      <c r="Y94" s="58">
        <v>49512</v>
      </c>
      <c r="Z94" s="88">
        <v>13100</v>
      </c>
      <c r="AA94" s="88">
        <f>VLOOKUP(B94,'Renseanlæg 2022'!L:M,2,FALSE)</f>
        <v>5923931.3006967157</v>
      </c>
      <c r="AB94" s="58">
        <v>0</v>
      </c>
      <c r="AC94" s="141">
        <v>1252</v>
      </c>
      <c r="AD94" s="119">
        <v>0</v>
      </c>
      <c r="AE94" s="145">
        <v>0</v>
      </c>
      <c r="AF94" s="141">
        <v>1252</v>
      </c>
      <c r="AG94" s="119">
        <v>0</v>
      </c>
      <c r="AH94" s="58">
        <v>0</v>
      </c>
      <c r="AI94" s="88">
        <v>9694</v>
      </c>
      <c r="AJ94" s="88">
        <v>2200011</v>
      </c>
      <c r="AK94" s="165" t="s">
        <v>316</v>
      </c>
      <c r="AL94" s="88">
        <v>14363</v>
      </c>
      <c r="AM94" s="48"/>
      <c r="AN94" s="121">
        <v>8021087.6761179212</v>
      </c>
      <c r="AO94" s="166">
        <v>39100490.622266665</v>
      </c>
      <c r="AP94" s="118">
        <v>1318130.9333333333</v>
      </c>
      <c r="AQ94" s="203"/>
    </row>
    <row r="95" spans="1:43" x14ac:dyDescent="0.25">
      <c r="A95" s="202" t="s">
        <v>201</v>
      </c>
      <c r="B95" s="202" t="s">
        <v>202</v>
      </c>
      <c r="C95" s="141">
        <f t="shared" si="10"/>
        <v>16177270.027815999</v>
      </c>
      <c r="D95" s="119">
        <f t="shared" si="11"/>
        <v>17467990.0471</v>
      </c>
      <c r="E95" s="119">
        <f t="shared" si="12"/>
        <v>2171037.4068</v>
      </c>
      <c r="F95" s="119">
        <f t="shared" si="13"/>
        <v>252136.23200000002</v>
      </c>
      <c r="G95" s="119">
        <f t="shared" si="14"/>
        <v>35925799.067160003</v>
      </c>
      <c r="H95" s="119">
        <f t="shared" si="15"/>
        <v>337858.42599999998</v>
      </c>
      <c r="I95" s="119">
        <f t="shared" si="19"/>
        <v>8642364.5068999995</v>
      </c>
      <c r="J95" s="119">
        <f t="shared" si="16"/>
        <v>13584384.008199999</v>
      </c>
      <c r="K95" s="119">
        <f t="shared" si="17"/>
        <v>2834250.318039306</v>
      </c>
      <c r="L95" s="159">
        <f t="shared" si="18"/>
        <v>19971269.361298222</v>
      </c>
      <c r="M95" s="164">
        <v>6.6555045575020996E-2</v>
      </c>
      <c r="N95" s="267">
        <v>950.97</v>
      </c>
      <c r="O95" s="268">
        <v>1737.84</v>
      </c>
      <c r="P95" s="268">
        <v>181.84</v>
      </c>
      <c r="Q95" s="268">
        <v>102.94</v>
      </c>
      <c r="R95" s="269">
        <v>11.21</v>
      </c>
      <c r="S95" s="141">
        <v>2352</v>
      </c>
      <c r="T95" s="119">
        <v>72</v>
      </c>
      <c r="U95" s="119">
        <v>223</v>
      </c>
      <c r="V95" s="119">
        <v>13329</v>
      </c>
      <c r="W95" s="145">
        <v>2589</v>
      </c>
      <c r="X95" s="141">
        <v>347938</v>
      </c>
      <c r="Y95" s="58">
        <v>651104</v>
      </c>
      <c r="Z95" s="88">
        <v>41192</v>
      </c>
      <c r="AA95" s="88">
        <f>VLOOKUP(B95,'Renseanlæg 2022'!L:M,2,FALSE)</f>
        <v>35925799.067160003</v>
      </c>
      <c r="AB95" s="58">
        <v>118</v>
      </c>
      <c r="AC95" s="141">
        <v>474</v>
      </c>
      <c r="AD95" s="119">
        <v>10129</v>
      </c>
      <c r="AE95" s="145">
        <v>0</v>
      </c>
      <c r="AF95" s="141">
        <v>474</v>
      </c>
      <c r="AG95" s="119">
        <v>4337</v>
      </c>
      <c r="AH95" s="58">
        <v>0</v>
      </c>
      <c r="AI95" s="88">
        <v>80924</v>
      </c>
      <c r="AJ95" s="88">
        <v>10995561</v>
      </c>
      <c r="AK95" s="165" t="s">
        <v>316</v>
      </c>
      <c r="AL95" s="88">
        <v>154431</v>
      </c>
      <c r="AM95" s="48"/>
      <c r="AN95" s="121">
        <v>52846124.371466748</v>
      </c>
      <c r="AO95" s="166">
        <v>272755617.73333329</v>
      </c>
      <c r="AP95" s="118">
        <v>10949440</v>
      </c>
      <c r="AQ95" s="203"/>
    </row>
    <row r="96" spans="1:43" x14ac:dyDescent="0.25">
      <c r="A96" s="202" t="s">
        <v>203</v>
      </c>
      <c r="B96" s="202" t="s">
        <v>204</v>
      </c>
      <c r="C96" s="141">
        <f t="shared" si="10"/>
        <v>0</v>
      </c>
      <c r="D96" s="119">
        <f t="shared" si="11"/>
        <v>0</v>
      </c>
      <c r="E96" s="119">
        <f t="shared" si="12"/>
        <v>0</v>
      </c>
      <c r="F96" s="119">
        <f t="shared" si="13"/>
        <v>0</v>
      </c>
      <c r="G96" s="119">
        <f t="shared" si="14"/>
        <v>8926526.670564333</v>
      </c>
      <c r="H96" s="119">
        <f t="shared" si="15"/>
        <v>0</v>
      </c>
      <c r="I96" s="119">
        <f t="shared" si="19"/>
        <v>1163799.7016000003</v>
      </c>
      <c r="J96" s="119">
        <f t="shared" si="16"/>
        <v>1173890.2523000001</v>
      </c>
      <c r="K96" s="119">
        <f t="shared" si="17"/>
        <v>1203485.9328334839</v>
      </c>
      <c r="L96" s="159">
        <f t="shared" si="18"/>
        <v>1928718.6761345922</v>
      </c>
      <c r="M96" s="164">
        <v>0</v>
      </c>
      <c r="N96" s="267">
        <v>0</v>
      </c>
      <c r="O96" s="268">
        <v>0</v>
      </c>
      <c r="P96" s="268">
        <v>0</v>
      </c>
      <c r="Q96" s="268">
        <v>0</v>
      </c>
      <c r="R96" s="269">
        <v>0</v>
      </c>
      <c r="S96" s="141">
        <v>0</v>
      </c>
      <c r="T96" s="119">
        <v>0</v>
      </c>
      <c r="U96" s="119">
        <v>0</v>
      </c>
      <c r="V96" s="119">
        <v>0</v>
      </c>
      <c r="W96" s="145">
        <v>0</v>
      </c>
      <c r="X96" s="141">
        <v>0</v>
      </c>
      <c r="Y96" s="58">
        <v>0</v>
      </c>
      <c r="Z96" s="88">
        <v>0</v>
      </c>
      <c r="AA96" s="88">
        <f>VLOOKUP(B96,'Renseanlæg 2022'!L:M,2,FALSE)</f>
        <v>8926526.670564333</v>
      </c>
      <c r="AB96" s="58">
        <v>0</v>
      </c>
      <c r="AC96" s="141">
        <v>1118</v>
      </c>
      <c r="AD96" s="119">
        <v>0</v>
      </c>
      <c r="AE96" s="145">
        <v>69</v>
      </c>
      <c r="AF96" s="141">
        <v>503</v>
      </c>
      <c r="AG96" s="119">
        <v>114</v>
      </c>
      <c r="AH96" s="58">
        <v>0</v>
      </c>
      <c r="AI96" s="88">
        <v>9213</v>
      </c>
      <c r="AJ96" s="88">
        <v>2051944.91</v>
      </c>
      <c r="AK96" s="165" t="s">
        <v>317</v>
      </c>
      <c r="AL96" s="88">
        <v>17940</v>
      </c>
      <c r="AM96" s="48"/>
      <c r="AN96" s="121">
        <v>8672819.6551092081</v>
      </c>
      <c r="AO96" s="166">
        <v>0</v>
      </c>
      <c r="AP96" s="118">
        <v>3694932.5279797548</v>
      </c>
      <c r="AQ96" s="203"/>
    </row>
    <row r="97" spans="1:43" x14ac:dyDescent="0.25">
      <c r="A97" s="202" t="s">
        <v>205</v>
      </c>
      <c r="B97" s="202" t="s">
        <v>206</v>
      </c>
      <c r="C97" s="141">
        <f t="shared" si="10"/>
        <v>3388434.3803879996</v>
      </c>
      <c r="D97" s="119">
        <f t="shared" si="11"/>
        <v>3175858.5951000005</v>
      </c>
      <c r="E97" s="119">
        <f t="shared" si="12"/>
        <v>382008.98340000003</v>
      </c>
      <c r="F97" s="119">
        <f t="shared" si="13"/>
        <v>228490.80900000001</v>
      </c>
      <c r="G97" s="119">
        <f t="shared" si="14"/>
        <v>0</v>
      </c>
      <c r="H97" s="119">
        <f t="shared" si="15"/>
        <v>0</v>
      </c>
      <c r="I97" s="119">
        <f t="shared" si="19"/>
        <v>0</v>
      </c>
      <c r="J97" s="119">
        <f t="shared" si="16"/>
        <v>0</v>
      </c>
      <c r="K97" s="119">
        <f t="shared" si="17"/>
        <v>1203485.9328334839</v>
      </c>
      <c r="L97" s="159">
        <f t="shared" si="18"/>
        <v>2514280.9162810734</v>
      </c>
      <c r="M97" s="164">
        <v>2.6536891308206616E-2</v>
      </c>
      <c r="N97" s="267">
        <v>321</v>
      </c>
      <c r="O97" s="268">
        <v>641</v>
      </c>
      <c r="P97" s="268">
        <v>0</v>
      </c>
      <c r="Q97" s="268">
        <v>0</v>
      </c>
      <c r="R97" s="269">
        <v>1.04</v>
      </c>
      <c r="S97" s="141">
        <v>186</v>
      </c>
      <c r="T97" s="119">
        <v>7</v>
      </c>
      <c r="U97" s="119">
        <v>78</v>
      </c>
      <c r="V97" s="119">
        <v>2384</v>
      </c>
      <c r="W97" s="145">
        <v>0</v>
      </c>
      <c r="X97" s="141">
        <v>61468</v>
      </c>
      <c r="Y97" s="58">
        <v>114422</v>
      </c>
      <c r="Z97" s="88">
        <v>37329</v>
      </c>
      <c r="AA97" s="88">
        <f>VLOOKUP(B97,'Renseanlæg 2022'!L:M,2,FALSE)</f>
        <v>0</v>
      </c>
      <c r="AB97" s="58">
        <v>0</v>
      </c>
      <c r="AC97" s="141">
        <v>0</v>
      </c>
      <c r="AD97" s="119">
        <v>0</v>
      </c>
      <c r="AE97" s="145">
        <v>0</v>
      </c>
      <c r="AF97" s="141">
        <v>0</v>
      </c>
      <c r="AG97" s="119">
        <v>0</v>
      </c>
      <c r="AH97" s="58">
        <v>0</v>
      </c>
      <c r="AI97" s="88">
        <v>9213</v>
      </c>
      <c r="AJ97" s="88">
        <v>1834389</v>
      </c>
      <c r="AK97" s="165" t="s">
        <v>315</v>
      </c>
      <c r="AL97" s="88">
        <v>17940</v>
      </c>
      <c r="AM97" s="48"/>
      <c r="AN97" s="121">
        <v>0</v>
      </c>
      <c r="AO97" s="166">
        <v>83697185.157243907</v>
      </c>
      <c r="AP97" s="118">
        <v>2642706.6666666665</v>
      </c>
      <c r="AQ97" s="203"/>
    </row>
    <row r="98" spans="1:43" x14ac:dyDescent="0.25">
      <c r="A98" s="202" t="s">
        <v>207</v>
      </c>
      <c r="B98" s="202" t="s">
        <v>208</v>
      </c>
      <c r="C98" s="141">
        <f t="shared" si="10"/>
        <v>10164367.359687001</v>
      </c>
      <c r="D98" s="119">
        <f t="shared" si="11"/>
        <v>10442484.541100001</v>
      </c>
      <c r="E98" s="119">
        <f t="shared" si="12"/>
        <v>1972195.6461999998</v>
      </c>
      <c r="F98" s="119">
        <f t="shared" si="13"/>
        <v>240647.11500000002</v>
      </c>
      <c r="G98" s="119">
        <f t="shared" si="14"/>
        <v>21736053.070141468</v>
      </c>
      <c r="H98" s="119">
        <f t="shared" si="15"/>
        <v>297773.52799999999</v>
      </c>
      <c r="I98" s="119">
        <f t="shared" si="19"/>
        <v>2172986.18725</v>
      </c>
      <c r="J98" s="119">
        <f t="shared" si="16"/>
        <v>3230635.7746000001</v>
      </c>
      <c r="K98" s="119">
        <f t="shared" si="17"/>
        <v>2058291.1560903436</v>
      </c>
      <c r="L98" s="159">
        <f t="shared" si="18"/>
        <v>9861248.8216713704</v>
      </c>
      <c r="M98" s="164">
        <v>3.5531056169759698E-2</v>
      </c>
      <c r="N98" s="267">
        <v>660.49</v>
      </c>
      <c r="O98" s="268">
        <v>1587.18</v>
      </c>
      <c r="P98" s="268">
        <v>99.51</v>
      </c>
      <c r="Q98" s="268">
        <v>0</v>
      </c>
      <c r="R98" s="269">
        <v>4.47</v>
      </c>
      <c r="S98" s="141">
        <v>596</v>
      </c>
      <c r="T98" s="119">
        <v>262</v>
      </c>
      <c r="U98" s="119">
        <v>157</v>
      </c>
      <c r="V98" s="119">
        <v>625</v>
      </c>
      <c r="W98" s="145">
        <v>9245</v>
      </c>
      <c r="X98" s="141">
        <v>325507</v>
      </c>
      <c r="Y98" s="58">
        <v>585936</v>
      </c>
      <c r="Z98" s="88">
        <v>39315</v>
      </c>
      <c r="AA98" s="88">
        <f>VLOOKUP(B98,'Renseanlæg 2022'!L:M,2,FALSE)</f>
        <v>21736053.070141468</v>
      </c>
      <c r="AB98" s="58">
        <v>104</v>
      </c>
      <c r="AC98" s="141">
        <v>643</v>
      </c>
      <c r="AD98" s="119">
        <v>1570</v>
      </c>
      <c r="AE98" s="145">
        <v>30.7</v>
      </c>
      <c r="AF98" s="141">
        <v>2902</v>
      </c>
      <c r="AG98" s="119">
        <v>0</v>
      </c>
      <c r="AH98" s="58">
        <v>0</v>
      </c>
      <c r="AI98" s="88">
        <v>35945</v>
      </c>
      <c r="AJ98" s="88">
        <v>5371655</v>
      </c>
      <c r="AK98" s="165" t="s">
        <v>316</v>
      </c>
      <c r="AL98" s="88">
        <v>57399</v>
      </c>
      <c r="AM98" s="48"/>
      <c r="AN98" s="121">
        <v>20529808.751528721</v>
      </c>
      <c r="AO98" s="166">
        <v>219900557.11166671</v>
      </c>
      <c r="AP98" s="118">
        <v>3438109.6440129448</v>
      </c>
      <c r="AQ98" s="203"/>
    </row>
    <row r="99" spans="1:43" x14ac:dyDescent="0.25">
      <c r="A99" s="202" t="s">
        <v>209</v>
      </c>
      <c r="B99" s="202" t="s">
        <v>210</v>
      </c>
      <c r="C99" s="141">
        <f t="shared" si="10"/>
        <v>7781479.4717240008</v>
      </c>
      <c r="D99" s="119">
        <f t="shared" si="11"/>
        <v>10847901.7914</v>
      </c>
      <c r="E99" s="119">
        <f t="shared" si="12"/>
        <v>1074818.0287000001</v>
      </c>
      <c r="F99" s="119">
        <f t="shared" si="13"/>
        <v>74694.563000000009</v>
      </c>
      <c r="G99" s="119">
        <f t="shared" si="14"/>
        <v>16244836.826046316</v>
      </c>
      <c r="H99" s="119">
        <f t="shared" si="15"/>
        <v>0</v>
      </c>
      <c r="I99" s="119">
        <f t="shared" si="19"/>
        <v>2165248.0811000001</v>
      </c>
      <c r="J99" s="119">
        <f t="shared" si="16"/>
        <v>2193072.5405999999</v>
      </c>
      <c r="K99" s="119">
        <f t="shared" si="17"/>
        <v>1689965.9671414122</v>
      </c>
      <c r="L99" s="159">
        <f t="shared" si="18"/>
        <v>6647405.2325821966</v>
      </c>
      <c r="M99" s="164">
        <v>2.4247632450140146E-2</v>
      </c>
      <c r="N99" s="267">
        <v>396</v>
      </c>
      <c r="O99" s="268">
        <v>885.8</v>
      </c>
      <c r="P99" s="268">
        <v>69.92</v>
      </c>
      <c r="Q99" s="268">
        <v>0</v>
      </c>
      <c r="R99" s="269">
        <v>9</v>
      </c>
      <c r="S99" s="141">
        <v>142</v>
      </c>
      <c r="T99" s="119">
        <v>102</v>
      </c>
      <c r="U99" s="119">
        <v>294</v>
      </c>
      <c r="V99" s="119">
        <v>5016</v>
      </c>
      <c r="W99" s="145">
        <v>4142</v>
      </c>
      <c r="X99" s="141">
        <v>134117</v>
      </c>
      <c r="Y99" s="58">
        <v>344711</v>
      </c>
      <c r="Z99" s="88">
        <v>12203</v>
      </c>
      <c r="AA99" s="88">
        <f>VLOOKUP(B99,'Renseanlæg 2022'!L:M,2,FALSE)</f>
        <v>16244836.826046316</v>
      </c>
      <c r="AB99" s="58">
        <v>0</v>
      </c>
      <c r="AC99" s="141">
        <v>0</v>
      </c>
      <c r="AD99" s="119">
        <v>1859</v>
      </c>
      <c r="AE99" s="145">
        <v>0</v>
      </c>
      <c r="AF99" s="141">
        <v>1245</v>
      </c>
      <c r="AG99" s="119">
        <v>0</v>
      </c>
      <c r="AH99" s="58">
        <v>315</v>
      </c>
      <c r="AI99" s="88">
        <v>21798</v>
      </c>
      <c r="AJ99" s="88">
        <v>3599462.72</v>
      </c>
      <c r="AK99" s="165" t="s">
        <v>316</v>
      </c>
      <c r="AL99" s="88">
        <v>21021</v>
      </c>
      <c r="AM99" s="48"/>
      <c r="AN99" s="121">
        <v>16273742.81307851</v>
      </c>
      <c r="AO99" s="166">
        <v>126731832.86666669</v>
      </c>
      <c r="AP99" s="118">
        <v>5420946.666666666</v>
      </c>
      <c r="AQ99" s="203"/>
    </row>
    <row r="100" spans="1:43" x14ac:dyDescent="0.25">
      <c r="A100" s="202" t="s">
        <v>211</v>
      </c>
      <c r="B100" s="202" t="s">
        <v>212</v>
      </c>
      <c r="C100" s="141">
        <f t="shared" si="10"/>
        <v>4206267.6635980001</v>
      </c>
      <c r="D100" s="119">
        <f t="shared" si="11"/>
        <v>4023706.2387000001</v>
      </c>
      <c r="E100" s="119">
        <f t="shared" si="12"/>
        <v>778100.39</v>
      </c>
      <c r="F100" s="119">
        <f t="shared" si="13"/>
        <v>88815.71</v>
      </c>
      <c r="G100" s="119">
        <f t="shared" si="14"/>
        <v>13578151.899962686</v>
      </c>
      <c r="H100" s="119">
        <f t="shared" si="15"/>
        <v>0</v>
      </c>
      <c r="I100" s="119">
        <f t="shared" si="19"/>
        <v>1438349.4055999999</v>
      </c>
      <c r="J100" s="119">
        <f t="shared" si="16"/>
        <v>1776557.0655999999</v>
      </c>
      <c r="K100" s="119">
        <f t="shared" si="17"/>
        <v>1457944.0360472966</v>
      </c>
      <c r="L100" s="159">
        <f t="shared" si="18"/>
        <v>3868873.8493915098</v>
      </c>
      <c r="M100" s="164">
        <v>3.340699989028386E-2</v>
      </c>
      <c r="N100" s="267">
        <v>362.96</v>
      </c>
      <c r="O100" s="268">
        <v>718.38</v>
      </c>
      <c r="P100" s="268">
        <v>0</v>
      </c>
      <c r="Q100" s="268">
        <v>0</v>
      </c>
      <c r="R100" s="269">
        <v>2.6</v>
      </c>
      <c r="S100" s="141">
        <v>44</v>
      </c>
      <c r="T100" s="119">
        <v>23</v>
      </c>
      <c r="U100" s="119">
        <v>94</v>
      </c>
      <c r="V100" s="119">
        <v>2900</v>
      </c>
      <c r="W100" s="145">
        <v>2520</v>
      </c>
      <c r="X100" s="141">
        <v>313383</v>
      </c>
      <c r="Y100" s="58">
        <v>122690</v>
      </c>
      <c r="Z100" s="88">
        <v>14510</v>
      </c>
      <c r="AA100" s="88">
        <f>VLOOKUP(B100,'Renseanlæg 2022'!L:M,2,FALSE)</f>
        <v>13578151.899962686</v>
      </c>
      <c r="AB100" s="58">
        <v>0</v>
      </c>
      <c r="AC100" s="141">
        <v>1193</v>
      </c>
      <c r="AD100" s="119">
        <v>480</v>
      </c>
      <c r="AE100" s="145">
        <v>0</v>
      </c>
      <c r="AF100" s="141">
        <v>1444</v>
      </c>
      <c r="AG100" s="119">
        <v>0</v>
      </c>
      <c r="AH100" s="58">
        <v>0</v>
      </c>
      <c r="AI100" s="88">
        <v>14987</v>
      </c>
      <c r="AJ100" s="88">
        <v>2077852</v>
      </c>
      <c r="AK100" s="165" t="s">
        <v>316</v>
      </c>
      <c r="AL100" s="88">
        <v>21314</v>
      </c>
      <c r="AM100" s="48"/>
      <c r="AN100" s="121">
        <v>19440594.233793501</v>
      </c>
      <c r="AO100" s="166">
        <v>81900367.875</v>
      </c>
      <c r="AP100" s="118">
        <v>1791053.3333333333</v>
      </c>
      <c r="AQ100" s="203"/>
    </row>
    <row r="101" spans="1:43" x14ac:dyDescent="0.25">
      <c r="A101" s="202" t="s">
        <v>213</v>
      </c>
      <c r="B101" s="202" t="s">
        <v>214</v>
      </c>
      <c r="C101" s="141">
        <f t="shared" si="10"/>
        <v>3056897.3344533998</v>
      </c>
      <c r="D101" s="119">
        <f t="shared" si="11"/>
        <v>9792722.4382000007</v>
      </c>
      <c r="E101" s="119">
        <f t="shared" si="12"/>
        <v>464728.08290000004</v>
      </c>
      <c r="F101" s="119">
        <f t="shared" si="13"/>
        <v>1255888.4170000001</v>
      </c>
      <c r="G101" s="119">
        <f t="shared" si="14"/>
        <v>10071861.204428306</v>
      </c>
      <c r="H101" s="119">
        <f t="shared" si="15"/>
        <v>57264.14</v>
      </c>
      <c r="I101" s="119">
        <f t="shared" si="19"/>
        <v>3173030.8270999999</v>
      </c>
      <c r="J101" s="119">
        <f t="shared" si="16"/>
        <v>4083336.2521000002</v>
      </c>
      <c r="K101" s="119">
        <f t="shared" si="17"/>
        <v>1642045.4764853849</v>
      </c>
      <c r="L101" s="159">
        <f t="shared" si="18"/>
        <v>3444129.0528351218</v>
      </c>
      <c r="M101" s="164">
        <v>3.6496350364963508E-2</v>
      </c>
      <c r="N101" s="267">
        <v>423.49</v>
      </c>
      <c r="O101" s="268">
        <v>441.09</v>
      </c>
      <c r="P101" s="268">
        <v>0</v>
      </c>
      <c r="Q101" s="268">
        <v>0</v>
      </c>
      <c r="R101" s="269">
        <v>1.6220000000000001</v>
      </c>
      <c r="S101" s="141">
        <v>40</v>
      </c>
      <c r="T101" s="119">
        <v>435</v>
      </c>
      <c r="U101" s="119">
        <v>199</v>
      </c>
      <c r="V101" s="119">
        <v>700</v>
      </c>
      <c r="W101" s="145">
        <v>0</v>
      </c>
      <c r="X101" s="141">
        <v>37101</v>
      </c>
      <c r="Y101" s="58">
        <v>161297</v>
      </c>
      <c r="Z101" s="88">
        <v>205177</v>
      </c>
      <c r="AA101" s="88">
        <f>VLOOKUP(B101,'Renseanlæg 2022'!L:M,2,FALSE)</f>
        <v>10071861.204428306</v>
      </c>
      <c r="AB101" s="58">
        <v>20</v>
      </c>
      <c r="AC101" s="141">
        <v>916</v>
      </c>
      <c r="AD101" s="119">
        <v>2841</v>
      </c>
      <c r="AE101" s="145">
        <v>0</v>
      </c>
      <c r="AF101" s="141">
        <v>3757</v>
      </c>
      <c r="AG101" s="119">
        <v>0</v>
      </c>
      <c r="AH101" s="58">
        <v>0</v>
      </c>
      <c r="AI101" s="88">
        <v>20264</v>
      </c>
      <c r="AJ101" s="88">
        <v>1846484</v>
      </c>
      <c r="AK101" s="165" t="s">
        <v>316</v>
      </c>
      <c r="AL101" s="88">
        <v>23380</v>
      </c>
      <c r="AM101" s="48"/>
      <c r="AN101" s="121">
        <v>9209569.775413882</v>
      </c>
      <c r="AO101" s="166">
        <v>84848990.166666657</v>
      </c>
      <c r="AP101" s="118">
        <v>1755933.3333333333</v>
      </c>
      <c r="AQ101" s="203"/>
    </row>
    <row r="102" spans="1:43" x14ac:dyDescent="0.25">
      <c r="A102" s="202" t="s">
        <v>215</v>
      </c>
      <c r="B102" s="202" t="s">
        <v>216</v>
      </c>
      <c r="C102" s="141">
        <f t="shared" si="10"/>
        <v>17432645.502151001</v>
      </c>
      <c r="D102" s="119">
        <f t="shared" si="11"/>
        <v>7172656.4149000002</v>
      </c>
      <c r="E102" s="119">
        <f t="shared" si="12"/>
        <v>1848624.3865999999</v>
      </c>
      <c r="F102" s="119">
        <f t="shared" si="13"/>
        <v>142496.88</v>
      </c>
      <c r="G102" s="119">
        <f t="shared" si="14"/>
        <v>26703283.995403122</v>
      </c>
      <c r="H102" s="119">
        <f t="shared" si="15"/>
        <v>105938.659</v>
      </c>
      <c r="I102" s="119">
        <f t="shared" si="19"/>
        <v>7462648.6187000005</v>
      </c>
      <c r="J102" s="119">
        <f t="shared" si="16"/>
        <v>9977792.2700469997</v>
      </c>
      <c r="K102" s="119">
        <f t="shared" si="17"/>
        <v>2425874.8215894336</v>
      </c>
      <c r="L102" s="159">
        <f t="shared" si="18"/>
        <v>21203052.287167139</v>
      </c>
      <c r="M102" s="164">
        <v>8.3894742559200527E-2</v>
      </c>
      <c r="N102" s="267">
        <v>611.25</v>
      </c>
      <c r="O102" s="268">
        <v>1739.21</v>
      </c>
      <c r="P102" s="268">
        <v>116.95</v>
      </c>
      <c r="Q102" s="268">
        <v>160.07</v>
      </c>
      <c r="R102" s="269">
        <v>18.940000000000001</v>
      </c>
      <c r="S102" s="141">
        <v>7</v>
      </c>
      <c r="T102" s="119">
        <v>158</v>
      </c>
      <c r="U102" s="119">
        <v>121</v>
      </c>
      <c r="V102" s="119">
        <v>5720</v>
      </c>
      <c r="W102" s="145">
        <v>3624</v>
      </c>
      <c r="X102" s="141">
        <v>116210</v>
      </c>
      <c r="Y102" s="58">
        <v>660018</v>
      </c>
      <c r="Z102" s="88">
        <v>23280</v>
      </c>
      <c r="AA102" s="88">
        <f>VLOOKUP(B102,'Renseanlæg 2022'!L:M,2,FALSE)</f>
        <v>26703283.995403122</v>
      </c>
      <c r="AB102" s="58">
        <v>37</v>
      </c>
      <c r="AC102" s="141">
        <v>0</v>
      </c>
      <c r="AD102" s="119">
        <v>8763</v>
      </c>
      <c r="AE102" s="145">
        <v>0</v>
      </c>
      <c r="AF102" s="141">
        <v>0</v>
      </c>
      <c r="AG102" s="119">
        <v>688.05</v>
      </c>
      <c r="AH102" s="58">
        <v>3900.29</v>
      </c>
      <c r="AI102" s="88">
        <v>54534</v>
      </c>
      <c r="AJ102" s="88">
        <v>11684315</v>
      </c>
      <c r="AK102" s="165" t="s">
        <v>316</v>
      </c>
      <c r="AL102" s="88">
        <v>154467</v>
      </c>
      <c r="AM102" s="48"/>
      <c r="AN102" s="121">
        <v>39501780.210663483</v>
      </c>
      <c r="AO102" s="166">
        <v>209522626.2723332</v>
      </c>
      <c r="AP102" s="118">
        <v>0</v>
      </c>
      <c r="AQ102" s="203"/>
    </row>
    <row r="103" spans="1:43" x14ac:dyDescent="0.25">
      <c r="A103" s="202" t="s">
        <v>217</v>
      </c>
      <c r="B103" s="202" t="s">
        <v>218</v>
      </c>
      <c r="C103" s="141">
        <f t="shared" si="10"/>
        <v>21759349.518100001</v>
      </c>
      <c r="D103" s="119">
        <f t="shared" si="11"/>
        <v>7458724.3173999991</v>
      </c>
      <c r="E103" s="119">
        <f t="shared" si="12"/>
        <v>5705119.4864999996</v>
      </c>
      <c r="F103" s="119">
        <f t="shared" si="13"/>
        <v>642680.51600000006</v>
      </c>
      <c r="G103" s="119">
        <f t="shared" si="14"/>
        <v>36423081.630077787</v>
      </c>
      <c r="H103" s="119">
        <f t="shared" si="15"/>
        <v>638495.16099999996</v>
      </c>
      <c r="I103" s="119">
        <f t="shared" si="19"/>
        <v>9605701.8779000007</v>
      </c>
      <c r="J103" s="119">
        <f t="shared" si="16"/>
        <v>12105486.172699999</v>
      </c>
      <c r="K103" s="119">
        <f t="shared" si="17"/>
        <v>2973435.3574840957</v>
      </c>
      <c r="L103" s="159">
        <f t="shared" si="18"/>
        <v>27761748.608772215</v>
      </c>
      <c r="M103" s="164">
        <v>8.7961256117455144E-2</v>
      </c>
      <c r="N103" s="267">
        <v>466</v>
      </c>
      <c r="O103" s="268">
        <v>3008</v>
      </c>
      <c r="P103" s="268">
        <v>292</v>
      </c>
      <c r="Q103" s="268">
        <v>253</v>
      </c>
      <c r="R103" s="269">
        <v>4</v>
      </c>
      <c r="S103" s="141">
        <v>467</v>
      </c>
      <c r="T103" s="119">
        <v>68</v>
      </c>
      <c r="U103" s="119">
        <v>68</v>
      </c>
      <c r="V103" s="119">
        <v>2242</v>
      </c>
      <c r="W103" s="145">
        <v>14360</v>
      </c>
      <c r="X103" s="141">
        <v>466966</v>
      </c>
      <c r="Y103" s="58">
        <v>1973375</v>
      </c>
      <c r="Z103" s="88">
        <v>104996</v>
      </c>
      <c r="AA103" s="88">
        <f>VLOOKUP(B103,'Renseanlæg 2022'!L:M,2,FALSE)</f>
        <v>36423081.630077787</v>
      </c>
      <c r="AB103" s="58">
        <v>223</v>
      </c>
      <c r="AC103" s="141">
        <v>0</v>
      </c>
      <c r="AD103" s="119">
        <v>11556</v>
      </c>
      <c r="AE103" s="145">
        <v>0</v>
      </c>
      <c r="AF103" s="141">
        <v>3643</v>
      </c>
      <c r="AG103" s="119">
        <v>2762</v>
      </c>
      <c r="AH103" s="58">
        <v>0</v>
      </c>
      <c r="AI103" s="88">
        <v>91389</v>
      </c>
      <c r="AJ103" s="88">
        <v>15361092</v>
      </c>
      <c r="AK103" s="165" t="s">
        <v>316</v>
      </c>
      <c r="AL103" s="88">
        <v>215681</v>
      </c>
      <c r="AM103" s="48"/>
      <c r="AN103" s="121">
        <v>45632569.323249765</v>
      </c>
      <c r="AO103" s="166">
        <v>357840780.99999982</v>
      </c>
      <c r="AP103" s="118">
        <v>8337133.333333333</v>
      </c>
      <c r="AQ103" s="203"/>
    </row>
    <row r="104" spans="1:43" x14ac:dyDescent="0.25">
      <c r="A104" s="202" t="s">
        <v>219</v>
      </c>
      <c r="B104" s="202" t="s">
        <v>220</v>
      </c>
      <c r="C104" s="141">
        <f t="shared" si="10"/>
        <v>0</v>
      </c>
      <c r="D104" s="119">
        <f t="shared" si="11"/>
        <v>0</v>
      </c>
      <c r="E104" s="119">
        <f t="shared" si="12"/>
        <v>0</v>
      </c>
      <c r="F104" s="119">
        <f t="shared" si="13"/>
        <v>0</v>
      </c>
      <c r="G104" s="119">
        <f t="shared" si="14"/>
        <v>16418057.401595186</v>
      </c>
      <c r="H104" s="119">
        <f t="shared" si="15"/>
        <v>0</v>
      </c>
      <c r="I104" s="119">
        <f t="shared" si="19"/>
        <v>1916524.4282</v>
      </c>
      <c r="J104" s="119">
        <f t="shared" si="16"/>
        <v>2127610.3615999999</v>
      </c>
      <c r="K104" s="119">
        <f t="shared" si="17"/>
        <v>50787.322169710002</v>
      </c>
      <c r="L104" s="159">
        <f t="shared" si="18"/>
        <v>2225077.2700307658</v>
      </c>
      <c r="M104" s="164">
        <v>0</v>
      </c>
      <c r="N104" s="267">
        <v>0</v>
      </c>
      <c r="O104" s="268">
        <v>0</v>
      </c>
      <c r="P104" s="268">
        <v>0</v>
      </c>
      <c r="Q104" s="268">
        <v>0</v>
      </c>
      <c r="R104" s="269">
        <v>0</v>
      </c>
      <c r="S104" s="141">
        <v>0</v>
      </c>
      <c r="T104" s="119">
        <v>0</v>
      </c>
      <c r="U104" s="119">
        <v>0</v>
      </c>
      <c r="V104" s="119">
        <v>0</v>
      </c>
      <c r="W104" s="145">
        <v>0</v>
      </c>
      <c r="X104" s="141">
        <v>0</v>
      </c>
      <c r="Y104" s="58">
        <v>0</v>
      </c>
      <c r="Z104" s="88">
        <v>0</v>
      </c>
      <c r="AA104" s="88">
        <f>VLOOKUP(B104,'Renseanlæg 2022'!L:M,2,FALSE)</f>
        <v>16418057.401595186</v>
      </c>
      <c r="AB104" s="58">
        <v>0</v>
      </c>
      <c r="AC104" s="141">
        <v>1235</v>
      </c>
      <c r="AD104" s="119">
        <v>1088</v>
      </c>
      <c r="AE104" s="145">
        <v>0</v>
      </c>
      <c r="AF104" s="141">
        <v>1796</v>
      </c>
      <c r="AG104" s="119">
        <v>0</v>
      </c>
      <c r="AH104" s="58">
        <v>0</v>
      </c>
      <c r="AI104" s="88">
        <v>3</v>
      </c>
      <c r="AJ104" s="88">
        <v>2545711</v>
      </c>
      <c r="AK104" s="165" t="s">
        <v>317</v>
      </c>
      <c r="AL104" s="88">
        <v>3</v>
      </c>
      <c r="AM104" s="48"/>
      <c r="AN104" s="121">
        <v>13765877.859605113</v>
      </c>
      <c r="AO104" s="166">
        <v>0</v>
      </c>
      <c r="AP104" s="118">
        <v>827426.66666666663</v>
      </c>
      <c r="AQ104" s="203"/>
    </row>
    <row r="105" spans="1:43" ht="15.75" thickBot="1" x14ac:dyDescent="0.3">
      <c r="A105" s="205" t="s">
        <v>221</v>
      </c>
      <c r="B105" s="205" t="s">
        <v>222</v>
      </c>
      <c r="C105" s="151">
        <f t="shared" si="10"/>
        <v>0</v>
      </c>
      <c r="D105" s="129">
        <f t="shared" si="11"/>
        <v>0</v>
      </c>
      <c r="E105" s="129">
        <f t="shared" si="12"/>
        <v>0</v>
      </c>
      <c r="F105" s="129">
        <f t="shared" si="13"/>
        <v>73452</v>
      </c>
      <c r="G105" s="129">
        <f t="shared" si="14"/>
        <v>6633188.9220075347</v>
      </c>
      <c r="H105" s="129">
        <f t="shared" si="15"/>
        <v>0</v>
      </c>
      <c r="I105" s="129">
        <f t="shared" si="19"/>
        <v>2255788.8202999998</v>
      </c>
      <c r="J105" s="129">
        <f t="shared" si="16"/>
        <v>1716718.4356</v>
      </c>
      <c r="K105" s="129">
        <f t="shared" si="17"/>
        <v>66745.399825033237</v>
      </c>
      <c r="L105" s="169">
        <f t="shared" si="18"/>
        <v>1469196.9144290523</v>
      </c>
      <c r="M105" s="170">
        <v>0</v>
      </c>
      <c r="N105" s="275">
        <v>0</v>
      </c>
      <c r="O105" s="276">
        <v>0</v>
      </c>
      <c r="P105" s="276">
        <v>0</v>
      </c>
      <c r="Q105" s="276">
        <v>0</v>
      </c>
      <c r="R105" s="277">
        <v>0</v>
      </c>
      <c r="S105" s="151">
        <v>0</v>
      </c>
      <c r="T105" s="129">
        <v>0</v>
      </c>
      <c r="U105" s="129">
        <v>0</v>
      </c>
      <c r="V105" s="129">
        <v>0</v>
      </c>
      <c r="W105" s="155">
        <v>0</v>
      </c>
      <c r="X105" s="151">
        <v>0</v>
      </c>
      <c r="Y105" s="152">
        <v>0</v>
      </c>
      <c r="Z105" s="108">
        <v>12000</v>
      </c>
      <c r="AA105" s="108">
        <f>VLOOKUP(B105,'Renseanlæg 2022'!L:M,2,FALSE)</f>
        <v>6633188.9220075347</v>
      </c>
      <c r="AB105" s="152">
        <v>0</v>
      </c>
      <c r="AC105" s="151">
        <v>0</v>
      </c>
      <c r="AD105" s="129">
        <v>1977</v>
      </c>
      <c r="AE105" s="155">
        <v>0</v>
      </c>
      <c r="AF105" s="151">
        <v>1384</v>
      </c>
      <c r="AG105" s="129">
        <v>0</v>
      </c>
      <c r="AH105" s="152">
        <v>0</v>
      </c>
      <c r="AI105" s="108">
        <v>6</v>
      </c>
      <c r="AJ105" s="108">
        <v>1361053</v>
      </c>
      <c r="AK105" s="171" t="s">
        <v>317</v>
      </c>
      <c r="AL105" s="108">
        <v>6</v>
      </c>
      <c r="AM105" s="48"/>
      <c r="AN105" s="131">
        <v>15993175.517309209</v>
      </c>
      <c r="AO105" s="172">
        <v>1632000</v>
      </c>
      <c r="AP105" s="128">
        <v>582560</v>
      </c>
      <c r="AQ105" s="203"/>
    </row>
    <row r="106" spans="1:43" x14ac:dyDescent="0.25">
      <c r="A106" s="71"/>
      <c r="B106" s="71"/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283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1"/>
      <c r="AI106" s="71"/>
      <c r="AJ106" s="71"/>
      <c r="AK106" s="71"/>
      <c r="AL106" s="71"/>
      <c r="AM106" s="48"/>
      <c r="AN106" s="284"/>
      <c r="AO106" s="284"/>
      <c r="AP106" s="284"/>
      <c r="AQ106" s="48"/>
    </row>
  </sheetData>
  <mergeCells count="11">
    <mergeCell ref="AJ2:AK2"/>
    <mergeCell ref="A1:A3"/>
    <mergeCell ref="B1:B3"/>
    <mergeCell ref="AN1:AP1"/>
    <mergeCell ref="C2:L2"/>
    <mergeCell ref="M2:M3"/>
    <mergeCell ref="N2:R2"/>
    <mergeCell ref="S2:W2"/>
    <mergeCell ref="X2:Y2"/>
    <mergeCell ref="AC2:AE2"/>
    <mergeCell ref="AF2:AH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456F9-EEE6-4671-936C-7B3119E35189}">
  <sheetPr codeName="Ark11"/>
  <dimension ref="A1:AQ276"/>
  <sheetViews>
    <sheetView zoomScale="80" zoomScaleNormal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A3"/>
    </sheetView>
  </sheetViews>
  <sheetFormatPr defaultRowHeight="15" x14ac:dyDescent="0.25"/>
  <cols>
    <col min="1" max="1" width="35.5703125" customWidth="1"/>
    <col min="2" max="2" width="13.140625" customWidth="1"/>
    <col min="3" max="3" width="13.5703125" customWidth="1"/>
    <col min="4" max="4" width="16.5703125" customWidth="1"/>
    <col min="5" max="5" width="12" customWidth="1"/>
    <col min="6" max="6" width="13.85546875" customWidth="1"/>
    <col min="7" max="7" width="14.7109375" customWidth="1"/>
    <col min="8" max="8" width="17.5703125" customWidth="1"/>
    <col min="9" max="9" width="17.28515625" customWidth="1"/>
    <col min="10" max="10" width="18.28515625" customWidth="1"/>
    <col min="11" max="12" width="14.7109375" customWidth="1"/>
    <col min="13" max="13" width="14.5703125" customWidth="1"/>
    <col min="14" max="14" width="14.85546875" customWidth="1"/>
    <col min="15" max="15" width="13.85546875" customWidth="1"/>
    <col min="16" max="16" width="13.42578125" customWidth="1"/>
    <col min="17" max="17" width="12.7109375" customWidth="1"/>
    <col min="18" max="18" width="12.140625" customWidth="1"/>
    <col min="19" max="19" width="12.5703125" customWidth="1"/>
    <col min="20" max="20" width="13.140625" customWidth="1"/>
    <col min="21" max="21" width="14.7109375" customWidth="1"/>
    <col min="22" max="22" width="18.5703125" customWidth="1"/>
    <col min="23" max="23" width="12.42578125" customWidth="1"/>
    <col min="24" max="24" width="18.85546875" customWidth="1"/>
    <col min="25" max="25" width="18.42578125" customWidth="1"/>
    <col min="26" max="26" width="25.140625" customWidth="1"/>
    <col min="27" max="27" width="19.5703125" customWidth="1"/>
    <col min="28" max="28" width="20.7109375" customWidth="1"/>
    <col min="29" max="30" width="14.5703125" customWidth="1"/>
    <col min="31" max="31" width="16.7109375" customWidth="1"/>
    <col min="32" max="32" width="15.7109375" customWidth="1"/>
    <col min="33" max="33" width="14.140625" customWidth="1"/>
    <col min="34" max="34" width="13.28515625" customWidth="1"/>
    <col min="35" max="35" width="22.7109375" customWidth="1"/>
    <col min="36" max="36" width="16.85546875" customWidth="1"/>
    <col min="37" max="37" width="16.140625" customWidth="1"/>
    <col min="38" max="38" width="15.42578125" customWidth="1"/>
    <col min="40" max="41" width="13" bestFit="1" customWidth="1"/>
    <col min="42" max="42" width="12.7109375" customWidth="1"/>
    <col min="43" max="43" width="14.5703125" bestFit="1" customWidth="1"/>
  </cols>
  <sheetData>
    <row r="1" spans="1:43" ht="45.75" customHeight="1" thickBot="1" x14ac:dyDescent="0.3">
      <c r="A1" s="228" t="s">
        <v>0</v>
      </c>
      <c r="B1" s="229" t="s">
        <v>318</v>
      </c>
      <c r="C1" s="230"/>
      <c r="D1" s="231"/>
      <c r="E1" s="231"/>
      <c r="F1" s="231"/>
      <c r="G1" s="231"/>
      <c r="H1" s="231"/>
      <c r="I1" s="231"/>
      <c r="J1" s="231"/>
      <c r="K1" s="231"/>
      <c r="L1" s="232"/>
      <c r="M1" s="233"/>
      <c r="N1" s="230"/>
      <c r="O1" s="231"/>
      <c r="P1" s="231"/>
      <c r="Q1" s="231"/>
      <c r="R1" s="232"/>
      <c r="S1" s="230"/>
      <c r="T1" s="231"/>
      <c r="U1" s="231"/>
      <c r="V1" s="231"/>
      <c r="W1" s="232"/>
      <c r="X1" s="230"/>
      <c r="Y1" s="232"/>
      <c r="Z1" s="231"/>
      <c r="AA1" s="234"/>
      <c r="AB1" s="234"/>
      <c r="AC1" s="230"/>
      <c r="AD1" s="231"/>
      <c r="AE1" s="232"/>
      <c r="AF1" s="230"/>
      <c r="AG1" s="231"/>
      <c r="AH1" s="232"/>
      <c r="AI1" s="230"/>
      <c r="AJ1" s="235"/>
      <c r="AK1" s="236"/>
      <c r="AL1" s="232"/>
      <c r="AM1" s="48"/>
      <c r="AN1" s="279" t="s">
        <v>271</v>
      </c>
      <c r="AO1" s="280"/>
      <c r="AP1" s="281"/>
      <c r="AQ1" s="48"/>
    </row>
    <row r="2" spans="1:43" ht="18.399999999999999" customHeight="1" thickBot="1" x14ac:dyDescent="0.35">
      <c r="A2" s="240"/>
      <c r="B2" s="241"/>
      <c r="C2" s="242" t="s">
        <v>272</v>
      </c>
      <c r="D2" s="243"/>
      <c r="E2" s="243"/>
      <c r="F2" s="243"/>
      <c r="G2" s="243"/>
      <c r="H2" s="243"/>
      <c r="I2" s="243"/>
      <c r="J2" s="243"/>
      <c r="K2" s="243"/>
      <c r="L2" s="244"/>
      <c r="M2" s="173" t="s">
        <v>319</v>
      </c>
      <c r="N2" s="243" t="s">
        <v>274</v>
      </c>
      <c r="O2" s="243"/>
      <c r="P2" s="243"/>
      <c r="Q2" s="243"/>
      <c r="R2" s="244"/>
      <c r="S2" s="242" t="s">
        <v>275</v>
      </c>
      <c r="T2" s="243"/>
      <c r="U2" s="243"/>
      <c r="V2" s="243"/>
      <c r="W2" s="244"/>
      <c r="X2" s="242" t="s">
        <v>276</v>
      </c>
      <c r="Y2" s="244"/>
      <c r="Z2" s="245" t="s">
        <v>277</v>
      </c>
      <c r="AA2" s="246" t="s">
        <v>278</v>
      </c>
      <c r="AB2" s="246" t="s">
        <v>279</v>
      </c>
      <c r="AC2" s="242" t="s">
        <v>280</v>
      </c>
      <c r="AD2" s="243"/>
      <c r="AE2" s="244"/>
      <c r="AF2" s="242" t="s">
        <v>281</v>
      </c>
      <c r="AG2" s="243"/>
      <c r="AH2" s="244"/>
      <c r="AI2" s="247" t="s">
        <v>282</v>
      </c>
      <c r="AJ2" s="248" t="s">
        <v>283</v>
      </c>
      <c r="AK2" s="249"/>
      <c r="AL2" s="282" t="s">
        <v>284</v>
      </c>
      <c r="AM2" s="48"/>
      <c r="AN2" s="156"/>
      <c r="AO2" s="174"/>
      <c r="AP2" s="158"/>
      <c r="AQ2" s="48"/>
    </row>
    <row r="3" spans="1:43" ht="60.75" thickBot="1" x14ac:dyDescent="0.3">
      <c r="A3" s="254"/>
      <c r="B3" s="255"/>
      <c r="C3" s="256" t="s">
        <v>285</v>
      </c>
      <c r="D3" s="41" t="s">
        <v>275</v>
      </c>
      <c r="E3" s="41" t="s">
        <v>276</v>
      </c>
      <c r="F3" s="41" t="s">
        <v>277</v>
      </c>
      <c r="G3" s="41" t="s">
        <v>278</v>
      </c>
      <c r="H3" s="41" t="s">
        <v>279</v>
      </c>
      <c r="I3" s="41" t="s">
        <v>280</v>
      </c>
      <c r="J3" s="41" t="s">
        <v>281</v>
      </c>
      <c r="K3" s="41" t="s">
        <v>286</v>
      </c>
      <c r="L3" s="79" t="s">
        <v>287</v>
      </c>
      <c r="M3" s="175"/>
      <c r="N3" s="256" t="s">
        <v>288</v>
      </c>
      <c r="O3" s="41" t="s">
        <v>289</v>
      </c>
      <c r="P3" s="41" t="s">
        <v>290</v>
      </c>
      <c r="Q3" s="41" t="s">
        <v>291</v>
      </c>
      <c r="R3" s="79" t="s">
        <v>292</v>
      </c>
      <c r="S3" s="80" t="s">
        <v>293</v>
      </c>
      <c r="T3" s="115" t="s">
        <v>294</v>
      </c>
      <c r="U3" s="115" t="s">
        <v>295</v>
      </c>
      <c r="V3" s="115" t="s">
        <v>296</v>
      </c>
      <c r="W3" s="46" t="s">
        <v>297</v>
      </c>
      <c r="X3" s="285" t="s">
        <v>298</v>
      </c>
      <c r="Y3" s="79" t="s">
        <v>299</v>
      </c>
      <c r="Z3" s="286" t="s">
        <v>300</v>
      </c>
      <c r="AA3" s="43" t="s">
        <v>301</v>
      </c>
      <c r="AB3" s="43" t="s">
        <v>302</v>
      </c>
      <c r="AC3" s="287" t="s">
        <v>303</v>
      </c>
      <c r="AD3" s="81" t="s">
        <v>304</v>
      </c>
      <c r="AE3" s="44" t="s">
        <v>305</v>
      </c>
      <c r="AF3" s="287" t="s">
        <v>306</v>
      </c>
      <c r="AG3" s="81" t="s">
        <v>307</v>
      </c>
      <c r="AH3" s="44" t="s">
        <v>308</v>
      </c>
      <c r="AI3" s="43" t="s">
        <v>309</v>
      </c>
      <c r="AJ3" s="43" t="s">
        <v>310</v>
      </c>
      <c r="AK3" s="43" t="s">
        <v>311</v>
      </c>
      <c r="AL3" s="178" t="s">
        <v>284</v>
      </c>
      <c r="AM3" s="48"/>
      <c r="AN3" s="156" t="s">
        <v>312</v>
      </c>
      <c r="AO3" s="157" t="s">
        <v>313</v>
      </c>
      <c r="AP3" s="158" t="s">
        <v>314</v>
      </c>
      <c r="AQ3" s="176"/>
    </row>
    <row r="4" spans="1:43" x14ac:dyDescent="0.25">
      <c r="A4" s="234" t="s">
        <v>19</v>
      </c>
      <c r="B4" s="234" t="s">
        <v>20</v>
      </c>
      <c r="C4" s="141">
        <f>AVERAGE('Costdrivere 2021'!C4,'Costdrivere 2022'!C4)</f>
        <v>2066115.1262505001</v>
      </c>
      <c r="D4" s="119">
        <f>AVERAGE('Costdrivere 2021'!D4,'Costdrivere 2022'!D4)</f>
        <v>1295699.8928</v>
      </c>
      <c r="E4" s="119">
        <f>AVERAGE('Costdrivere 2021'!E4,'Costdrivere 2022'!E4)</f>
        <v>942474.24910000002</v>
      </c>
      <c r="F4" s="119">
        <f>AVERAGE('Costdrivere 2021'!F4,'Costdrivere 2022'!F4)</f>
        <v>27544.500000000004</v>
      </c>
      <c r="G4" s="119">
        <f>AVERAGE('Costdrivere 2021'!G4,'Costdrivere 2022'!G4)</f>
        <v>0</v>
      </c>
      <c r="H4" s="119">
        <f>AVERAGE('Costdrivere 2021'!H4,'Costdrivere 2022'!H4)</f>
        <v>0</v>
      </c>
      <c r="I4" s="119">
        <f>AVERAGE('Costdrivere 2021'!I4,'Costdrivere 2022'!I4)</f>
        <v>0</v>
      </c>
      <c r="J4" s="119">
        <f>AVERAGE('Costdrivere 2021'!J4,'Costdrivere 2022'!J4)</f>
        <v>0</v>
      </c>
      <c r="K4" s="119">
        <f>AVERAGE('Costdrivere 2021'!K4,'Costdrivere 2022'!K4)</f>
        <v>1187592.8930942428</v>
      </c>
      <c r="L4" s="159">
        <f>AVERAGE('Costdrivere 2021'!L4,'Costdrivere 2022'!L4)</f>
        <v>3706065.1130750664</v>
      </c>
      <c r="M4" s="288">
        <f>AVERAGE('Costdrivere 2021'!M4,'Costdrivere 2022'!M4)</f>
        <v>0.1323142826923992</v>
      </c>
      <c r="N4" s="141">
        <f>AVERAGE('Costdrivere 2021'!N4,'Costdrivere 2022'!N4)</f>
        <v>27.17</v>
      </c>
      <c r="O4" s="119">
        <f>AVERAGE('Costdrivere 2021'!O4,'Costdrivere 2022'!O4)</f>
        <v>393.94499999999999</v>
      </c>
      <c r="P4" s="119">
        <f>AVERAGE('Costdrivere 2021'!P4,'Costdrivere 2022'!P4)</f>
        <v>35.159999999999997</v>
      </c>
      <c r="Q4" s="119">
        <f>AVERAGE('Costdrivere 2021'!Q4,'Costdrivere 2022'!Q4)</f>
        <v>0</v>
      </c>
      <c r="R4" s="159">
        <f>AVERAGE('Costdrivere 2021'!R4,'Costdrivere 2022'!R4)</f>
        <v>0.03</v>
      </c>
      <c r="S4" s="264">
        <f>AVERAGE('Costdrivere 2021'!S4,'Costdrivere 2022'!S4)</f>
        <v>0</v>
      </c>
      <c r="T4" s="144">
        <f>AVERAGE('Costdrivere 2021'!T4,'Costdrivere 2022'!T4)</f>
        <v>17</v>
      </c>
      <c r="U4" s="144">
        <f>AVERAGE('Costdrivere 2021'!U4,'Costdrivere 2022'!U4)</f>
        <v>28</v>
      </c>
      <c r="V4" s="144">
        <f>AVERAGE('Costdrivere 2021'!V4,'Costdrivere 2022'!V4)</f>
        <v>922</v>
      </c>
      <c r="W4" s="265">
        <f>AVERAGE('Costdrivere 2021'!W4,'Costdrivere 2022'!W4)</f>
        <v>767</v>
      </c>
      <c r="X4" s="58">
        <f>AVERAGE('Costdrivere 2021'!X4,'Costdrivere 2022'!X4)</f>
        <v>220674</v>
      </c>
      <c r="Y4" s="159">
        <f>AVERAGE('Costdrivere 2021'!Y4,'Costdrivere 2022'!Y4)</f>
        <v>241813</v>
      </c>
      <c r="Z4" s="91">
        <f>AVERAGE('Costdrivere 2021'!Z4,'Costdrivere 2022'!Z4)</f>
        <v>4500</v>
      </c>
      <c r="AA4" s="161">
        <f>AVERAGE('Costdrivere 2021'!AA4,'Costdrivere 2022'!AA4)</f>
        <v>0</v>
      </c>
      <c r="AB4" s="88">
        <f>AVERAGE('Costdrivere 2021'!AB4,'Costdrivere 2022'!AB4)</f>
        <v>0</v>
      </c>
      <c r="AC4" s="91">
        <f>AVERAGE('Costdrivere 2021'!AC4,'Costdrivere 2022'!AC4)</f>
        <v>0</v>
      </c>
      <c r="AD4" s="163">
        <f>AVERAGE('Costdrivere 2021'!AD4,'Costdrivere 2022'!AD4)</f>
        <v>0</v>
      </c>
      <c r="AE4" s="289">
        <f>AVERAGE('Costdrivere 2021'!AE4,'Costdrivere 2022'!AE4)</f>
        <v>0</v>
      </c>
      <c r="AF4" s="58">
        <f>AVERAGE('Costdrivere 2021'!AF4,'Costdrivere 2022'!AF4)</f>
        <v>0</v>
      </c>
      <c r="AG4" s="290">
        <f>AVERAGE('Costdrivere 2021'!AG4,'Costdrivere 2022'!AG4)</f>
        <v>0</v>
      </c>
      <c r="AH4" s="145">
        <f>AVERAGE('Costdrivere 2021'!AH4,'Costdrivere 2022'!AH4)</f>
        <v>0</v>
      </c>
      <c r="AI4" s="161">
        <f>AVERAGE('Costdrivere 2021'!AI4,'Costdrivere 2022'!AI4)</f>
        <v>8907.5</v>
      </c>
      <c r="AJ4" s="161">
        <f>AVERAGE('Costdrivere 2021'!AJ4,'Costdrivere 2022'!AJ4)</f>
        <v>2645411</v>
      </c>
      <c r="AK4" s="291" t="str">
        <f>'Costdrivere 2022'!AK4</f>
        <v>t</v>
      </c>
      <c r="AL4" s="291">
        <f>AVERAGE('Costdrivere 2021'!AL4,'Costdrivere 2022'!AL4)</f>
        <v>32223</v>
      </c>
      <c r="AM4" s="48"/>
      <c r="AN4" s="143">
        <f>AVERAGE('Costdrivere 2021'!AN4,'Costdrivere 2022'!AN4)</f>
        <v>0</v>
      </c>
      <c r="AO4" s="163">
        <f>AVERAGE('Costdrivere 2021'!AO4,'Costdrivere 2022'!AO4)</f>
        <v>53147888.554612204</v>
      </c>
      <c r="AP4" s="265">
        <f>AVERAGE('Costdrivere 2021'!AP4,'Costdrivere 2022'!AP4)</f>
        <v>1278568.8666666667</v>
      </c>
      <c r="AQ4" s="203"/>
    </row>
    <row r="5" spans="1:43" x14ac:dyDescent="0.25">
      <c r="A5" s="202" t="s">
        <v>21</v>
      </c>
      <c r="B5" s="202" t="s">
        <v>22</v>
      </c>
      <c r="C5" s="141">
        <f>AVERAGE('Costdrivere 2021'!C5,'Costdrivere 2022'!C5)</f>
        <v>2141272.1396105001</v>
      </c>
      <c r="D5" s="119">
        <f>AVERAGE('Costdrivere 2021'!D5,'Costdrivere 2022'!D5)</f>
        <v>2362190.5149000003</v>
      </c>
      <c r="E5" s="119">
        <f>AVERAGE('Costdrivere 2021'!E5,'Costdrivere 2022'!E5)</f>
        <v>209246.70199999999</v>
      </c>
      <c r="F5" s="119">
        <f>AVERAGE('Costdrivere 2021'!F5,'Costdrivere 2022'!F5)</f>
        <v>26087.702000000001</v>
      </c>
      <c r="G5" s="119">
        <f>AVERAGE('Costdrivere 2021'!G5,'Costdrivere 2022'!G5)</f>
        <v>4148720.2396648643</v>
      </c>
      <c r="H5" s="119">
        <f>AVERAGE('Costdrivere 2021'!H5,'Costdrivere 2022'!H5)</f>
        <v>0</v>
      </c>
      <c r="I5" s="119">
        <f>AVERAGE('Costdrivere 2021'!I5,'Costdrivere 2022'!I5)</f>
        <v>935957.77850000001</v>
      </c>
      <c r="J5" s="119">
        <f>AVERAGE('Costdrivere 2021'!J5,'Costdrivere 2022'!J5)</f>
        <v>1046870.92771</v>
      </c>
      <c r="K5" s="119">
        <f>AVERAGE('Costdrivere 2021'!K5,'Costdrivere 2022'!K5)</f>
        <v>1154065.2805144317</v>
      </c>
      <c r="L5" s="159">
        <f>AVERAGE('Costdrivere 2021'!L5,'Costdrivere 2022'!L5)</f>
        <v>2188305.37560642</v>
      </c>
      <c r="M5" s="292">
        <f>AVERAGE('Costdrivere 2021'!M5,'Costdrivere 2022'!M5)</f>
        <v>4.7483255917314796E-2</v>
      </c>
      <c r="N5" s="141">
        <f>AVERAGE('Costdrivere 2021'!N5,'Costdrivere 2022'!N5)</f>
        <v>67.63</v>
      </c>
      <c r="O5" s="119">
        <f>AVERAGE('Costdrivere 2021'!O5,'Costdrivere 2022'!O5)</f>
        <v>271.76</v>
      </c>
      <c r="P5" s="119">
        <f>AVERAGE('Costdrivere 2021'!P5,'Costdrivere 2022'!P5)</f>
        <v>25.024999999999999</v>
      </c>
      <c r="Q5" s="119">
        <f>AVERAGE('Costdrivere 2021'!Q5,'Costdrivere 2022'!Q5)</f>
        <v>0</v>
      </c>
      <c r="R5" s="159">
        <f>AVERAGE('Costdrivere 2021'!R5,'Costdrivere 2022'!R5)</f>
        <v>2.13</v>
      </c>
      <c r="S5" s="141">
        <f>AVERAGE('Costdrivere 2021'!S5,'Costdrivere 2022'!S5)</f>
        <v>305</v>
      </c>
      <c r="T5" s="119">
        <f>AVERAGE('Costdrivere 2021'!T5,'Costdrivere 2022'!T5)</f>
        <v>18</v>
      </c>
      <c r="U5" s="119">
        <f>AVERAGE('Costdrivere 2021'!U5,'Costdrivere 2022'!U5)</f>
        <v>54</v>
      </c>
      <c r="V5" s="119">
        <f>AVERAGE('Costdrivere 2021'!V5,'Costdrivere 2022'!V5)</f>
        <v>113</v>
      </c>
      <c r="W5" s="159">
        <f>AVERAGE('Costdrivere 2021'!W5,'Costdrivere 2022'!W5)</f>
        <v>0</v>
      </c>
      <c r="X5" s="58">
        <f>AVERAGE('Costdrivere 2021'!X5,'Costdrivere 2022'!X5)</f>
        <v>24454</v>
      </c>
      <c r="Y5" s="159">
        <f>AVERAGE('Costdrivere 2021'!Y5,'Costdrivere 2022'!Y5)</f>
        <v>68080</v>
      </c>
      <c r="Z5" s="58">
        <f>AVERAGE('Costdrivere 2021'!Z5,'Costdrivere 2022'!Z5)</f>
        <v>4262</v>
      </c>
      <c r="AA5" s="88">
        <f>AVERAGE('Costdrivere 2021'!AA5,'Costdrivere 2022'!AA5)</f>
        <v>4148720.2396648643</v>
      </c>
      <c r="AB5" s="88">
        <f>AVERAGE('Costdrivere 2021'!AB5,'Costdrivere 2022'!AB5)</f>
        <v>0</v>
      </c>
      <c r="AC5" s="58">
        <f>AVERAGE('Costdrivere 2021'!AC5,'Costdrivere 2022'!AC5)</f>
        <v>710</v>
      </c>
      <c r="AD5" s="290">
        <f>AVERAGE('Costdrivere 2021'!AD5,'Costdrivere 2022'!AD5)</f>
        <v>0</v>
      </c>
      <c r="AE5" s="145">
        <f>AVERAGE('Costdrivere 2021'!AE5,'Costdrivere 2022'!AE5)</f>
        <v>0</v>
      </c>
      <c r="AF5" s="58">
        <f>AVERAGE('Costdrivere 2021'!AF5,'Costdrivere 2022'!AF5)</f>
        <v>707.55</v>
      </c>
      <c r="AG5" s="290">
        <f>AVERAGE('Costdrivere 2021'!AG5,'Costdrivere 2022'!AG5)</f>
        <v>0</v>
      </c>
      <c r="AH5" s="145">
        <f>AVERAGE('Costdrivere 2021'!AH5,'Costdrivere 2022'!AH5)</f>
        <v>2.4500000000000002</v>
      </c>
      <c r="AI5" s="88">
        <f>AVERAGE('Costdrivere 2021'!AI5,'Costdrivere 2022'!AI5)</f>
        <v>8283.5</v>
      </c>
      <c r="AJ5" s="88">
        <f>AVERAGE('Costdrivere 2021'!AJ5,'Costdrivere 2022'!AJ5)</f>
        <v>1165188.5</v>
      </c>
      <c r="AK5" s="99" t="str">
        <f>'Costdrivere 2022'!AK5</f>
        <v>t+r</v>
      </c>
      <c r="AL5" s="150">
        <f>AVERAGE('Costdrivere 2021'!AL5,'Costdrivere 2022'!AL5)</f>
        <v>12102.5</v>
      </c>
      <c r="AM5" s="48"/>
      <c r="AN5" s="121">
        <f>AVERAGE('Costdrivere 2021'!AN5,'Costdrivere 2022'!AN5)</f>
        <v>4279971.2088737786</v>
      </c>
      <c r="AO5" s="166">
        <f>AVERAGE('Costdrivere 2021'!AO5,'Costdrivere 2022'!AO5)</f>
        <v>37522361.488117285</v>
      </c>
      <c r="AP5" s="118">
        <f>AVERAGE('Costdrivere 2021'!AP5,'Costdrivere 2022'!AP5)</f>
        <v>809330.70931077353</v>
      </c>
      <c r="AQ5" s="203"/>
    </row>
    <row r="6" spans="1:43" x14ac:dyDescent="0.25">
      <c r="A6" s="202" t="s">
        <v>23</v>
      </c>
      <c r="B6" s="202" t="s">
        <v>24</v>
      </c>
      <c r="C6" s="141">
        <f>AVERAGE('Costdrivere 2021'!C6,'Costdrivere 2022'!C6)</f>
        <v>3594428.801314</v>
      </c>
      <c r="D6" s="119">
        <f>AVERAGE('Costdrivere 2021'!D6,'Costdrivere 2022'!D6)</f>
        <v>7308604.4771500006</v>
      </c>
      <c r="E6" s="119">
        <f>AVERAGE('Costdrivere 2021'!E6,'Costdrivere 2022'!E6)</f>
        <v>73592.020950000006</v>
      </c>
      <c r="F6" s="119">
        <f>AVERAGE('Costdrivere 2021'!F6,'Costdrivere 2022'!F6)</f>
        <v>485009.67700000003</v>
      </c>
      <c r="G6" s="119">
        <f>AVERAGE('Costdrivere 2021'!G6,'Costdrivere 2022'!G6)</f>
        <v>6127003.3206321187</v>
      </c>
      <c r="H6" s="119">
        <f>AVERAGE('Costdrivere 2021'!H6,'Costdrivere 2022'!H6)</f>
        <v>0</v>
      </c>
      <c r="I6" s="119">
        <f>AVERAGE('Costdrivere 2021'!I6,'Costdrivere 2022'!I6)</f>
        <v>1489645.3618999999</v>
      </c>
      <c r="J6" s="119">
        <f>AVERAGE('Costdrivere 2021'!J6,'Costdrivere 2022'!J6)</f>
        <v>1778802.4076999999</v>
      </c>
      <c r="K6" s="119">
        <f>AVERAGE('Costdrivere 2021'!K6,'Costdrivere 2022'!K6)</f>
        <v>1543335.1198656838</v>
      </c>
      <c r="L6" s="159">
        <f>AVERAGE('Costdrivere 2021'!L6,'Costdrivere 2022'!L6)</f>
        <v>3729285.5239161868</v>
      </c>
      <c r="M6" s="292">
        <f>AVERAGE('Costdrivere 2021'!M6,'Costdrivere 2022'!M6)</f>
        <v>2.5480493019527227E-2</v>
      </c>
      <c r="N6" s="141">
        <f>AVERAGE('Costdrivere 2021'!N6,'Costdrivere 2022'!N6)</f>
        <v>620.06500000000005</v>
      </c>
      <c r="O6" s="119">
        <f>AVERAGE('Costdrivere 2021'!O6,'Costdrivere 2022'!O6)</f>
        <v>524.05999999999995</v>
      </c>
      <c r="P6" s="119">
        <f>AVERAGE('Costdrivere 2021'!P6,'Costdrivere 2022'!P6)</f>
        <v>12.88</v>
      </c>
      <c r="Q6" s="119">
        <f>AVERAGE('Costdrivere 2021'!Q6,'Costdrivere 2022'!Q6)</f>
        <v>0</v>
      </c>
      <c r="R6" s="159">
        <f>AVERAGE('Costdrivere 2021'!R6,'Costdrivere 2022'!R6)</f>
        <v>0.1</v>
      </c>
      <c r="S6" s="141">
        <f>AVERAGE('Costdrivere 2021'!S6,'Costdrivere 2022'!S6)</f>
        <v>3</v>
      </c>
      <c r="T6" s="119">
        <f>AVERAGE('Costdrivere 2021'!T6,'Costdrivere 2022'!T6)</f>
        <v>25.5</v>
      </c>
      <c r="U6" s="119">
        <f>AVERAGE('Costdrivere 2021'!U6,'Costdrivere 2022'!U6)</f>
        <v>121</v>
      </c>
      <c r="V6" s="119">
        <f>AVERAGE('Costdrivere 2021'!V6,'Costdrivere 2022'!V6)</f>
        <v>10840</v>
      </c>
      <c r="W6" s="159">
        <f>AVERAGE('Costdrivere 2021'!W6,'Costdrivere 2022'!W6)</f>
        <v>3628</v>
      </c>
      <c r="X6" s="58">
        <f>AVERAGE('Costdrivere 2021'!X6,'Costdrivere 2022'!X6)</f>
        <v>28037.5</v>
      </c>
      <c r="Y6" s="159">
        <f>AVERAGE('Costdrivere 2021'!Y6,'Costdrivere 2022'!Y6)</f>
        <v>12543.5</v>
      </c>
      <c r="Z6" s="58">
        <f>AVERAGE('Costdrivere 2021'!Z6,'Costdrivere 2022'!Z6)</f>
        <v>79237</v>
      </c>
      <c r="AA6" s="88">
        <f>AVERAGE('Costdrivere 2021'!AA6,'Costdrivere 2022'!AA6)</f>
        <v>6127003.3206321187</v>
      </c>
      <c r="AB6" s="88">
        <f>AVERAGE('Costdrivere 2021'!AB6,'Costdrivere 2022'!AB6)</f>
        <v>0</v>
      </c>
      <c r="AC6" s="58">
        <f>AVERAGE('Costdrivere 2021'!AC6,'Costdrivere 2022'!AC6)</f>
        <v>0</v>
      </c>
      <c r="AD6" s="290">
        <f>AVERAGE('Costdrivere 2021'!AD6,'Costdrivere 2022'!AD6)</f>
        <v>978.5</v>
      </c>
      <c r="AE6" s="145">
        <f>AVERAGE('Costdrivere 2021'!AE6,'Costdrivere 2022'!AE6)</f>
        <v>0</v>
      </c>
      <c r="AF6" s="58">
        <f>AVERAGE('Costdrivere 2021'!AF6,'Costdrivere 2022'!AF6)</f>
        <v>357.3</v>
      </c>
      <c r="AG6" s="290">
        <f>AVERAGE('Costdrivere 2021'!AG6,'Costdrivere 2022'!AG6)</f>
        <v>88</v>
      </c>
      <c r="AH6" s="145">
        <f>AVERAGE('Costdrivere 2021'!AH6,'Costdrivere 2022'!AH6)</f>
        <v>423.5</v>
      </c>
      <c r="AI6" s="88">
        <f>AVERAGE('Costdrivere 2021'!AI6,'Costdrivere 2022'!AI6)</f>
        <v>17315</v>
      </c>
      <c r="AJ6" s="88">
        <f>AVERAGE('Costdrivere 2021'!AJ6,'Costdrivere 2022'!AJ6)</f>
        <v>2001771.7250000001</v>
      </c>
      <c r="AK6" s="99" t="str">
        <f>'Costdrivere 2022'!AK6</f>
        <v>t+r</v>
      </c>
      <c r="AL6" s="150">
        <f>AVERAGE('Costdrivere 2021'!AL6,'Costdrivere 2022'!AL6)</f>
        <v>21704.5</v>
      </c>
      <c r="AM6" s="48"/>
      <c r="AN6" s="121">
        <f>AVERAGE('Costdrivere 2021'!AN6,'Costdrivere 2022'!AN6)</f>
        <v>7464519.9355163779</v>
      </c>
      <c r="AO6" s="166">
        <f>AVERAGE('Costdrivere 2021'!AO6,'Costdrivere 2022'!AO6)</f>
        <v>83900586.883333355</v>
      </c>
      <c r="AP6" s="118">
        <f>AVERAGE('Costdrivere 2021'!AP6,'Costdrivere 2022'!AP6)</f>
        <v>3063777.7544620247</v>
      </c>
      <c r="AQ6" s="203"/>
    </row>
    <row r="7" spans="1:43" x14ac:dyDescent="0.25">
      <c r="A7" s="202" t="s">
        <v>25</v>
      </c>
      <c r="B7" s="202" t="s">
        <v>26</v>
      </c>
      <c r="C7" s="141">
        <f>AVERAGE('Costdrivere 2021'!C7,'Costdrivere 2022'!C7)</f>
        <v>6514043.6597115006</v>
      </c>
      <c r="D7" s="119">
        <f>AVERAGE('Costdrivere 2021'!D7,'Costdrivere 2022'!D7)</f>
        <v>9611469.8365800008</v>
      </c>
      <c r="E7" s="119">
        <f>AVERAGE('Costdrivere 2021'!E7,'Costdrivere 2022'!E7)</f>
        <v>950799.03930000006</v>
      </c>
      <c r="F7" s="119">
        <f>AVERAGE('Costdrivere 2021'!F7,'Costdrivere 2022'!F7)</f>
        <v>35305.928</v>
      </c>
      <c r="G7" s="119">
        <f>AVERAGE('Costdrivere 2021'!G7,'Costdrivere 2022'!G7)</f>
        <v>12818998.871356715</v>
      </c>
      <c r="H7" s="119">
        <f>AVERAGE('Costdrivere 2021'!H7,'Costdrivere 2022'!H7)</f>
        <v>1431.6034999999999</v>
      </c>
      <c r="I7" s="119">
        <f>AVERAGE('Costdrivere 2021'!I7,'Costdrivere 2022'!I7)</f>
        <v>1449572.7732500001</v>
      </c>
      <c r="J7" s="119">
        <f>AVERAGE('Costdrivere 2021'!J7,'Costdrivere 2022'!J7)</f>
        <v>1451410.8958199997</v>
      </c>
      <c r="K7" s="119">
        <f>AVERAGE('Costdrivere 2021'!K7,'Costdrivere 2022'!K7)</f>
        <v>1746861.3237110684</v>
      </c>
      <c r="L7" s="159">
        <f>AVERAGE('Costdrivere 2021'!L7,'Costdrivere 2022'!L7)</f>
        <v>4647462.6152692242</v>
      </c>
      <c r="M7" s="292">
        <f>AVERAGE('Costdrivere 2021'!M7,'Costdrivere 2022'!M7)</f>
        <v>2.1692153420108953E-2</v>
      </c>
      <c r="N7" s="141">
        <f>AVERAGE('Costdrivere 2021'!N7,'Costdrivere 2022'!N7)</f>
        <v>536.29</v>
      </c>
      <c r="O7" s="119">
        <f>AVERAGE('Costdrivere 2021'!O7,'Costdrivere 2022'!O7)</f>
        <v>1013.4349999999999</v>
      </c>
      <c r="P7" s="119">
        <f>AVERAGE('Costdrivere 2021'!P7,'Costdrivere 2022'!P7)</f>
        <v>32.72</v>
      </c>
      <c r="Q7" s="119">
        <f>AVERAGE('Costdrivere 2021'!Q7,'Costdrivere 2022'!Q7)</f>
        <v>0</v>
      </c>
      <c r="R7" s="159">
        <f>AVERAGE('Costdrivere 2021'!R7,'Costdrivere 2022'!R7)</f>
        <v>3.71</v>
      </c>
      <c r="S7" s="141">
        <f>AVERAGE('Costdrivere 2021'!S7,'Costdrivere 2022'!S7)</f>
        <v>153</v>
      </c>
      <c r="T7" s="119">
        <f>AVERAGE('Costdrivere 2021'!T7,'Costdrivere 2022'!T7)</f>
        <v>89</v>
      </c>
      <c r="U7" s="119">
        <f>AVERAGE('Costdrivere 2021'!U7,'Costdrivere 2022'!U7)</f>
        <v>149</v>
      </c>
      <c r="V7" s="119">
        <f>AVERAGE('Costdrivere 2021'!V7,'Costdrivere 2022'!V7)</f>
        <v>11711</v>
      </c>
      <c r="W7" s="159">
        <f>AVERAGE('Costdrivere 2021'!W7,'Costdrivere 2022'!W7)</f>
        <v>4761.6000000000004</v>
      </c>
      <c r="X7" s="58">
        <f>AVERAGE('Costdrivere 2021'!X7,'Costdrivere 2022'!X7)</f>
        <v>132038</v>
      </c>
      <c r="Y7" s="159">
        <f>AVERAGE('Costdrivere 2021'!Y7,'Costdrivere 2022'!Y7)</f>
        <v>297079</v>
      </c>
      <c r="Z7" s="58">
        <f>AVERAGE('Costdrivere 2021'!Z7,'Costdrivere 2022'!Z7)</f>
        <v>5768</v>
      </c>
      <c r="AA7" s="88">
        <f>AVERAGE('Costdrivere 2021'!AA7,'Costdrivere 2022'!AA7)</f>
        <v>12818998.871356715</v>
      </c>
      <c r="AB7" s="88">
        <f>AVERAGE('Costdrivere 2021'!AB7,'Costdrivere 2022'!AB7)</f>
        <v>0.5</v>
      </c>
      <c r="AC7" s="58">
        <f>AVERAGE('Costdrivere 2021'!AC7,'Costdrivere 2022'!AC7)</f>
        <v>723.5</v>
      </c>
      <c r="AD7" s="290">
        <f>AVERAGE('Costdrivere 2021'!AD7,'Costdrivere 2022'!AD7)</f>
        <v>664.5</v>
      </c>
      <c r="AE7" s="145">
        <f>AVERAGE('Costdrivere 2021'!AE7,'Costdrivere 2022'!AE7)</f>
        <v>0</v>
      </c>
      <c r="AF7" s="58">
        <f>AVERAGE('Costdrivere 2021'!AF7,'Costdrivere 2022'!AF7)</f>
        <v>1112.3</v>
      </c>
      <c r="AG7" s="290">
        <f>AVERAGE('Costdrivere 2021'!AG7,'Costdrivere 2022'!AG7)</f>
        <v>0</v>
      </c>
      <c r="AH7" s="145">
        <f>AVERAGE('Costdrivere 2021'!AH7,'Costdrivere 2022'!AH7)</f>
        <v>2.9</v>
      </c>
      <c r="AI7" s="88">
        <f>AVERAGE('Costdrivere 2021'!AI7,'Costdrivere 2022'!AI7)</f>
        <v>23708.5</v>
      </c>
      <c r="AJ7" s="88">
        <f>AVERAGE('Costdrivere 2021'!AJ7,'Costdrivere 2022'!AJ7)</f>
        <v>2502947.4950000001</v>
      </c>
      <c r="AK7" s="99" t="str">
        <f>'Costdrivere 2022'!AK7</f>
        <v>t+r</v>
      </c>
      <c r="AL7" s="150">
        <f>AVERAGE('Costdrivere 2021'!AL7,'Costdrivere 2022'!AL7)</f>
        <v>22848</v>
      </c>
      <c r="AM7" s="48"/>
      <c r="AN7" s="121">
        <f>AVERAGE('Costdrivere 2021'!AN7,'Costdrivere 2022'!AN7)</f>
        <v>12863372.679312397</v>
      </c>
      <c r="AO7" s="166">
        <f>AVERAGE('Costdrivere 2021'!AO7,'Costdrivere 2022'!AO7)</f>
        <v>123795081.62850001</v>
      </c>
      <c r="AP7" s="118">
        <f>AVERAGE('Costdrivere 2021'!AP7,'Costdrivere 2022'!AP7)</f>
        <v>5018693.333333334</v>
      </c>
      <c r="AQ7" s="203"/>
    </row>
    <row r="8" spans="1:43" x14ac:dyDescent="0.25">
      <c r="A8" s="202" t="s">
        <v>27</v>
      </c>
      <c r="B8" s="202" t="s">
        <v>28</v>
      </c>
      <c r="C8" s="141">
        <f>AVERAGE('Costdrivere 2021'!C8,'Costdrivere 2022'!C8)</f>
        <v>0</v>
      </c>
      <c r="D8" s="119">
        <f>AVERAGE('Costdrivere 2021'!D8,'Costdrivere 2022'!D8)</f>
        <v>171559.08900000001</v>
      </c>
      <c r="E8" s="119">
        <f>AVERAGE('Costdrivere 2021'!E8,'Costdrivere 2022'!E8)</f>
        <v>5839.01</v>
      </c>
      <c r="F8" s="119">
        <f>AVERAGE('Costdrivere 2021'!F8,'Costdrivere 2022'!F8)</f>
        <v>34277.600000000006</v>
      </c>
      <c r="G8" s="119">
        <f>AVERAGE('Costdrivere 2021'!G8,'Costdrivere 2022'!G8)</f>
        <v>10596535.239783628</v>
      </c>
      <c r="H8" s="119">
        <f>AVERAGE('Costdrivere 2021'!H8,'Costdrivere 2022'!H8)</f>
        <v>0</v>
      </c>
      <c r="I8" s="119">
        <f>AVERAGE('Costdrivere 2021'!I8,'Costdrivere 2022'!I8)</f>
        <v>1294694.7237</v>
      </c>
      <c r="J8" s="119">
        <f>AVERAGE('Costdrivere 2021'!J8,'Costdrivere 2022'!J8)</f>
        <v>1593550.5888499999</v>
      </c>
      <c r="K8" s="119">
        <f>AVERAGE('Costdrivere 2021'!K8,'Costdrivere 2022'!K8)</f>
        <v>43285.270946158009</v>
      </c>
      <c r="L8" s="159">
        <f>AVERAGE('Costdrivere 2021'!L8,'Costdrivere 2022'!L8)</f>
        <v>1719012.0284892838</v>
      </c>
      <c r="M8" s="292">
        <f>AVERAGE('Costdrivere 2021'!M8,'Costdrivere 2022'!M8)</f>
        <v>0</v>
      </c>
      <c r="N8" s="141">
        <f>AVERAGE('Costdrivere 2021'!N8,'Costdrivere 2022'!N8)</f>
        <v>0</v>
      </c>
      <c r="O8" s="119">
        <f>AVERAGE('Costdrivere 2021'!O8,'Costdrivere 2022'!O8)</f>
        <v>0</v>
      </c>
      <c r="P8" s="119">
        <f>AVERAGE('Costdrivere 2021'!P8,'Costdrivere 2022'!P8)</f>
        <v>0</v>
      </c>
      <c r="Q8" s="119">
        <f>AVERAGE('Costdrivere 2021'!Q8,'Costdrivere 2022'!Q8)</f>
        <v>0</v>
      </c>
      <c r="R8" s="159">
        <f>AVERAGE('Costdrivere 2021'!R8,'Costdrivere 2022'!R8)</f>
        <v>0</v>
      </c>
      <c r="S8" s="141">
        <f>AVERAGE('Costdrivere 2021'!S8,'Costdrivere 2022'!S8)</f>
        <v>0</v>
      </c>
      <c r="T8" s="119">
        <f>AVERAGE('Costdrivere 2021'!T8,'Costdrivere 2022'!T8)</f>
        <v>0</v>
      </c>
      <c r="U8" s="119">
        <f>AVERAGE('Costdrivere 2021'!U8,'Costdrivere 2022'!U8)</f>
        <v>5</v>
      </c>
      <c r="V8" s="119">
        <f>AVERAGE('Costdrivere 2021'!V8,'Costdrivere 2022'!V8)</f>
        <v>175</v>
      </c>
      <c r="W8" s="159">
        <f>AVERAGE('Costdrivere 2021'!W8,'Costdrivere 2022'!W8)</f>
        <v>0</v>
      </c>
      <c r="X8" s="58">
        <f>AVERAGE('Costdrivere 2021'!X8,'Costdrivere 2022'!X8)</f>
        <v>0</v>
      </c>
      <c r="Y8" s="159">
        <f>AVERAGE('Costdrivere 2021'!Y8,'Costdrivere 2022'!Y8)</f>
        <v>2300</v>
      </c>
      <c r="Z8" s="58">
        <f>AVERAGE('Costdrivere 2021'!Z8,'Costdrivere 2022'!Z8)</f>
        <v>5600</v>
      </c>
      <c r="AA8" s="88">
        <f>AVERAGE('Costdrivere 2021'!AA8,'Costdrivere 2022'!AA8)</f>
        <v>10596535.239783628</v>
      </c>
      <c r="AB8" s="88">
        <f>AVERAGE('Costdrivere 2021'!AB8,'Costdrivere 2022'!AB8)</f>
        <v>0</v>
      </c>
      <c r="AC8" s="58">
        <f>AVERAGE('Costdrivere 2021'!AC8,'Costdrivere 2022'!AC8)</f>
        <v>1111</v>
      </c>
      <c r="AD8" s="290">
        <f>AVERAGE('Costdrivere 2021'!AD8,'Costdrivere 2022'!AD8)</f>
        <v>0</v>
      </c>
      <c r="AE8" s="145">
        <f>AVERAGE('Costdrivere 2021'!AE8,'Costdrivere 2022'!AE8)</f>
        <v>149</v>
      </c>
      <c r="AF8" s="58">
        <f>AVERAGE('Costdrivere 2021'!AF8,'Costdrivere 2022'!AF8)</f>
        <v>1260.5</v>
      </c>
      <c r="AG8" s="290">
        <f>AVERAGE('Costdrivere 2021'!AG8,'Costdrivere 2022'!AG8)</f>
        <v>0</v>
      </c>
      <c r="AH8" s="145">
        <f>AVERAGE('Costdrivere 2021'!AH8,'Costdrivere 2022'!AH8)</f>
        <v>0</v>
      </c>
      <c r="AI8" s="88">
        <f>AVERAGE('Costdrivere 2021'!AI8,'Costdrivere 2022'!AI8)</f>
        <v>2</v>
      </c>
      <c r="AJ8" s="88">
        <f>AVERAGE('Costdrivere 2021'!AJ8,'Costdrivere 2022'!AJ8)</f>
        <v>1724980</v>
      </c>
      <c r="AK8" s="99" t="str">
        <f>'Costdrivere 2022'!AK8</f>
        <v>r</v>
      </c>
      <c r="AL8" s="150">
        <f>AVERAGE('Costdrivere 2021'!AL8,'Costdrivere 2022'!AL8)</f>
        <v>2</v>
      </c>
      <c r="AM8" s="48"/>
      <c r="AN8" s="121">
        <f>AVERAGE('Costdrivere 2021'!AN8,'Costdrivere 2022'!AN8)</f>
        <v>14612496.259574128</v>
      </c>
      <c r="AO8" s="166">
        <f>AVERAGE('Costdrivere 2021'!AO8,'Costdrivere 2022'!AO8)</f>
        <v>1511536.3333333335</v>
      </c>
      <c r="AP8" s="118">
        <f>AVERAGE('Costdrivere 2021'!AP8,'Costdrivere 2022'!AP8)</f>
        <v>0</v>
      </c>
      <c r="AQ8" s="203"/>
    </row>
    <row r="9" spans="1:43" x14ac:dyDescent="0.25">
      <c r="A9" s="202" t="s">
        <v>29</v>
      </c>
      <c r="B9" s="202" t="s">
        <v>30</v>
      </c>
      <c r="C9" s="141">
        <f>AVERAGE('Costdrivere 2021'!C9,'Costdrivere 2022'!C9)</f>
        <v>4612608.5188421495</v>
      </c>
      <c r="D9" s="119">
        <f>AVERAGE('Costdrivere 2021'!D9,'Costdrivere 2022'!D9)</f>
        <v>8221246.5030500004</v>
      </c>
      <c r="E9" s="119">
        <f>AVERAGE('Costdrivere 2021'!E9,'Costdrivere 2022'!E9)</f>
        <v>737172.70589999994</v>
      </c>
      <c r="F9" s="119">
        <f>AVERAGE('Costdrivere 2021'!F9,'Costdrivere 2022'!F9)</f>
        <v>31523.15</v>
      </c>
      <c r="G9" s="119">
        <f>AVERAGE('Costdrivere 2021'!G9,'Costdrivere 2022'!G9)</f>
        <v>0</v>
      </c>
      <c r="H9" s="119">
        <f>AVERAGE('Costdrivere 2021'!H9,'Costdrivere 2022'!H9)</f>
        <v>365058.89249999996</v>
      </c>
      <c r="I9" s="119">
        <f>AVERAGE('Costdrivere 2021'!I9,'Costdrivere 2022'!I9)</f>
        <v>0</v>
      </c>
      <c r="J9" s="119">
        <f>AVERAGE('Costdrivere 2021'!J9,'Costdrivere 2022'!J9)</f>
        <v>0</v>
      </c>
      <c r="K9" s="119">
        <f>AVERAGE('Costdrivere 2021'!K9,'Costdrivere 2022'!K9)</f>
        <v>1537626.9369755883</v>
      </c>
      <c r="L9" s="159">
        <f>AVERAGE('Costdrivere 2021'!L9,'Costdrivere 2022'!L9)</f>
        <v>2256149.0169256823</v>
      </c>
      <c r="M9" s="292">
        <f>AVERAGE('Costdrivere 2021'!M9,'Costdrivere 2022'!M9)</f>
        <v>1.8235380372448588E-2</v>
      </c>
      <c r="N9" s="141">
        <f>AVERAGE('Costdrivere 2021'!N9,'Costdrivere 2022'!N9)</f>
        <v>645.41</v>
      </c>
      <c r="O9" s="119">
        <f>AVERAGE('Costdrivere 2021'!O9,'Costdrivere 2022'!O9)</f>
        <v>668.94349999999997</v>
      </c>
      <c r="P9" s="119">
        <f>AVERAGE('Costdrivere 2021'!P9,'Costdrivere 2022'!P9)</f>
        <v>0</v>
      </c>
      <c r="Q9" s="119">
        <f>AVERAGE('Costdrivere 2021'!Q9,'Costdrivere 2022'!Q9)</f>
        <v>0</v>
      </c>
      <c r="R9" s="159">
        <f>AVERAGE('Costdrivere 2021'!R9,'Costdrivere 2022'!R9)</f>
        <v>2.35</v>
      </c>
      <c r="S9" s="141">
        <f>AVERAGE('Costdrivere 2021'!S9,'Costdrivere 2022'!S9)</f>
        <v>884.5</v>
      </c>
      <c r="T9" s="119">
        <f>AVERAGE('Costdrivere 2021'!T9,'Costdrivere 2022'!T9)</f>
        <v>0</v>
      </c>
      <c r="U9" s="119">
        <f>AVERAGE('Costdrivere 2021'!U9,'Costdrivere 2022'!U9)</f>
        <v>242.5</v>
      </c>
      <c r="V9" s="119">
        <f>AVERAGE('Costdrivere 2021'!V9,'Costdrivere 2022'!V9)</f>
        <v>179</v>
      </c>
      <c r="W9" s="159">
        <f>AVERAGE('Costdrivere 2021'!W9,'Costdrivere 2022'!W9)</f>
        <v>0</v>
      </c>
      <c r="X9" s="58">
        <f>AVERAGE('Costdrivere 2021'!X9,'Costdrivere 2022'!X9)</f>
        <v>182836</v>
      </c>
      <c r="Y9" s="159">
        <f>AVERAGE('Costdrivere 2021'!Y9,'Costdrivere 2022'!Y9)</f>
        <v>183137</v>
      </c>
      <c r="Z9" s="58">
        <f>AVERAGE('Costdrivere 2021'!Z9,'Costdrivere 2022'!Z9)</f>
        <v>5150</v>
      </c>
      <c r="AA9" s="88">
        <f>AVERAGE('Costdrivere 2021'!AA9,'Costdrivere 2022'!AA9)</f>
        <v>0</v>
      </c>
      <c r="AB9" s="88">
        <f>AVERAGE('Costdrivere 2021'!AB9,'Costdrivere 2022'!AB9)</f>
        <v>127.5</v>
      </c>
      <c r="AC9" s="58">
        <f>AVERAGE('Costdrivere 2021'!AC9,'Costdrivere 2022'!AC9)</f>
        <v>0</v>
      </c>
      <c r="AD9" s="290">
        <f>AVERAGE('Costdrivere 2021'!AD9,'Costdrivere 2022'!AD9)</f>
        <v>0</v>
      </c>
      <c r="AE9" s="145">
        <f>AVERAGE('Costdrivere 2021'!AE9,'Costdrivere 2022'!AE9)</f>
        <v>0</v>
      </c>
      <c r="AF9" s="58">
        <f>AVERAGE('Costdrivere 2021'!AF9,'Costdrivere 2022'!AF9)</f>
        <v>0</v>
      </c>
      <c r="AG9" s="290">
        <f>AVERAGE('Costdrivere 2021'!AG9,'Costdrivere 2022'!AG9)</f>
        <v>0</v>
      </c>
      <c r="AH9" s="145">
        <f>AVERAGE('Costdrivere 2021'!AH9,'Costdrivere 2022'!AH9)</f>
        <v>0</v>
      </c>
      <c r="AI9" s="88">
        <f>AVERAGE('Costdrivere 2021'!AI9,'Costdrivere 2022'!AI9)</f>
        <v>17153</v>
      </c>
      <c r="AJ9" s="88">
        <f>AVERAGE('Costdrivere 2021'!AJ9,'Costdrivere 2022'!AJ9)</f>
        <v>1656121.5</v>
      </c>
      <c r="AK9" s="99" t="str">
        <f>'Costdrivere 2022'!AK9</f>
        <v>t</v>
      </c>
      <c r="AL9" s="150">
        <f>AVERAGE('Costdrivere 2021'!AL9,'Costdrivere 2022'!AL9)</f>
        <v>17048</v>
      </c>
      <c r="AM9" s="48"/>
      <c r="AN9" s="121">
        <f>AVERAGE('Costdrivere 2021'!AN9,'Costdrivere 2022'!AN9)</f>
        <v>58220.785124511145</v>
      </c>
      <c r="AO9" s="166">
        <f>AVERAGE('Costdrivere 2021'!AO9,'Costdrivere 2022'!AO9)</f>
        <v>84408692.498175859</v>
      </c>
      <c r="AP9" s="118">
        <f>AVERAGE('Costdrivere 2021'!AP9,'Costdrivere 2022'!AP9)</f>
        <v>1835506.6666666665</v>
      </c>
      <c r="AQ9" s="203"/>
    </row>
    <row r="10" spans="1:43" x14ac:dyDescent="0.25">
      <c r="A10" s="202" t="s">
        <v>31</v>
      </c>
      <c r="B10" s="202" t="s">
        <v>32</v>
      </c>
      <c r="C10" s="141">
        <f>AVERAGE('Costdrivere 2021'!C10,'Costdrivere 2022'!C10)</f>
        <v>2340203.4050850002</v>
      </c>
      <c r="D10" s="119">
        <f>AVERAGE('Costdrivere 2021'!D10,'Costdrivere 2022'!D10)</f>
        <v>1187517.0041500002</v>
      </c>
      <c r="E10" s="119">
        <f>AVERAGE('Costdrivere 2021'!E10,'Costdrivere 2022'!E10)</f>
        <v>434234.48019999999</v>
      </c>
      <c r="F10" s="119">
        <f>AVERAGE('Costdrivere 2021'!F10,'Costdrivere 2022'!F10)</f>
        <v>168633.55000000002</v>
      </c>
      <c r="G10" s="119">
        <f>AVERAGE('Costdrivere 2021'!G10,'Costdrivere 2022'!G10)</f>
        <v>1930280.4446770195</v>
      </c>
      <c r="H10" s="119">
        <f>AVERAGE('Costdrivere 2021'!H10,'Costdrivere 2022'!H10)</f>
        <v>0</v>
      </c>
      <c r="I10" s="119">
        <f>AVERAGE('Costdrivere 2021'!I10,'Costdrivere 2022'!I10)</f>
        <v>880797.25550000009</v>
      </c>
      <c r="J10" s="119">
        <f>AVERAGE('Costdrivere 2021'!J10,'Costdrivere 2022'!J10)</f>
        <v>465093.75810000004</v>
      </c>
      <c r="K10" s="119">
        <f>AVERAGE('Costdrivere 2021'!K10,'Costdrivere 2022'!K10)</f>
        <v>1243031.482122018</v>
      </c>
      <c r="L10" s="159">
        <f>AVERAGE('Costdrivere 2021'!L10,'Costdrivere 2022'!L10)</f>
        <v>2431692.3578362074</v>
      </c>
      <c r="M10" s="292">
        <f>AVERAGE('Costdrivere 2021'!M10,'Costdrivere 2022'!M10)</f>
        <v>3.5402055648977727E-2</v>
      </c>
      <c r="N10" s="141">
        <f>AVERAGE('Costdrivere 2021'!N10,'Costdrivere 2022'!N10)</f>
        <v>77.900000000000006</v>
      </c>
      <c r="O10" s="119">
        <f>AVERAGE('Costdrivere 2021'!O10,'Costdrivere 2022'!O10)</f>
        <v>398.04999999999995</v>
      </c>
      <c r="P10" s="119">
        <f>AVERAGE('Costdrivere 2021'!P10,'Costdrivere 2022'!P10)</f>
        <v>0</v>
      </c>
      <c r="Q10" s="119">
        <f>AVERAGE('Costdrivere 2021'!Q10,'Costdrivere 2022'!Q10)</f>
        <v>0</v>
      </c>
      <c r="R10" s="159">
        <f>AVERAGE('Costdrivere 2021'!R10,'Costdrivere 2022'!R10)</f>
        <v>2.5</v>
      </c>
      <c r="S10" s="141">
        <f>AVERAGE('Costdrivere 2021'!S10,'Costdrivere 2022'!S10)</f>
        <v>0</v>
      </c>
      <c r="T10" s="119">
        <f>AVERAGE('Costdrivere 2021'!T10,'Costdrivere 2022'!T10)</f>
        <v>56.5</v>
      </c>
      <c r="U10" s="119">
        <f>AVERAGE('Costdrivere 2021'!U10,'Costdrivere 2022'!U10)</f>
        <v>5</v>
      </c>
      <c r="V10" s="119">
        <f>AVERAGE('Costdrivere 2021'!V10,'Costdrivere 2022'!V10)</f>
        <v>1405</v>
      </c>
      <c r="W10" s="159">
        <f>AVERAGE('Costdrivere 2021'!W10,'Costdrivere 2022'!W10)</f>
        <v>0</v>
      </c>
      <c r="X10" s="58">
        <f>AVERAGE('Costdrivere 2021'!X10,'Costdrivere 2022'!X10)</f>
        <v>0</v>
      </c>
      <c r="Y10" s="159">
        <f>AVERAGE('Costdrivere 2021'!Y10,'Costdrivere 2022'!Y10)</f>
        <v>171046</v>
      </c>
      <c r="Z10" s="58">
        <f>AVERAGE('Costdrivere 2021'!Z10,'Costdrivere 2022'!Z10)</f>
        <v>27550</v>
      </c>
      <c r="AA10" s="88">
        <f>AVERAGE('Costdrivere 2021'!AA10,'Costdrivere 2022'!AA10)</f>
        <v>1930280.4446770195</v>
      </c>
      <c r="AB10" s="88">
        <f>AVERAGE('Costdrivere 2021'!AB10,'Costdrivere 2022'!AB10)</f>
        <v>0</v>
      </c>
      <c r="AC10" s="58">
        <f>AVERAGE('Costdrivere 2021'!AC10,'Costdrivere 2022'!AC10)</f>
        <v>0</v>
      </c>
      <c r="AD10" s="290">
        <f>AVERAGE('Costdrivere 2021'!AD10,'Costdrivere 2022'!AD10)</f>
        <v>185</v>
      </c>
      <c r="AE10" s="145">
        <f>AVERAGE('Costdrivere 2021'!AE10,'Costdrivere 2022'!AE10)</f>
        <v>0</v>
      </c>
      <c r="AF10" s="58">
        <f>AVERAGE('Costdrivere 2021'!AF10,'Costdrivere 2022'!AF10)</f>
        <v>129</v>
      </c>
      <c r="AG10" s="290">
        <f>AVERAGE('Costdrivere 2021'!AG10,'Costdrivere 2022'!AG10)</f>
        <v>0</v>
      </c>
      <c r="AH10" s="145">
        <f>AVERAGE('Costdrivere 2021'!AH10,'Costdrivere 2022'!AH10)</f>
        <v>0</v>
      </c>
      <c r="AI10" s="88">
        <f>AVERAGE('Costdrivere 2021'!AI10,'Costdrivere 2022'!AI10)</f>
        <v>10000.5</v>
      </c>
      <c r="AJ10" s="88">
        <f>AVERAGE('Costdrivere 2021'!AJ10,'Costdrivere 2022'!AJ10)</f>
        <v>1296846.5</v>
      </c>
      <c r="AK10" s="99" t="str">
        <f>'Costdrivere 2022'!AK10</f>
        <v>t+r</v>
      </c>
      <c r="AL10" s="150">
        <f>AVERAGE('Costdrivere 2021'!AL10,'Costdrivere 2022'!AL10)</f>
        <v>13856.5</v>
      </c>
      <c r="AM10" s="48"/>
      <c r="AN10" s="121">
        <f>AVERAGE('Costdrivere 2021'!AN10,'Costdrivere 2022'!AN10)</f>
        <v>1850224.6838327614</v>
      </c>
      <c r="AO10" s="166">
        <f>AVERAGE('Costdrivere 2021'!AO10,'Costdrivere 2022'!AO10)</f>
        <v>45280008.666666657</v>
      </c>
      <c r="AP10" s="118">
        <f>AVERAGE('Costdrivere 2021'!AP10,'Costdrivere 2022'!AP10)</f>
        <v>1719426.6666666665</v>
      </c>
      <c r="AQ10" s="203"/>
    </row>
    <row r="11" spans="1:43" x14ac:dyDescent="0.25">
      <c r="A11" s="202" t="s">
        <v>33</v>
      </c>
      <c r="B11" s="202" t="s">
        <v>34</v>
      </c>
      <c r="C11" s="141">
        <f>AVERAGE('Costdrivere 2021'!C11,'Costdrivere 2022'!C11)</f>
        <v>6983.9567999999999</v>
      </c>
      <c r="D11" s="119">
        <f>AVERAGE('Costdrivere 2021'!D11,'Costdrivere 2022'!D11)</f>
        <v>0</v>
      </c>
      <c r="E11" s="119">
        <f>AVERAGE('Costdrivere 2021'!E11,'Costdrivere 2022'!E11)</f>
        <v>0</v>
      </c>
      <c r="F11" s="119">
        <f>AVERAGE('Costdrivere 2021'!F11,'Costdrivere 2022'!F11)</f>
        <v>257082.00000000003</v>
      </c>
      <c r="G11" s="119">
        <f>AVERAGE('Costdrivere 2021'!G11,'Costdrivere 2022'!G11)</f>
        <v>63352842.778379276</v>
      </c>
      <c r="H11" s="119">
        <f>AVERAGE('Costdrivere 2021'!H11,'Costdrivere 2022'!H11)</f>
        <v>0</v>
      </c>
      <c r="I11" s="119">
        <f>AVERAGE('Costdrivere 2021'!I11,'Costdrivere 2022'!I11)</f>
        <v>22827813.766400002</v>
      </c>
      <c r="J11" s="119">
        <f>AVERAGE('Costdrivere 2021'!J11,'Costdrivere 2022'!J11)</f>
        <v>25905528.122749999</v>
      </c>
      <c r="K11" s="119">
        <f>AVERAGE('Costdrivere 2021'!K11,'Costdrivere 2022'!K11)</f>
        <v>74760.498561130677</v>
      </c>
      <c r="L11" s="159">
        <f>AVERAGE('Costdrivere 2021'!L11,'Costdrivere 2022'!L11)</f>
        <v>14875647.304536635</v>
      </c>
      <c r="M11" s="292">
        <f>AVERAGE('Costdrivere 2021'!M11,'Costdrivere 2022'!M11)</f>
        <v>2.6666666666666666E-3</v>
      </c>
      <c r="N11" s="141">
        <f>AVERAGE('Costdrivere 2021'!N11,'Costdrivere 2022'!N11)</f>
        <v>3</v>
      </c>
      <c r="O11" s="119">
        <f>AVERAGE('Costdrivere 2021'!O11,'Costdrivere 2022'!O11)</f>
        <v>0</v>
      </c>
      <c r="P11" s="119">
        <f>AVERAGE('Costdrivere 2021'!P11,'Costdrivere 2022'!P11)</f>
        <v>0</v>
      </c>
      <c r="Q11" s="119">
        <f>AVERAGE('Costdrivere 2021'!Q11,'Costdrivere 2022'!Q11)</f>
        <v>0</v>
      </c>
      <c r="R11" s="159">
        <f>AVERAGE('Costdrivere 2021'!R11,'Costdrivere 2022'!R11)</f>
        <v>0</v>
      </c>
      <c r="S11" s="141">
        <f>AVERAGE('Costdrivere 2021'!S11,'Costdrivere 2022'!S11)</f>
        <v>0</v>
      </c>
      <c r="T11" s="119">
        <f>AVERAGE('Costdrivere 2021'!T11,'Costdrivere 2022'!T11)</f>
        <v>0</v>
      </c>
      <c r="U11" s="119">
        <f>AVERAGE('Costdrivere 2021'!U11,'Costdrivere 2022'!U11)</f>
        <v>0</v>
      </c>
      <c r="V11" s="119">
        <f>AVERAGE('Costdrivere 2021'!V11,'Costdrivere 2022'!V11)</f>
        <v>0</v>
      </c>
      <c r="W11" s="159">
        <f>AVERAGE('Costdrivere 2021'!W11,'Costdrivere 2022'!W11)</f>
        <v>0</v>
      </c>
      <c r="X11" s="58">
        <f>AVERAGE('Costdrivere 2021'!X11,'Costdrivere 2022'!X11)</f>
        <v>0</v>
      </c>
      <c r="Y11" s="159">
        <f>AVERAGE('Costdrivere 2021'!Y11,'Costdrivere 2022'!Y11)</f>
        <v>0</v>
      </c>
      <c r="Z11" s="58">
        <f>AVERAGE('Costdrivere 2021'!Z11,'Costdrivere 2022'!Z11)</f>
        <v>42000</v>
      </c>
      <c r="AA11" s="88">
        <f>AVERAGE('Costdrivere 2021'!AA11,'Costdrivere 2022'!AA11)</f>
        <v>63352842.778379276</v>
      </c>
      <c r="AB11" s="88">
        <f>AVERAGE('Costdrivere 2021'!AB11,'Costdrivere 2022'!AB11)</f>
        <v>0</v>
      </c>
      <c r="AC11" s="58">
        <f>AVERAGE('Costdrivere 2021'!AC11,'Costdrivere 2022'!AC11)</f>
        <v>57</v>
      </c>
      <c r="AD11" s="290">
        <f>AVERAGE('Costdrivere 2021'!AD11,'Costdrivere 2022'!AD11)</f>
        <v>28767.5</v>
      </c>
      <c r="AE11" s="145">
        <f>AVERAGE('Costdrivere 2021'!AE11,'Costdrivere 2022'!AE11)</f>
        <v>0</v>
      </c>
      <c r="AF11" s="58">
        <f>AVERAGE('Costdrivere 2021'!AF11,'Costdrivere 2022'!AF11)</f>
        <v>1387.5</v>
      </c>
      <c r="AG11" s="290">
        <f>AVERAGE('Costdrivere 2021'!AG11,'Costdrivere 2022'!AG11)</f>
        <v>0</v>
      </c>
      <c r="AH11" s="145">
        <f>AVERAGE('Costdrivere 2021'!AH11,'Costdrivere 2022'!AH11)</f>
        <v>12388</v>
      </c>
      <c r="AI11" s="88">
        <f>AVERAGE('Costdrivere 2021'!AI11,'Costdrivere 2022'!AI11)</f>
        <v>8</v>
      </c>
      <c r="AJ11" s="88">
        <f>AVERAGE('Costdrivere 2021'!AJ11,'Costdrivere 2022'!AJ11)</f>
        <v>44723736.5</v>
      </c>
      <c r="AK11" s="99" t="str">
        <f>'Costdrivere 2022'!AK11</f>
        <v>r</v>
      </c>
      <c r="AL11" s="150">
        <f>AVERAGE('Costdrivere 2021'!AL11,'Costdrivere 2022'!AL11)</f>
        <v>8</v>
      </c>
      <c r="AM11" s="48"/>
      <c r="AN11" s="121">
        <f>AVERAGE('Costdrivere 2021'!AN11,'Costdrivere 2022'!AN11)</f>
        <v>227372785.67426699</v>
      </c>
      <c r="AO11" s="166">
        <f>AVERAGE('Costdrivere 2021'!AO11,'Costdrivere 2022'!AO11)</f>
        <v>1909595.4026666665</v>
      </c>
      <c r="AP11" s="118">
        <f>AVERAGE('Costdrivere 2021'!AP11,'Costdrivere 2022'!AP11)</f>
        <v>4469149.705086967</v>
      </c>
      <c r="AQ11" s="203"/>
    </row>
    <row r="12" spans="1:43" x14ac:dyDescent="0.25">
      <c r="A12" s="202" t="s">
        <v>35</v>
      </c>
      <c r="B12" s="202" t="s">
        <v>36</v>
      </c>
      <c r="C12" s="141">
        <f>AVERAGE('Costdrivere 2021'!C12,'Costdrivere 2022'!C12)</f>
        <v>216728.46752400001</v>
      </c>
      <c r="D12" s="119">
        <f>AVERAGE('Costdrivere 2021'!D12,'Costdrivere 2022'!D12)</f>
        <v>4303122.8747000005</v>
      </c>
      <c r="E12" s="119">
        <f>AVERAGE('Costdrivere 2021'!E12,'Costdrivere 2022'!E12)</f>
        <v>0</v>
      </c>
      <c r="F12" s="119">
        <f>AVERAGE('Costdrivere 2021'!F12,'Costdrivere 2022'!F12)</f>
        <v>1166338.1870000002</v>
      </c>
      <c r="G12" s="119">
        <f>AVERAGE('Costdrivere 2021'!G12,'Costdrivere 2022'!G12)</f>
        <v>24122480.523094155</v>
      </c>
      <c r="H12" s="119">
        <f>AVERAGE('Costdrivere 2021'!H12,'Costdrivere 2022'!H12)</f>
        <v>0</v>
      </c>
      <c r="I12" s="119">
        <f>AVERAGE('Costdrivere 2021'!I12,'Costdrivere 2022'!I12)</f>
        <v>7548585.5915000001</v>
      </c>
      <c r="J12" s="119">
        <f>AVERAGE('Costdrivere 2021'!J12,'Costdrivere 2022'!J12)</f>
        <v>16361069.309999999</v>
      </c>
      <c r="K12" s="119">
        <f>AVERAGE('Costdrivere 2021'!K12,'Costdrivere 2022'!K12)</f>
        <v>81634.571232638642</v>
      </c>
      <c r="L12" s="159">
        <f>AVERAGE('Costdrivere 2021'!L12,'Costdrivere 2022'!L12)</f>
        <v>6515280.9424855029</v>
      </c>
      <c r="M12" s="292">
        <f>AVERAGE('Costdrivere 2021'!M12,'Costdrivere 2022'!M12)</f>
        <v>1.7403411068569441E-4</v>
      </c>
      <c r="N12" s="141">
        <f>AVERAGE('Costdrivere 2021'!N12,'Costdrivere 2022'!N12)</f>
        <v>19.82</v>
      </c>
      <c r="O12" s="119">
        <f>AVERAGE('Costdrivere 2021'!O12,'Costdrivere 2022'!O12)</f>
        <v>34.92</v>
      </c>
      <c r="P12" s="119">
        <f>AVERAGE('Costdrivere 2021'!P12,'Costdrivere 2022'!P12)</f>
        <v>2.72</v>
      </c>
      <c r="Q12" s="119">
        <f>AVERAGE('Costdrivere 2021'!Q12,'Costdrivere 2022'!Q12)</f>
        <v>0</v>
      </c>
      <c r="R12" s="159">
        <f>AVERAGE('Costdrivere 2021'!R12,'Costdrivere 2022'!R12)</f>
        <v>0</v>
      </c>
      <c r="S12" s="141">
        <f>AVERAGE('Costdrivere 2021'!S12,'Costdrivere 2022'!S12)</f>
        <v>0</v>
      </c>
      <c r="T12" s="119">
        <f>AVERAGE('Costdrivere 2021'!T12,'Costdrivere 2022'!T12)</f>
        <v>0</v>
      </c>
      <c r="U12" s="119">
        <f>AVERAGE('Costdrivere 2021'!U12,'Costdrivere 2022'!U12)</f>
        <v>0</v>
      </c>
      <c r="V12" s="119">
        <f>AVERAGE('Costdrivere 2021'!V12,'Costdrivere 2022'!V12)</f>
        <v>0</v>
      </c>
      <c r="W12" s="159">
        <f>AVERAGE('Costdrivere 2021'!W12,'Costdrivere 2022'!W12)</f>
        <v>20059</v>
      </c>
      <c r="X12" s="58">
        <f>AVERAGE('Costdrivere 2021'!X12,'Costdrivere 2022'!X12)</f>
        <v>0</v>
      </c>
      <c r="Y12" s="159">
        <f>AVERAGE('Costdrivere 2021'!Y12,'Costdrivere 2022'!Y12)</f>
        <v>0</v>
      </c>
      <c r="Z12" s="58">
        <f>AVERAGE('Costdrivere 2021'!Z12,'Costdrivere 2022'!Z12)</f>
        <v>190547</v>
      </c>
      <c r="AA12" s="88">
        <f>AVERAGE('Costdrivere 2021'!AA12,'Costdrivere 2022'!AA12)</f>
        <v>24122480.523094155</v>
      </c>
      <c r="AB12" s="88">
        <f>AVERAGE('Costdrivere 2021'!AB12,'Costdrivere 2022'!AB12)</f>
        <v>0</v>
      </c>
      <c r="AC12" s="58">
        <f>AVERAGE('Costdrivere 2021'!AC12,'Costdrivere 2022'!AC12)</f>
        <v>0</v>
      </c>
      <c r="AD12" s="290">
        <f>AVERAGE('Costdrivere 2021'!AD12,'Costdrivere 2022'!AD12)</f>
        <v>8875</v>
      </c>
      <c r="AE12" s="145">
        <f>AVERAGE('Costdrivere 2021'!AE12,'Costdrivere 2022'!AE12)</f>
        <v>0</v>
      </c>
      <c r="AF12" s="58">
        <f>AVERAGE('Costdrivere 2021'!AF12,'Costdrivere 2022'!AF12)</f>
        <v>0</v>
      </c>
      <c r="AG12" s="290">
        <f>AVERAGE('Costdrivere 2021'!AG12,'Costdrivere 2022'!AG12)</f>
        <v>0</v>
      </c>
      <c r="AH12" s="145">
        <f>AVERAGE('Costdrivere 2021'!AH12,'Costdrivere 2022'!AH12)</f>
        <v>8208</v>
      </c>
      <c r="AI12" s="88">
        <f>AVERAGE('Costdrivere 2021'!AI12,'Costdrivere 2022'!AI12)</f>
        <v>10</v>
      </c>
      <c r="AJ12" s="88">
        <f>AVERAGE('Costdrivere 2021'!AJ12,'Costdrivere 2022'!AJ12)</f>
        <v>12873122</v>
      </c>
      <c r="AK12" s="99" t="str">
        <f>'Costdrivere 2022'!AK12</f>
        <v>r</v>
      </c>
      <c r="AL12" s="150">
        <f>AVERAGE('Costdrivere 2021'!AL12,'Costdrivere 2022'!AL12)</f>
        <v>10</v>
      </c>
      <c r="AM12" s="48"/>
      <c r="AN12" s="121">
        <f>AVERAGE('Costdrivere 2021'!AN12,'Costdrivere 2022'!AN12)</f>
        <v>49356165.502065346</v>
      </c>
      <c r="AO12" s="166">
        <f>AVERAGE('Costdrivere 2021'!AO12,'Costdrivere 2022'!AO12)</f>
        <v>27602207.930626668</v>
      </c>
      <c r="AP12" s="118">
        <f>AVERAGE('Costdrivere 2021'!AP12,'Costdrivere 2022'!AP12)</f>
        <v>1934437.5199999998</v>
      </c>
      <c r="AQ12" s="203"/>
    </row>
    <row r="13" spans="1:43" x14ac:dyDescent="0.25">
      <c r="A13" s="202" t="s">
        <v>37</v>
      </c>
      <c r="B13" s="202" t="s">
        <v>38</v>
      </c>
      <c r="C13" s="141">
        <f>AVERAGE('Costdrivere 2021'!C13,'Costdrivere 2022'!C13)</f>
        <v>3008370.7611210002</v>
      </c>
      <c r="D13" s="119">
        <f>AVERAGE('Costdrivere 2021'!D13,'Costdrivere 2022'!D13)</f>
        <v>3337969.12525</v>
      </c>
      <c r="E13" s="119">
        <f>AVERAGE('Costdrivere 2021'!E13,'Costdrivere 2022'!E13)</f>
        <v>4315.79</v>
      </c>
      <c r="F13" s="119">
        <f>AVERAGE('Costdrivere 2021'!F13,'Costdrivere 2022'!F13)</f>
        <v>275445</v>
      </c>
      <c r="G13" s="119">
        <f>AVERAGE('Costdrivere 2021'!G13,'Costdrivere 2022'!G13)</f>
        <v>10725669.330943443</v>
      </c>
      <c r="H13" s="119">
        <f>AVERAGE('Costdrivere 2021'!H13,'Costdrivere 2022'!H13)</f>
        <v>0</v>
      </c>
      <c r="I13" s="119">
        <f>AVERAGE('Costdrivere 2021'!I13,'Costdrivere 2022'!I13)</f>
        <v>1126083.5172950001</v>
      </c>
      <c r="J13" s="119">
        <f>AVERAGE('Costdrivere 2021'!J13,'Costdrivere 2022'!J13)</f>
        <v>1496312.8151</v>
      </c>
      <c r="K13" s="119">
        <f>AVERAGE('Costdrivere 2021'!K13,'Costdrivere 2022'!K13)</f>
        <v>1560128.7198389471</v>
      </c>
      <c r="L13" s="159">
        <f>AVERAGE('Costdrivere 2021'!L13,'Costdrivere 2022'!L13)</f>
        <v>3275874.6983310757</v>
      </c>
      <c r="M13" s="292">
        <f>AVERAGE('Costdrivere 2021'!M13,'Costdrivere 2022'!M13)</f>
        <v>3.1647187381311996E-2</v>
      </c>
      <c r="N13" s="141">
        <f>AVERAGE('Costdrivere 2021'!N13,'Costdrivere 2022'!N13)</f>
        <v>324.45</v>
      </c>
      <c r="O13" s="119">
        <f>AVERAGE('Costdrivere 2021'!O13,'Costdrivere 2022'!O13)</f>
        <v>570.25</v>
      </c>
      <c r="P13" s="119">
        <f>AVERAGE('Costdrivere 2021'!P13,'Costdrivere 2022'!P13)</f>
        <v>0</v>
      </c>
      <c r="Q13" s="119">
        <f>AVERAGE('Costdrivere 2021'!Q13,'Costdrivere 2022'!Q13)</f>
        <v>0</v>
      </c>
      <c r="R13" s="159">
        <f>AVERAGE('Costdrivere 2021'!R13,'Costdrivere 2022'!R13)</f>
        <v>0.57999999999999996</v>
      </c>
      <c r="S13" s="141">
        <f>AVERAGE('Costdrivere 2021'!S13,'Costdrivere 2022'!S13)</f>
        <v>34</v>
      </c>
      <c r="T13" s="119">
        <f>AVERAGE('Costdrivere 2021'!T13,'Costdrivere 2022'!T13)</f>
        <v>93.5</v>
      </c>
      <c r="U13" s="119">
        <f>AVERAGE('Costdrivere 2021'!U13,'Costdrivere 2022'!U13)</f>
        <v>87</v>
      </c>
      <c r="V13" s="119">
        <f>AVERAGE('Costdrivere 2021'!V13,'Costdrivere 2022'!V13)</f>
        <v>107</v>
      </c>
      <c r="W13" s="159">
        <f>AVERAGE('Costdrivere 2021'!W13,'Costdrivere 2022'!W13)</f>
        <v>680</v>
      </c>
      <c r="X13" s="58">
        <f>AVERAGE('Costdrivere 2021'!X13,'Costdrivere 2022'!X13)</f>
        <v>0</v>
      </c>
      <c r="Y13" s="159">
        <f>AVERAGE('Costdrivere 2021'!Y13,'Costdrivere 2022'!Y13)</f>
        <v>1700</v>
      </c>
      <c r="Z13" s="58">
        <f>AVERAGE('Costdrivere 2021'!Z13,'Costdrivere 2022'!Z13)</f>
        <v>45000</v>
      </c>
      <c r="AA13" s="88">
        <f>AVERAGE('Costdrivere 2021'!AA13,'Costdrivere 2022'!AA13)</f>
        <v>10725669.330943443</v>
      </c>
      <c r="AB13" s="88">
        <f>AVERAGE('Costdrivere 2021'!AB13,'Costdrivere 2022'!AB13)</f>
        <v>0</v>
      </c>
      <c r="AC13" s="58">
        <f>AVERAGE('Costdrivere 2021'!AC13,'Costdrivere 2022'!AC13)</f>
        <v>1218.0999999999999</v>
      </c>
      <c r="AD13" s="290">
        <f>AVERAGE('Costdrivere 2021'!AD13,'Costdrivere 2022'!AD13)</f>
        <v>0</v>
      </c>
      <c r="AE13" s="145">
        <f>AVERAGE('Costdrivere 2021'!AE13,'Costdrivere 2022'!AE13)</f>
        <v>29.55</v>
      </c>
      <c r="AF13" s="58">
        <f>AVERAGE('Costdrivere 2021'!AF13,'Costdrivere 2022'!AF13)</f>
        <v>1163</v>
      </c>
      <c r="AG13" s="290">
        <f>AVERAGE('Costdrivere 2021'!AG13,'Costdrivere 2022'!AG13)</f>
        <v>0</v>
      </c>
      <c r="AH13" s="145">
        <f>AVERAGE('Costdrivere 2021'!AH13,'Costdrivere 2022'!AH13)</f>
        <v>0</v>
      </c>
      <c r="AI13" s="88">
        <f>AVERAGE('Costdrivere 2021'!AI13,'Costdrivere 2022'!AI13)</f>
        <v>17797</v>
      </c>
      <c r="AJ13" s="88">
        <f>AVERAGE('Costdrivere 2021'!AJ13,'Costdrivere 2022'!AJ13)</f>
        <v>1754952</v>
      </c>
      <c r="AK13" s="99" t="str">
        <f>'Costdrivere 2022'!AK13</f>
        <v>t+r</v>
      </c>
      <c r="AL13" s="150">
        <f>AVERAGE('Costdrivere 2021'!AL13,'Costdrivere 2022'!AL13)</f>
        <v>22300</v>
      </c>
      <c r="AM13" s="48"/>
      <c r="AN13" s="121">
        <f>AVERAGE('Costdrivere 2021'!AN13,'Costdrivere 2022'!AN13)</f>
        <v>7554301.2294957349</v>
      </c>
      <c r="AO13" s="166">
        <f>AVERAGE('Costdrivere 2021'!AO13,'Costdrivere 2022'!AO13)</f>
        <v>63760490.439766675</v>
      </c>
      <c r="AP13" s="118">
        <f>AVERAGE('Costdrivere 2021'!AP13,'Costdrivere 2022'!AP13)</f>
        <v>1044888.3380118632</v>
      </c>
      <c r="AQ13" s="203"/>
    </row>
    <row r="14" spans="1:43" x14ac:dyDescent="0.25">
      <c r="A14" s="202" t="s">
        <v>39</v>
      </c>
      <c r="B14" s="202" t="s">
        <v>40</v>
      </c>
      <c r="C14" s="141">
        <f>AVERAGE('Costdrivere 2021'!C14,'Costdrivere 2022'!C14)</f>
        <v>2155119.6263000001</v>
      </c>
      <c r="D14" s="119">
        <f>AVERAGE('Costdrivere 2021'!D14,'Costdrivere 2022'!D14)</f>
        <v>574381.03560000006</v>
      </c>
      <c r="E14" s="119">
        <f>AVERAGE('Costdrivere 2021'!E14,'Costdrivere 2022'!E14)</f>
        <v>386293.17250000004</v>
      </c>
      <c r="F14" s="119">
        <f>AVERAGE('Costdrivere 2021'!F14,'Costdrivere 2022'!F14)</f>
        <v>267408.12700000004</v>
      </c>
      <c r="G14" s="119">
        <f>AVERAGE('Costdrivere 2021'!G14,'Costdrivere 2022'!G14)</f>
        <v>0</v>
      </c>
      <c r="H14" s="119">
        <f>AVERAGE('Costdrivere 2021'!H14,'Costdrivere 2022'!H14)</f>
        <v>0</v>
      </c>
      <c r="I14" s="119">
        <f>AVERAGE('Costdrivere 2021'!I14,'Costdrivere 2022'!I14)</f>
        <v>0</v>
      </c>
      <c r="J14" s="119">
        <f>AVERAGE('Costdrivere 2021'!J14,'Costdrivere 2022'!J14)</f>
        <v>0</v>
      </c>
      <c r="K14" s="119">
        <f>AVERAGE('Costdrivere 2021'!K14,'Costdrivere 2022'!K14)</f>
        <v>1006612.7321626612</v>
      </c>
      <c r="L14" s="159">
        <f>AVERAGE('Costdrivere 2021'!L14,'Costdrivere 2022'!L14)</f>
        <v>2458823.1580998506</v>
      </c>
      <c r="M14" s="292">
        <f>AVERAGE('Costdrivere 2021'!M14,'Costdrivere 2022'!M14)</f>
        <v>0.13819871794871796</v>
      </c>
      <c r="N14" s="141">
        <f>AVERAGE('Costdrivere 2021'!N14,'Costdrivere 2022'!N14)</f>
        <v>17</v>
      </c>
      <c r="O14" s="119">
        <f>AVERAGE('Costdrivere 2021'!O14,'Costdrivere 2022'!O14)</f>
        <v>203</v>
      </c>
      <c r="P14" s="119">
        <f>AVERAGE('Costdrivere 2021'!P14,'Costdrivere 2022'!P14)</f>
        <v>34</v>
      </c>
      <c r="Q14" s="119">
        <f>AVERAGE('Costdrivere 2021'!Q14,'Costdrivere 2022'!Q14)</f>
        <v>0</v>
      </c>
      <c r="R14" s="159">
        <f>AVERAGE('Costdrivere 2021'!R14,'Costdrivere 2022'!R14)</f>
        <v>3</v>
      </c>
      <c r="S14" s="141">
        <f>AVERAGE('Costdrivere 2021'!S14,'Costdrivere 2022'!S14)</f>
        <v>0</v>
      </c>
      <c r="T14" s="119">
        <f>AVERAGE('Costdrivere 2021'!T14,'Costdrivere 2022'!T14)</f>
        <v>11</v>
      </c>
      <c r="U14" s="119">
        <f>AVERAGE('Costdrivere 2021'!U14,'Costdrivere 2022'!U14)</f>
        <v>14</v>
      </c>
      <c r="V14" s="119">
        <f>AVERAGE('Costdrivere 2021'!V14,'Costdrivere 2022'!V14)</f>
        <v>401</v>
      </c>
      <c r="W14" s="159">
        <f>AVERAGE('Costdrivere 2021'!W14,'Costdrivere 2022'!W14)</f>
        <v>0</v>
      </c>
      <c r="X14" s="58">
        <f>AVERAGE('Costdrivere 2021'!X14,'Costdrivere 2022'!X14)</f>
        <v>205989</v>
      </c>
      <c r="Y14" s="159">
        <f>AVERAGE('Costdrivere 2021'!Y14,'Costdrivere 2022'!Y14)</f>
        <v>31345</v>
      </c>
      <c r="Z14" s="58">
        <f>AVERAGE('Costdrivere 2021'!Z14,'Costdrivere 2022'!Z14)</f>
        <v>43687</v>
      </c>
      <c r="AA14" s="88">
        <f>AVERAGE('Costdrivere 2021'!AA14,'Costdrivere 2022'!AA14)</f>
        <v>0</v>
      </c>
      <c r="AB14" s="88">
        <f>AVERAGE('Costdrivere 2021'!AB14,'Costdrivere 2022'!AB14)</f>
        <v>0</v>
      </c>
      <c r="AC14" s="58">
        <f>AVERAGE('Costdrivere 2021'!AC14,'Costdrivere 2022'!AC14)</f>
        <v>0</v>
      </c>
      <c r="AD14" s="290">
        <f>AVERAGE('Costdrivere 2021'!AD14,'Costdrivere 2022'!AD14)</f>
        <v>0</v>
      </c>
      <c r="AE14" s="145">
        <f>AVERAGE('Costdrivere 2021'!AE14,'Costdrivere 2022'!AE14)</f>
        <v>0</v>
      </c>
      <c r="AF14" s="58">
        <f>AVERAGE('Costdrivere 2021'!AF14,'Costdrivere 2022'!AF14)</f>
        <v>0</v>
      </c>
      <c r="AG14" s="290">
        <f>AVERAGE('Costdrivere 2021'!AG14,'Costdrivere 2022'!AG14)</f>
        <v>0</v>
      </c>
      <c r="AH14" s="145">
        <f>AVERAGE('Costdrivere 2021'!AH14,'Costdrivere 2022'!AH14)</f>
        <v>0</v>
      </c>
      <c r="AI14" s="88">
        <f>AVERAGE('Costdrivere 2021'!AI14,'Costdrivere 2022'!AI14)</f>
        <v>5856</v>
      </c>
      <c r="AJ14" s="88">
        <f>AVERAGE('Costdrivere 2021'!AJ14,'Costdrivere 2022'!AJ14)</f>
        <v>1796178.5</v>
      </c>
      <c r="AK14" s="99" t="str">
        <f>'Costdrivere 2022'!AK14</f>
        <v>t</v>
      </c>
      <c r="AL14" s="150">
        <f>AVERAGE('Costdrivere 2021'!AL14,'Costdrivere 2022'!AL14)</f>
        <v>21559</v>
      </c>
      <c r="AM14" s="48"/>
      <c r="AN14" s="121">
        <f>AVERAGE('Costdrivere 2021'!AN14,'Costdrivere 2022'!AN14)</f>
        <v>0</v>
      </c>
      <c r="AO14" s="166">
        <f>AVERAGE('Costdrivere 2021'!AO14,'Costdrivere 2022'!AO14)</f>
        <v>31620353.598666668</v>
      </c>
      <c r="AP14" s="118">
        <f>AVERAGE('Costdrivere 2021'!AP14,'Costdrivere 2022'!AP14)</f>
        <v>72922.36</v>
      </c>
      <c r="AQ14" s="203"/>
    </row>
    <row r="15" spans="1:43" x14ac:dyDescent="0.25">
      <c r="A15" s="202" t="s">
        <v>41</v>
      </c>
      <c r="B15" s="202" t="s">
        <v>42</v>
      </c>
      <c r="C15" s="141">
        <f>AVERAGE('Costdrivere 2021'!C15,'Costdrivere 2022'!C15)</f>
        <v>2861613.7821</v>
      </c>
      <c r="D15" s="119">
        <f>AVERAGE('Costdrivere 2021'!D15,'Costdrivere 2022'!D15)</f>
        <v>2229472.1966000004</v>
      </c>
      <c r="E15" s="119">
        <f>AVERAGE('Costdrivere 2021'!E15,'Costdrivere 2022'!E15)</f>
        <v>111346.41680000001</v>
      </c>
      <c r="F15" s="119">
        <f>AVERAGE('Costdrivere 2021'!F15,'Costdrivere 2022'!F15)</f>
        <v>164042.80000000002</v>
      </c>
      <c r="G15" s="119">
        <f>AVERAGE('Costdrivere 2021'!G15,'Costdrivere 2022'!G15)</f>
        <v>5499809.4745601583</v>
      </c>
      <c r="H15" s="119">
        <f>AVERAGE('Costdrivere 2021'!H15,'Costdrivere 2022'!H15)</f>
        <v>0</v>
      </c>
      <c r="I15" s="119">
        <f>AVERAGE('Costdrivere 2021'!I15,'Costdrivere 2022'!I15)</f>
        <v>1269640.8005000001</v>
      </c>
      <c r="J15" s="119">
        <f>AVERAGE('Costdrivere 2021'!J15,'Costdrivere 2022'!J15)</f>
        <v>1659136.35185</v>
      </c>
      <c r="K15" s="119">
        <f>AVERAGE('Costdrivere 2021'!K15,'Costdrivere 2022'!K15)</f>
        <v>1348155.5067779114</v>
      </c>
      <c r="L15" s="159">
        <f>AVERAGE('Costdrivere 2021'!L15,'Costdrivere 2022'!L15)</f>
        <v>2392115.3805713831</v>
      </c>
      <c r="M15" s="292">
        <f>AVERAGE('Costdrivere 2021'!M15,'Costdrivere 2022'!M15)</f>
        <v>3.7016968236409611E-2</v>
      </c>
      <c r="N15" s="141">
        <f>AVERAGE('Costdrivere 2021'!N15,'Costdrivere 2022'!N15)</f>
        <v>201</v>
      </c>
      <c r="O15" s="119">
        <f>AVERAGE('Costdrivere 2021'!O15,'Costdrivere 2022'!O15)</f>
        <v>376</v>
      </c>
      <c r="P15" s="119">
        <f>AVERAGE('Costdrivere 2021'!P15,'Costdrivere 2022'!P15)</f>
        <v>47</v>
      </c>
      <c r="Q15" s="119">
        <f>AVERAGE('Costdrivere 2021'!Q15,'Costdrivere 2022'!Q15)</f>
        <v>0</v>
      </c>
      <c r="R15" s="159">
        <f>AVERAGE('Costdrivere 2021'!R15,'Costdrivere 2022'!R15)</f>
        <v>1</v>
      </c>
      <c r="S15" s="141">
        <f>AVERAGE('Costdrivere 2021'!S15,'Costdrivere 2022'!S15)</f>
        <v>6</v>
      </c>
      <c r="T15" s="119">
        <f>AVERAGE('Costdrivere 2021'!T15,'Costdrivere 2022'!T15)</f>
        <v>20</v>
      </c>
      <c r="U15" s="119">
        <f>AVERAGE('Costdrivere 2021'!U15,'Costdrivere 2022'!U15)</f>
        <v>59</v>
      </c>
      <c r="V15" s="119">
        <f>AVERAGE('Costdrivere 2021'!V15,'Costdrivere 2022'!V15)</f>
        <v>1957</v>
      </c>
      <c r="W15" s="159">
        <f>AVERAGE('Costdrivere 2021'!W15,'Costdrivere 2022'!W15)</f>
        <v>0</v>
      </c>
      <c r="X15" s="58">
        <f>AVERAGE('Costdrivere 2021'!X15,'Costdrivere 2022'!X15)</f>
        <v>30000</v>
      </c>
      <c r="Y15" s="159">
        <f>AVERAGE('Costdrivere 2021'!Y15,'Costdrivere 2022'!Y15)</f>
        <v>26264</v>
      </c>
      <c r="Z15" s="58">
        <f>AVERAGE('Costdrivere 2021'!Z15,'Costdrivere 2022'!Z15)</f>
        <v>26800</v>
      </c>
      <c r="AA15" s="88">
        <f>AVERAGE('Costdrivere 2021'!AA15,'Costdrivere 2022'!AA15)</f>
        <v>5499809.4745601583</v>
      </c>
      <c r="AB15" s="88">
        <f>AVERAGE('Costdrivere 2021'!AB15,'Costdrivere 2022'!AB15)</f>
        <v>0</v>
      </c>
      <c r="AC15" s="58">
        <f>AVERAGE('Costdrivere 2021'!AC15,'Costdrivere 2022'!AC15)</f>
        <v>467.5</v>
      </c>
      <c r="AD15" s="290">
        <f>AVERAGE('Costdrivere 2021'!AD15,'Costdrivere 2022'!AD15)</f>
        <v>0</v>
      </c>
      <c r="AE15" s="145">
        <f>AVERAGE('Costdrivere 2021'!AE15,'Costdrivere 2022'!AE15)</f>
        <v>241.5</v>
      </c>
      <c r="AF15" s="58">
        <f>AVERAGE('Costdrivere 2021'!AF15,'Costdrivere 2022'!AF15)</f>
        <v>0</v>
      </c>
      <c r="AG15" s="290">
        <f>AVERAGE('Costdrivere 2021'!AG15,'Costdrivere 2022'!AG15)</f>
        <v>0</v>
      </c>
      <c r="AH15" s="145">
        <f>AVERAGE('Costdrivere 2021'!AH15,'Costdrivere 2022'!AH15)</f>
        <v>677.5</v>
      </c>
      <c r="AI15" s="88">
        <f>AVERAGE('Costdrivere 2021'!AI15,'Costdrivere 2022'!AI15)</f>
        <v>12287.5</v>
      </c>
      <c r="AJ15" s="88">
        <f>AVERAGE('Costdrivere 2021'!AJ15,'Costdrivere 2022'!AJ15)</f>
        <v>1275423</v>
      </c>
      <c r="AK15" s="99" t="str">
        <f>'Costdrivere 2022'!AK15</f>
        <v>t+r</v>
      </c>
      <c r="AL15" s="150">
        <f>AVERAGE('Costdrivere 2021'!AL15,'Costdrivere 2022'!AL15)</f>
        <v>16657.5</v>
      </c>
      <c r="AM15" s="48"/>
      <c r="AN15" s="121">
        <f>AVERAGE('Costdrivere 2021'!AN15,'Costdrivere 2022'!AN15)</f>
        <v>5157527.7715448709</v>
      </c>
      <c r="AO15" s="166">
        <f>AVERAGE('Costdrivere 2021'!AO15,'Costdrivere 2022'!AO15)</f>
        <v>52403876.681486219</v>
      </c>
      <c r="AP15" s="118">
        <f>AVERAGE('Costdrivere 2021'!AP15,'Costdrivere 2022'!AP15)</f>
        <v>1350770.6676304608</v>
      </c>
      <c r="AQ15" s="203"/>
    </row>
    <row r="16" spans="1:43" x14ac:dyDescent="0.25">
      <c r="A16" s="202" t="s">
        <v>43</v>
      </c>
      <c r="B16" s="202" t="s">
        <v>44</v>
      </c>
      <c r="C16" s="141">
        <f>AVERAGE('Costdrivere 2021'!C16,'Costdrivere 2022'!C16)</f>
        <v>3327781.2590730004</v>
      </c>
      <c r="D16" s="119">
        <f>AVERAGE('Costdrivere 2021'!D16,'Costdrivere 2022'!D16)</f>
        <v>4543817.3328499999</v>
      </c>
      <c r="E16" s="119">
        <f>AVERAGE('Costdrivere 2021'!E16,'Costdrivere 2022'!E16)</f>
        <v>480195.11285000003</v>
      </c>
      <c r="F16" s="119">
        <f>AVERAGE('Costdrivere 2021'!F16,'Costdrivere 2022'!F16)</f>
        <v>166469.77650000001</v>
      </c>
      <c r="G16" s="119">
        <f>AVERAGE('Costdrivere 2021'!G16,'Costdrivere 2022'!G16)</f>
        <v>4498120.1672537699</v>
      </c>
      <c r="H16" s="119">
        <f>AVERAGE('Costdrivere 2021'!H16,'Costdrivere 2022'!H16)</f>
        <v>8589.6209999999992</v>
      </c>
      <c r="I16" s="119">
        <f>AVERAGE('Costdrivere 2021'!I16,'Costdrivere 2022'!I16)</f>
        <v>1199447.8214150001</v>
      </c>
      <c r="J16" s="119">
        <f>AVERAGE('Costdrivere 2021'!J16,'Costdrivere 2022'!J16)</f>
        <v>645606.95860000001</v>
      </c>
      <c r="K16" s="119">
        <f>AVERAGE('Costdrivere 2021'!K16,'Costdrivere 2022'!K16)</f>
        <v>1460698.9893440143</v>
      </c>
      <c r="L16" s="159">
        <f>AVERAGE('Costdrivere 2021'!L16,'Costdrivere 2022'!L16)</f>
        <v>2989965.5457832739</v>
      </c>
      <c r="M16" s="292">
        <f>AVERAGE('Costdrivere 2021'!M16,'Costdrivere 2022'!M16)</f>
        <v>4.4028538614884635E-2</v>
      </c>
      <c r="N16" s="141">
        <f>AVERAGE('Costdrivere 2021'!N16,'Costdrivere 2022'!N16)</f>
        <v>142.32</v>
      </c>
      <c r="O16" s="119">
        <f>AVERAGE('Costdrivere 2021'!O16,'Costdrivere 2022'!O16)</f>
        <v>487.125</v>
      </c>
      <c r="P16" s="119">
        <f>AVERAGE('Costdrivere 2021'!P16,'Costdrivere 2022'!P16)</f>
        <v>53.495000000000005</v>
      </c>
      <c r="Q16" s="119">
        <f>AVERAGE('Costdrivere 2021'!Q16,'Costdrivere 2022'!Q16)</f>
        <v>0</v>
      </c>
      <c r="R16" s="159">
        <f>AVERAGE('Costdrivere 2021'!R16,'Costdrivere 2022'!R16)</f>
        <v>1.335</v>
      </c>
      <c r="S16" s="141">
        <f>AVERAGE('Costdrivere 2021'!S16,'Costdrivere 2022'!S16)</f>
        <v>59</v>
      </c>
      <c r="T16" s="119">
        <f>AVERAGE('Costdrivere 2021'!T16,'Costdrivere 2022'!T16)</f>
        <v>45.5</v>
      </c>
      <c r="U16" s="119">
        <f>AVERAGE('Costdrivere 2021'!U16,'Costdrivere 2022'!U16)</f>
        <v>95</v>
      </c>
      <c r="V16" s="119">
        <f>AVERAGE('Costdrivere 2021'!V16,'Costdrivere 2022'!V16)</f>
        <v>4137</v>
      </c>
      <c r="W16" s="159">
        <f>AVERAGE('Costdrivere 2021'!W16,'Costdrivere 2022'!W16)</f>
        <v>1650</v>
      </c>
      <c r="X16" s="58">
        <f>AVERAGE('Costdrivere 2021'!X16,'Costdrivere 2022'!X16)</f>
        <v>49520</v>
      </c>
      <c r="Y16" s="159">
        <f>AVERAGE('Costdrivere 2021'!Y16,'Costdrivere 2022'!Y16)</f>
        <v>160105.5</v>
      </c>
      <c r="Z16" s="58">
        <f>AVERAGE('Costdrivere 2021'!Z16,'Costdrivere 2022'!Z16)</f>
        <v>27196.5</v>
      </c>
      <c r="AA16" s="88">
        <f>AVERAGE('Costdrivere 2021'!AA16,'Costdrivere 2022'!AA16)</f>
        <v>4498120.1672537699</v>
      </c>
      <c r="AB16" s="88">
        <f>AVERAGE('Costdrivere 2021'!AB16,'Costdrivere 2022'!AB16)</f>
        <v>3</v>
      </c>
      <c r="AC16" s="58">
        <f>AVERAGE('Costdrivere 2021'!AC16,'Costdrivere 2022'!AC16)</f>
        <v>408.45</v>
      </c>
      <c r="AD16" s="290">
        <f>AVERAGE('Costdrivere 2021'!AD16,'Costdrivere 2022'!AD16)</f>
        <v>0</v>
      </c>
      <c r="AE16" s="145">
        <f>AVERAGE('Costdrivere 2021'!AE16,'Costdrivere 2022'!AE16)</f>
        <v>209.10000000000002</v>
      </c>
      <c r="AF16" s="58">
        <f>AVERAGE('Costdrivere 2021'!AF16,'Costdrivere 2022'!AF16)</f>
        <v>310</v>
      </c>
      <c r="AG16" s="290">
        <f>AVERAGE('Costdrivere 2021'!AG16,'Costdrivere 2022'!AG16)</f>
        <v>0</v>
      </c>
      <c r="AH16" s="145">
        <f>AVERAGE('Costdrivere 2021'!AH16,'Costdrivere 2022'!AH16)</f>
        <v>0</v>
      </c>
      <c r="AI16" s="88">
        <f>AVERAGE('Costdrivere 2021'!AI16,'Costdrivere 2022'!AI16)</f>
        <v>15060</v>
      </c>
      <c r="AJ16" s="88">
        <f>AVERAGE('Costdrivere 2021'!AJ16,'Costdrivere 2022'!AJ16)</f>
        <v>1599575.5</v>
      </c>
      <c r="AK16" s="99" t="str">
        <f>'Costdrivere 2022'!AK16</f>
        <v>t+r</v>
      </c>
      <c r="AL16" s="150">
        <f>AVERAGE('Costdrivere 2021'!AL16,'Costdrivere 2022'!AL16)</f>
        <v>19993</v>
      </c>
      <c r="AM16" s="48"/>
      <c r="AN16" s="121">
        <f>AVERAGE('Costdrivere 2021'!AN16,'Costdrivere 2022'!AN16)</f>
        <v>3984339.1408665041</v>
      </c>
      <c r="AO16" s="166">
        <f>AVERAGE('Costdrivere 2021'!AO16,'Costdrivere 2022'!AO16)</f>
        <v>70044118.006522968</v>
      </c>
      <c r="AP16" s="118">
        <f>AVERAGE('Costdrivere 2021'!AP16,'Costdrivere 2022'!AP16)</f>
        <v>1063879.7725902963</v>
      </c>
      <c r="AQ16" s="203"/>
    </row>
    <row r="17" spans="1:43" x14ac:dyDescent="0.25">
      <c r="A17" s="202" t="s">
        <v>45</v>
      </c>
      <c r="B17" s="202" t="s">
        <v>46</v>
      </c>
      <c r="C17" s="141">
        <f>AVERAGE('Costdrivere 2021'!C17,'Costdrivere 2022'!C17)</f>
        <v>11953234.306613501</v>
      </c>
      <c r="D17" s="119">
        <f>AVERAGE('Costdrivere 2021'!D17,'Costdrivere 2022'!D17)</f>
        <v>5609427.3410000009</v>
      </c>
      <c r="E17" s="119">
        <f>AVERAGE('Costdrivere 2021'!E17,'Costdrivere 2022'!E17)</f>
        <v>1461536.4139999999</v>
      </c>
      <c r="F17" s="119">
        <f>AVERAGE('Costdrivere 2021'!F17,'Costdrivere 2022'!F17)</f>
        <v>610144.34050000005</v>
      </c>
      <c r="G17" s="119">
        <f>AVERAGE('Costdrivere 2021'!G17,'Costdrivere 2022'!G17)</f>
        <v>18717198.041223202</v>
      </c>
      <c r="H17" s="119">
        <f>AVERAGE('Costdrivere 2021'!H17,'Costdrivere 2022'!H17)</f>
        <v>0</v>
      </c>
      <c r="I17" s="119">
        <f>AVERAGE('Costdrivere 2021'!I17,'Costdrivere 2022'!I17)</f>
        <v>1662681.9011945</v>
      </c>
      <c r="J17" s="119">
        <f>AVERAGE('Costdrivere 2021'!J17,'Costdrivere 2022'!J17)</f>
        <v>2112229.8017570004</v>
      </c>
      <c r="K17" s="119">
        <f>AVERAGE('Costdrivere 2021'!K17,'Costdrivere 2022'!K17)</f>
        <v>1977628.484803196</v>
      </c>
      <c r="L17" s="159">
        <f>AVERAGE('Costdrivere 2021'!L17,'Costdrivere 2022'!L17)</f>
        <v>6987193.7429718208</v>
      </c>
      <c r="M17" s="292">
        <f>AVERAGE('Costdrivere 2021'!M17,'Costdrivere 2022'!M17)</f>
        <v>2.4239316515041825E-2</v>
      </c>
      <c r="N17" s="141">
        <f>AVERAGE('Costdrivere 2021'!N17,'Costdrivere 2022'!N17)</f>
        <v>667.84</v>
      </c>
      <c r="O17" s="119">
        <f>AVERAGE('Costdrivere 2021'!O17,'Costdrivere 2022'!O17)</f>
        <v>1323.4749999999999</v>
      </c>
      <c r="P17" s="119">
        <f>AVERAGE('Costdrivere 2021'!P17,'Costdrivere 2022'!P17)</f>
        <v>88.67</v>
      </c>
      <c r="Q17" s="119">
        <f>AVERAGE('Costdrivere 2021'!Q17,'Costdrivere 2022'!Q17)</f>
        <v>0</v>
      </c>
      <c r="R17" s="159">
        <f>AVERAGE('Costdrivere 2021'!R17,'Costdrivere 2022'!R17)</f>
        <v>14.864999999999998</v>
      </c>
      <c r="S17" s="141">
        <f>AVERAGE('Costdrivere 2021'!S17,'Costdrivere 2022'!S17)</f>
        <v>4</v>
      </c>
      <c r="T17" s="119">
        <f>AVERAGE('Costdrivere 2021'!T17,'Costdrivere 2022'!T17)</f>
        <v>56</v>
      </c>
      <c r="U17" s="119">
        <f>AVERAGE('Costdrivere 2021'!U17,'Costdrivere 2022'!U17)</f>
        <v>214</v>
      </c>
      <c r="V17" s="119">
        <f>AVERAGE('Costdrivere 2021'!V17,'Costdrivere 2022'!V17)</f>
        <v>0</v>
      </c>
      <c r="W17" s="159">
        <f>AVERAGE('Costdrivere 2021'!W17,'Costdrivere 2022'!W17)</f>
        <v>0</v>
      </c>
      <c r="X17" s="58">
        <f>AVERAGE('Costdrivere 2021'!X17,'Costdrivere 2022'!X17)</f>
        <v>382668</v>
      </c>
      <c r="Y17" s="159">
        <f>AVERAGE('Costdrivere 2021'!Y17,'Costdrivere 2022'!Y17)</f>
        <v>351260</v>
      </c>
      <c r="Z17" s="58">
        <f>AVERAGE('Costdrivere 2021'!Z17,'Costdrivere 2022'!Z17)</f>
        <v>99680.5</v>
      </c>
      <c r="AA17" s="88">
        <f>AVERAGE('Costdrivere 2021'!AA17,'Costdrivere 2022'!AA17)</f>
        <v>18717198.041223202</v>
      </c>
      <c r="AB17" s="88">
        <f>AVERAGE('Costdrivere 2021'!AB17,'Costdrivere 2022'!AB17)</f>
        <v>0</v>
      </c>
      <c r="AC17" s="58">
        <f>AVERAGE('Costdrivere 2021'!AC17,'Costdrivere 2022'!AC17)</f>
        <v>667.245</v>
      </c>
      <c r="AD17" s="290">
        <f>AVERAGE('Costdrivere 2021'!AD17,'Costdrivere 2022'!AD17)</f>
        <v>962.59500000000003</v>
      </c>
      <c r="AE17" s="145">
        <f>AVERAGE('Costdrivere 2021'!AE17,'Costdrivere 2022'!AE17)</f>
        <v>0</v>
      </c>
      <c r="AF17" s="58">
        <f>AVERAGE('Costdrivere 2021'!AF17,'Costdrivere 2022'!AF17)</f>
        <v>1472.425</v>
      </c>
      <c r="AG17" s="290">
        <f>AVERAGE('Costdrivere 2021'!AG17,'Costdrivere 2022'!AG17)</f>
        <v>0</v>
      </c>
      <c r="AH17" s="145">
        <f>AVERAGE('Costdrivere 2021'!AH17,'Costdrivere 2022'!AH17)</f>
        <v>157.41499999999999</v>
      </c>
      <c r="AI17" s="88">
        <f>AVERAGE('Costdrivere 2021'!AI17,'Costdrivere 2022'!AI17)</f>
        <v>32479</v>
      </c>
      <c r="AJ17" s="88">
        <f>AVERAGE('Costdrivere 2021'!AJ17,'Costdrivere 2022'!AJ17)</f>
        <v>3786410.5</v>
      </c>
      <c r="AK17" s="99" t="str">
        <f>'Costdrivere 2022'!AK17</f>
        <v>t+r</v>
      </c>
      <c r="AL17" s="150">
        <f>AVERAGE('Costdrivere 2021'!AL17,'Costdrivere 2022'!AL17)</f>
        <v>34819</v>
      </c>
      <c r="AM17" s="48"/>
      <c r="AN17" s="121">
        <f>AVERAGE('Costdrivere 2021'!AN17,'Costdrivere 2022'!AN17)</f>
        <v>15251931.74792021</v>
      </c>
      <c r="AO17" s="166">
        <f>AVERAGE('Costdrivere 2021'!AO17,'Costdrivere 2022'!AO17)</f>
        <v>232411836.27397695</v>
      </c>
      <c r="AP17" s="118">
        <f>AVERAGE('Costdrivere 2021'!AP17,'Costdrivere 2022'!AP17)</f>
        <v>3421453.3333333335</v>
      </c>
      <c r="AQ17" s="203"/>
    </row>
    <row r="18" spans="1:43" x14ac:dyDescent="0.25">
      <c r="A18" s="202" t="s">
        <v>47</v>
      </c>
      <c r="B18" s="202" t="s">
        <v>48</v>
      </c>
      <c r="C18" s="141">
        <f>AVERAGE('Costdrivere 2021'!C18,'Costdrivere 2022'!C18)</f>
        <v>11926265.917479999</v>
      </c>
      <c r="D18" s="119">
        <f>AVERAGE('Costdrivere 2021'!D18,'Costdrivere 2022'!D18)</f>
        <v>7787782.7638600003</v>
      </c>
      <c r="E18" s="119">
        <f>AVERAGE('Costdrivere 2021'!E18,'Costdrivere 2022'!E18)</f>
        <v>1402129.24945</v>
      </c>
      <c r="F18" s="119">
        <f>AVERAGE('Costdrivere 2021'!F18,'Costdrivere 2022'!F18)</f>
        <v>242318.14800000002</v>
      </c>
      <c r="G18" s="119">
        <f>AVERAGE('Costdrivere 2021'!G18,'Costdrivere 2022'!G18)</f>
        <v>38574120.779069811</v>
      </c>
      <c r="H18" s="119">
        <f>AVERAGE('Costdrivere 2021'!H18,'Costdrivere 2022'!H18)</f>
        <v>22905.655999999999</v>
      </c>
      <c r="I18" s="119">
        <f>AVERAGE('Costdrivere 2021'!I18,'Costdrivere 2022'!I18)</f>
        <v>5731096.8675500005</v>
      </c>
      <c r="J18" s="119">
        <f>AVERAGE('Costdrivere 2021'!J18,'Costdrivere 2022'!J18)</f>
        <v>2523170.046635</v>
      </c>
      <c r="K18" s="119">
        <f>AVERAGE('Costdrivere 2021'!K18,'Costdrivere 2022'!K18)</f>
        <v>2444030.0381245473</v>
      </c>
      <c r="L18" s="159">
        <f>AVERAGE('Costdrivere 2021'!L18,'Costdrivere 2022'!L18)</f>
        <v>15956373.446289752</v>
      </c>
      <c r="M18" s="292">
        <f>AVERAGE('Costdrivere 2021'!M18,'Costdrivere 2022'!M18)</f>
        <v>4.8091674554482003E-2</v>
      </c>
      <c r="N18" s="141">
        <f>AVERAGE('Costdrivere 2021'!N18,'Costdrivere 2022'!N18)</f>
        <v>814.67499999999995</v>
      </c>
      <c r="O18" s="119">
        <f>AVERAGE('Costdrivere 2021'!O18,'Costdrivere 2022'!O18)</f>
        <v>1855.31</v>
      </c>
      <c r="P18" s="119">
        <f>AVERAGE('Costdrivere 2021'!P18,'Costdrivere 2022'!P18)</f>
        <v>95.59</v>
      </c>
      <c r="Q18" s="119">
        <f>AVERAGE('Costdrivere 2021'!Q18,'Costdrivere 2022'!Q18)</f>
        <v>0</v>
      </c>
      <c r="R18" s="159">
        <f>AVERAGE('Costdrivere 2021'!R18,'Costdrivere 2022'!R18)</f>
        <v>6.1899999999999995</v>
      </c>
      <c r="S18" s="141">
        <f>AVERAGE('Costdrivere 2021'!S18,'Costdrivere 2022'!S18)</f>
        <v>122.5</v>
      </c>
      <c r="T18" s="119">
        <f>AVERAGE('Costdrivere 2021'!T18,'Costdrivere 2022'!T18)</f>
        <v>143.5</v>
      </c>
      <c r="U18" s="119">
        <f>AVERAGE('Costdrivere 2021'!U18,'Costdrivere 2022'!U18)</f>
        <v>210.5</v>
      </c>
      <c r="V18" s="119">
        <f>AVERAGE('Costdrivere 2021'!V18,'Costdrivere 2022'!V18)</f>
        <v>3006.2</v>
      </c>
      <c r="W18" s="159">
        <f>AVERAGE('Costdrivere 2021'!W18,'Costdrivere 2022'!W18)</f>
        <v>0</v>
      </c>
      <c r="X18" s="58">
        <f>AVERAGE('Costdrivere 2021'!X18,'Costdrivere 2022'!X18)</f>
        <v>205992</v>
      </c>
      <c r="Y18" s="159">
        <f>AVERAGE('Costdrivere 2021'!Y18,'Costdrivere 2022'!Y18)</f>
        <v>431483.5</v>
      </c>
      <c r="Z18" s="58">
        <f>AVERAGE('Costdrivere 2021'!Z18,'Costdrivere 2022'!Z18)</f>
        <v>39588</v>
      </c>
      <c r="AA18" s="88">
        <f>AVERAGE('Costdrivere 2021'!AA18,'Costdrivere 2022'!AA18)</f>
        <v>38574120.779069811</v>
      </c>
      <c r="AB18" s="88">
        <f>AVERAGE('Costdrivere 2021'!AB18,'Costdrivere 2022'!AB18)</f>
        <v>8</v>
      </c>
      <c r="AC18" s="58">
        <f>AVERAGE('Costdrivere 2021'!AC18,'Costdrivere 2022'!AC18)</f>
        <v>1103</v>
      </c>
      <c r="AD18" s="290">
        <f>AVERAGE('Costdrivere 2021'!AD18,'Costdrivere 2022'!AD18)</f>
        <v>3163</v>
      </c>
      <c r="AE18" s="145">
        <f>AVERAGE('Costdrivere 2021'!AE18,'Costdrivere 2022'!AE18)</f>
        <v>1360.5</v>
      </c>
      <c r="AF18" s="58">
        <f>AVERAGE('Costdrivere 2021'!AF18,'Costdrivere 2022'!AF18)</f>
        <v>2180</v>
      </c>
      <c r="AG18" s="290">
        <f>AVERAGE('Costdrivere 2021'!AG18,'Costdrivere 2022'!AG18)</f>
        <v>0</v>
      </c>
      <c r="AH18" s="145">
        <f>AVERAGE('Costdrivere 2021'!AH18,'Costdrivere 2022'!AH18)</f>
        <v>6.45</v>
      </c>
      <c r="AI18" s="88">
        <f>AVERAGE('Costdrivere 2021'!AI18,'Costdrivere 2022'!AI18)</f>
        <v>55576.5</v>
      </c>
      <c r="AJ18" s="88">
        <f>AVERAGE('Costdrivere 2021'!AJ18,'Costdrivere 2022'!AJ18)</f>
        <v>8755333</v>
      </c>
      <c r="AK18" s="99" t="str">
        <f>'Costdrivere 2022'!AK18</f>
        <v>t+r</v>
      </c>
      <c r="AL18" s="150">
        <f>AVERAGE('Costdrivere 2021'!AL18,'Costdrivere 2022'!AL18)</f>
        <v>95698.5</v>
      </c>
      <c r="AM18" s="48"/>
      <c r="AN18" s="121">
        <f>AVERAGE('Costdrivere 2021'!AN18,'Costdrivere 2022'!AN18)</f>
        <v>46330305.161457755</v>
      </c>
      <c r="AO18" s="166">
        <f>AVERAGE('Costdrivere 2021'!AO18,'Costdrivere 2022'!AO18)</f>
        <v>211524865.90066671</v>
      </c>
      <c r="AP18" s="118">
        <f>AVERAGE('Costdrivere 2021'!AP18,'Costdrivere 2022'!AP18)</f>
        <v>8376640</v>
      </c>
      <c r="AQ18" s="203"/>
    </row>
    <row r="19" spans="1:43" x14ac:dyDescent="0.25">
      <c r="A19" s="202" t="s">
        <v>49</v>
      </c>
      <c r="B19" s="202" t="s">
        <v>50</v>
      </c>
      <c r="C19" s="141">
        <f>AVERAGE('Costdrivere 2021'!C19,'Costdrivere 2022'!C19)</f>
        <v>3913581.0243350007</v>
      </c>
      <c r="D19" s="119">
        <f>AVERAGE('Costdrivere 2021'!D19,'Costdrivere 2022'!D19)</f>
        <v>4066408.4893499999</v>
      </c>
      <c r="E19" s="119">
        <f>AVERAGE('Costdrivere 2021'!E19,'Costdrivere 2022'!E19)</f>
        <v>1229909.3379500001</v>
      </c>
      <c r="F19" s="119">
        <f>AVERAGE('Costdrivere 2021'!F19,'Costdrivere 2022'!F19)</f>
        <v>28242.294000000002</v>
      </c>
      <c r="G19" s="119">
        <f>AVERAGE('Costdrivere 2021'!G19,'Costdrivere 2022'!G19)</f>
        <v>9895439.4973541014</v>
      </c>
      <c r="H19" s="119">
        <f>AVERAGE('Costdrivere 2021'!H19,'Costdrivere 2022'!H19)</f>
        <v>42948.104999999996</v>
      </c>
      <c r="I19" s="119">
        <f>AVERAGE('Costdrivere 2021'!I19,'Costdrivere 2022'!I19)</f>
        <v>1302950.6976574999</v>
      </c>
      <c r="J19" s="119">
        <f>AVERAGE('Costdrivere 2021'!J19,'Costdrivere 2022'!J19)</f>
        <v>1083692.3813</v>
      </c>
      <c r="K19" s="119">
        <f>AVERAGE('Costdrivere 2021'!K19,'Costdrivere 2022'!K19)</f>
        <v>1478050.1053162613</v>
      </c>
      <c r="L19" s="159">
        <f>AVERAGE('Costdrivere 2021'!L19,'Costdrivere 2022'!L19)</f>
        <v>3322006.9129806859</v>
      </c>
      <c r="M19" s="292">
        <f>AVERAGE('Costdrivere 2021'!M19,'Costdrivere 2022'!M19)</f>
        <v>2.6535851580489791E-2</v>
      </c>
      <c r="N19" s="141">
        <f>AVERAGE('Costdrivere 2021'!N19,'Costdrivere 2022'!N19)</f>
        <v>465.86500000000001</v>
      </c>
      <c r="O19" s="119">
        <f>AVERAGE('Costdrivere 2021'!O19,'Costdrivere 2022'!O19)</f>
        <v>727.35</v>
      </c>
      <c r="P19" s="119">
        <f>AVERAGE('Costdrivere 2021'!P19,'Costdrivere 2022'!P19)</f>
        <v>0</v>
      </c>
      <c r="Q19" s="119">
        <f>AVERAGE('Costdrivere 2021'!Q19,'Costdrivere 2022'!Q19)</f>
        <v>0</v>
      </c>
      <c r="R19" s="159">
        <f>AVERAGE('Costdrivere 2021'!R19,'Costdrivere 2022'!R19)</f>
        <v>0.57999999999999996</v>
      </c>
      <c r="S19" s="141">
        <f>AVERAGE('Costdrivere 2021'!S19,'Costdrivere 2022'!S19)</f>
        <v>0</v>
      </c>
      <c r="T19" s="119">
        <f>AVERAGE('Costdrivere 2021'!T19,'Costdrivere 2022'!T19)</f>
        <v>220.5</v>
      </c>
      <c r="U19" s="119">
        <f>AVERAGE('Costdrivere 2021'!U19,'Costdrivere 2022'!U19)</f>
        <v>56</v>
      </c>
      <c r="V19" s="119">
        <f>AVERAGE('Costdrivere 2021'!V19,'Costdrivere 2022'!V19)</f>
        <v>1000</v>
      </c>
      <c r="W19" s="159">
        <f>AVERAGE('Costdrivere 2021'!W19,'Costdrivere 2022'!W19)</f>
        <v>0</v>
      </c>
      <c r="X19" s="58">
        <f>AVERAGE('Costdrivere 2021'!X19,'Costdrivere 2022'!X19)</f>
        <v>221025</v>
      </c>
      <c r="Y19" s="159">
        <f>AVERAGE('Costdrivere 2021'!Y19,'Costdrivere 2022'!Y19)</f>
        <v>354828.5</v>
      </c>
      <c r="Z19" s="58">
        <f>AVERAGE('Costdrivere 2021'!Z19,'Costdrivere 2022'!Z19)</f>
        <v>4614</v>
      </c>
      <c r="AA19" s="88">
        <f>AVERAGE('Costdrivere 2021'!AA19,'Costdrivere 2022'!AA19)</f>
        <v>9895439.4973541014</v>
      </c>
      <c r="AB19" s="88">
        <f>AVERAGE('Costdrivere 2021'!AB19,'Costdrivere 2022'!AB19)</f>
        <v>15</v>
      </c>
      <c r="AC19" s="58">
        <f>AVERAGE('Costdrivere 2021'!AC19,'Costdrivere 2022'!AC19)</f>
        <v>706</v>
      </c>
      <c r="AD19" s="290">
        <f>AVERAGE('Costdrivere 2021'!AD19,'Costdrivere 2022'!AD19)</f>
        <v>0</v>
      </c>
      <c r="AE19" s="145">
        <f>AVERAGE('Costdrivere 2021'!AE19,'Costdrivere 2022'!AE19)</f>
        <v>221.685</v>
      </c>
      <c r="AF19" s="58">
        <f>AVERAGE('Costdrivere 2021'!AF19,'Costdrivere 2022'!AF19)</f>
        <v>706.2</v>
      </c>
      <c r="AG19" s="290">
        <f>AVERAGE('Costdrivere 2021'!AG19,'Costdrivere 2022'!AG19)</f>
        <v>0</v>
      </c>
      <c r="AH19" s="145">
        <f>AVERAGE('Costdrivere 2021'!AH19,'Costdrivere 2022'!AH19)</f>
        <v>22</v>
      </c>
      <c r="AI19" s="88">
        <f>AVERAGE('Costdrivere 2021'!AI19,'Costdrivere 2022'!AI19)</f>
        <v>15517</v>
      </c>
      <c r="AJ19" s="88">
        <f>AVERAGE('Costdrivere 2021'!AJ19,'Costdrivere 2022'!AJ19)</f>
        <v>1780049.5</v>
      </c>
      <c r="AK19" s="99" t="str">
        <f>'Costdrivere 2022'!AK19</f>
        <v>t+r</v>
      </c>
      <c r="AL19" s="150">
        <f>AVERAGE('Costdrivere 2021'!AL19,'Costdrivere 2022'!AL19)</f>
        <v>19384</v>
      </c>
      <c r="AM19" s="48"/>
      <c r="AN19" s="121">
        <f>AVERAGE('Costdrivere 2021'!AN19,'Costdrivere 2022'!AN19)</f>
        <v>9768607.5998658855</v>
      </c>
      <c r="AO19" s="166">
        <f>AVERAGE('Costdrivere 2021'!AO19,'Costdrivere 2022'!AO19)</f>
        <v>99291441.636666656</v>
      </c>
      <c r="AP19" s="118">
        <f>AVERAGE('Costdrivere 2021'!AP19,'Costdrivere 2022'!AP19)</f>
        <v>1031800</v>
      </c>
      <c r="AQ19" s="203"/>
    </row>
    <row r="20" spans="1:43" x14ac:dyDescent="0.25">
      <c r="A20" s="202" t="s">
        <v>51</v>
      </c>
      <c r="B20" s="202" t="s">
        <v>52</v>
      </c>
      <c r="C20" s="141">
        <f>AVERAGE('Costdrivere 2021'!C20,'Costdrivere 2022'!C20)</f>
        <v>2873666.7476110002</v>
      </c>
      <c r="D20" s="119">
        <f>AVERAGE('Costdrivere 2021'!D20,'Costdrivere 2022'!D20)</f>
        <v>3697874.7195500005</v>
      </c>
      <c r="E20" s="119">
        <f>AVERAGE('Costdrivere 2021'!E20,'Costdrivere 2022'!E20)</f>
        <v>286312.04729999998</v>
      </c>
      <c r="F20" s="119">
        <f>AVERAGE('Costdrivere 2021'!F20,'Costdrivere 2022'!F20)</f>
        <v>41530.985000000001</v>
      </c>
      <c r="G20" s="119">
        <f>AVERAGE('Costdrivere 2021'!G20,'Costdrivere 2022'!G20)</f>
        <v>0</v>
      </c>
      <c r="H20" s="119">
        <f>AVERAGE('Costdrivere 2021'!H20,'Costdrivere 2022'!H20)</f>
        <v>151749.97099999999</v>
      </c>
      <c r="I20" s="119">
        <f>AVERAGE('Costdrivere 2021'!I20,'Costdrivere 2022'!I20)</f>
        <v>0</v>
      </c>
      <c r="J20" s="119">
        <f>AVERAGE('Costdrivere 2021'!J20,'Costdrivere 2022'!J20)</f>
        <v>0</v>
      </c>
      <c r="K20" s="119">
        <f>AVERAGE('Costdrivere 2021'!K20,'Costdrivere 2022'!K20)</f>
        <v>1360171.6714734989</v>
      </c>
      <c r="L20" s="159">
        <f>AVERAGE('Costdrivere 2021'!L20,'Costdrivere 2022'!L20)</f>
        <v>1873193.9081502291</v>
      </c>
      <c r="M20" s="292">
        <f>AVERAGE('Costdrivere 2021'!M20,'Costdrivere 2022'!M20)</f>
        <v>2.6621045297850546E-2</v>
      </c>
      <c r="N20" s="141">
        <f>AVERAGE('Costdrivere 2021'!N20,'Costdrivere 2022'!N20)</f>
        <v>265.20000000000005</v>
      </c>
      <c r="O20" s="119">
        <f>AVERAGE('Costdrivere 2021'!O20,'Costdrivere 2022'!O20)</f>
        <v>426.15</v>
      </c>
      <c r="P20" s="119">
        <f>AVERAGE('Costdrivere 2021'!P20,'Costdrivere 2022'!P20)</f>
        <v>0</v>
      </c>
      <c r="Q20" s="119">
        <f>AVERAGE('Costdrivere 2021'!Q20,'Costdrivere 2022'!Q20)</f>
        <v>0</v>
      </c>
      <c r="R20" s="159">
        <f>AVERAGE('Costdrivere 2021'!R20,'Costdrivere 2022'!R20)</f>
        <v>2.48</v>
      </c>
      <c r="S20" s="141">
        <f>AVERAGE('Costdrivere 2021'!S20,'Costdrivere 2022'!S20)</f>
        <v>216</v>
      </c>
      <c r="T20" s="119">
        <f>AVERAGE('Costdrivere 2021'!T20,'Costdrivere 2022'!T20)</f>
        <v>0</v>
      </c>
      <c r="U20" s="119">
        <f>AVERAGE('Costdrivere 2021'!U20,'Costdrivere 2022'!U20)</f>
        <v>132.5</v>
      </c>
      <c r="V20" s="119">
        <f>AVERAGE('Costdrivere 2021'!V20,'Costdrivere 2022'!V20)</f>
        <v>0</v>
      </c>
      <c r="W20" s="159">
        <f>AVERAGE('Costdrivere 2021'!W20,'Costdrivere 2022'!W20)</f>
        <v>0</v>
      </c>
      <c r="X20" s="58">
        <f>AVERAGE('Costdrivere 2021'!X20,'Costdrivere 2022'!X20)</f>
        <v>0</v>
      </c>
      <c r="Y20" s="159">
        <f>AVERAGE('Costdrivere 2021'!Y20,'Costdrivere 2022'!Y20)</f>
        <v>112779</v>
      </c>
      <c r="Z20" s="58">
        <f>AVERAGE('Costdrivere 2021'!Z20,'Costdrivere 2022'!Z20)</f>
        <v>6785</v>
      </c>
      <c r="AA20" s="88">
        <f>AVERAGE('Costdrivere 2021'!AA20,'Costdrivere 2022'!AA20)</f>
        <v>0</v>
      </c>
      <c r="AB20" s="88">
        <f>AVERAGE('Costdrivere 2021'!AB20,'Costdrivere 2022'!AB20)</f>
        <v>53</v>
      </c>
      <c r="AC20" s="58">
        <f>AVERAGE('Costdrivere 2021'!AC20,'Costdrivere 2022'!AC20)</f>
        <v>0</v>
      </c>
      <c r="AD20" s="290">
        <f>AVERAGE('Costdrivere 2021'!AD20,'Costdrivere 2022'!AD20)</f>
        <v>0</v>
      </c>
      <c r="AE20" s="145">
        <f>AVERAGE('Costdrivere 2021'!AE20,'Costdrivere 2022'!AE20)</f>
        <v>0</v>
      </c>
      <c r="AF20" s="58">
        <f>AVERAGE('Costdrivere 2021'!AF20,'Costdrivere 2022'!AF20)</f>
        <v>0</v>
      </c>
      <c r="AG20" s="290">
        <f>AVERAGE('Costdrivere 2021'!AG20,'Costdrivere 2022'!AG20)</f>
        <v>0</v>
      </c>
      <c r="AH20" s="145">
        <f>AVERAGE('Costdrivere 2021'!AH20,'Costdrivere 2022'!AH20)</f>
        <v>0</v>
      </c>
      <c r="AI20" s="88">
        <f>AVERAGE('Costdrivere 2021'!AI20,'Costdrivere 2022'!AI20)</f>
        <v>12567.5</v>
      </c>
      <c r="AJ20" s="88">
        <f>AVERAGE('Costdrivere 2021'!AJ20,'Costdrivere 2022'!AJ20)</f>
        <v>1389487</v>
      </c>
      <c r="AK20" s="99" t="str">
        <f>'Costdrivere 2022'!AK20</f>
        <v>t</v>
      </c>
      <c r="AL20" s="150">
        <f>AVERAGE('Costdrivere 2021'!AL20,'Costdrivere 2022'!AL20)</f>
        <v>12567.5</v>
      </c>
      <c r="AM20" s="48"/>
      <c r="AN20" s="121">
        <f>AVERAGE('Costdrivere 2021'!AN20,'Costdrivere 2022'!AN20)</f>
        <v>0</v>
      </c>
      <c r="AO20" s="166">
        <f>AVERAGE('Costdrivere 2021'!AO20,'Costdrivere 2022'!AO20)</f>
        <v>61389894.429563269</v>
      </c>
      <c r="AP20" s="118">
        <f>AVERAGE('Costdrivere 2021'!AP20,'Costdrivere 2022'!AP20)</f>
        <v>225000</v>
      </c>
      <c r="AQ20" s="203"/>
    </row>
    <row r="21" spans="1:43" x14ac:dyDescent="0.25">
      <c r="A21" s="202" t="s">
        <v>53</v>
      </c>
      <c r="B21" s="202" t="s">
        <v>54</v>
      </c>
      <c r="C21" s="141">
        <f>AVERAGE('Costdrivere 2021'!C21,'Costdrivere 2022'!C21)</f>
        <v>0</v>
      </c>
      <c r="D21" s="119">
        <f>AVERAGE('Costdrivere 2021'!D21,'Costdrivere 2022'!D21)</f>
        <v>0</v>
      </c>
      <c r="E21" s="119">
        <f>AVERAGE('Costdrivere 2021'!E21,'Costdrivere 2022'!E21)</f>
        <v>0</v>
      </c>
      <c r="F21" s="119">
        <f>AVERAGE('Costdrivere 2021'!F21,'Costdrivere 2022'!F21)</f>
        <v>55854.125000000007</v>
      </c>
      <c r="G21" s="119">
        <f>AVERAGE('Costdrivere 2021'!G21,'Costdrivere 2022'!G21)</f>
        <v>21926460.571650423</v>
      </c>
      <c r="H21" s="119">
        <f>AVERAGE('Costdrivere 2021'!H21,'Costdrivere 2022'!H21)</f>
        <v>0</v>
      </c>
      <c r="I21" s="119">
        <f>AVERAGE('Costdrivere 2021'!I21,'Costdrivere 2022'!I21)</f>
        <v>2365347.7062500003</v>
      </c>
      <c r="J21" s="119">
        <f>AVERAGE('Costdrivere 2021'!J21,'Costdrivere 2022'!J21)</f>
        <v>1541659.8695075002</v>
      </c>
      <c r="K21" s="119">
        <f>AVERAGE('Costdrivere 2021'!K21,'Costdrivere 2022'!K21)</f>
        <v>50787.322169710002</v>
      </c>
      <c r="L21" s="159">
        <f>AVERAGE('Costdrivere 2021'!L21,'Costdrivere 2022'!L21)</f>
        <v>1971934.9441313515</v>
      </c>
      <c r="M21" s="292">
        <f>AVERAGE('Costdrivere 2021'!M21,'Costdrivere 2022'!M21)</f>
        <v>0</v>
      </c>
      <c r="N21" s="141">
        <f>AVERAGE('Costdrivere 2021'!N21,'Costdrivere 2022'!N21)</f>
        <v>0</v>
      </c>
      <c r="O21" s="119">
        <f>AVERAGE('Costdrivere 2021'!O21,'Costdrivere 2022'!O21)</f>
        <v>0</v>
      </c>
      <c r="P21" s="119">
        <f>AVERAGE('Costdrivere 2021'!P21,'Costdrivere 2022'!P21)</f>
        <v>0</v>
      </c>
      <c r="Q21" s="119">
        <f>AVERAGE('Costdrivere 2021'!Q21,'Costdrivere 2022'!Q21)</f>
        <v>0</v>
      </c>
      <c r="R21" s="159">
        <f>AVERAGE('Costdrivere 2021'!R21,'Costdrivere 2022'!R21)</f>
        <v>0</v>
      </c>
      <c r="S21" s="141">
        <f>AVERAGE('Costdrivere 2021'!S21,'Costdrivere 2022'!S21)</f>
        <v>0</v>
      </c>
      <c r="T21" s="119">
        <f>AVERAGE('Costdrivere 2021'!T21,'Costdrivere 2022'!T21)</f>
        <v>0</v>
      </c>
      <c r="U21" s="119">
        <f>AVERAGE('Costdrivere 2021'!U21,'Costdrivere 2022'!U21)</f>
        <v>0</v>
      </c>
      <c r="V21" s="119">
        <f>AVERAGE('Costdrivere 2021'!V21,'Costdrivere 2022'!V21)</f>
        <v>0</v>
      </c>
      <c r="W21" s="159">
        <f>AVERAGE('Costdrivere 2021'!W21,'Costdrivere 2022'!W21)</f>
        <v>0</v>
      </c>
      <c r="X21" s="58">
        <f>AVERAGE('Costdrivere 2021'!X21,'Costdrivere 2022'!X21)</f>
        <v>0</v>
      </c>
      <c r="Y21" s="159">
        <f>AVERAGE('Costdrivere 2021'!Y21,'Costdrivere 2022'!Y21)</f>
        <v>0</v>
      </c>
      <c r="Z21" s="58">
        <f>AVERAGE('Costdrivere 2021'!Z21,'Costdrivere 2022'!Z21)</f>
        <v>9125</v>
      </c>
      <c r="AA21" s="88">
        <f>AVERAGE('Costdrivere 2021'!AA21,'Costdrivere 2022'!AA21)</f>
        <v>21926460.571650423</v>
      </c>
      <c r="AB21" s="88">
        <f>AVERAGE('Costdrivere 2021'!AB21,'Costdrivere 2022'!AB21)</f>
        <v>0</v>
      </c>
      <c r="AC21" s="58">
        <f>AVERAGE('Costdrivere 2021'!AC21,'Costdrivere 2022'!AC21)</f>
        <v>153.5</v>
      </c>
      <c r="AD21" s="290">
        <f>AVERAGE('Costdrivere 2021'!AD21,'Costdrivere 2022'!AD21)</f>
        <v>1186.5</v>
      </c>
      <c r="AE21" s="145">
        <f>AVERAGE('Costdrivere 2021'!AE21,'Costdrivere 2022'!AE21)</f>
        <v>405.6</v>
      </c>
      <c r="AF21" s="58">
        <f>AVERAGE('Costdrivere 2021'!AF21,'Costdrivere 2022'!AF21)</f>
        <v>784.31000000000006</v>
      </c>
      <c r="AG21" s="290">
        <f>AVERAGE('Costdrivere 2021'!AG21,'Costdrivere 2022'!AG21)</f>
        <v>0</v>
      </c>
      <c r="AH21" s="145">
        <f>AVERAGE('Costdrivere 2021'!AH21,'Costdrivere 2022'!AH21)</f>
        <v>216.67500000000001</v>
      </c>
      <c r="AI21" s="88">
        <f>AVERAGE('Costdrivere 2021'!AI21,'Costdrivere 2022'!AI21)</f>
        <v>3</v>
      </c>
      <c r="AJ21" s="88">
        <f>AVERAGE('Costdrivere 2021'!AJ21,'Costdrivere 2022'!AJ21)</f>
        <v>2121779.5</v>
      </c>
      <c r="AK21" s="99" t="str">
        <f>'Costdrivere 2022'!AK21</f>
        <v>r</v>
      </c>
      <c r="AL21" s="150">
        <f>AVERAGE('Costdrivere 2021'!AL21,'Costdrivere 2022'!AL21)</f>
        <v>3</v>
      </c>
      <c r="AM21" s="48"/>
      <c r="AN21" s="121">
        <f>AVERAGE('Costdrivere 2021'!AN21,'Costdrivere 2022'!AN21)</f>
        <v>18197583.02657434</v>
      </c>
      <c r="AO21" s="166">
        <f>AVERAGE('Costdrivere 2021'!AO21,'Costdrivere 2022'!AO21)</f>
        <v>2113319.583333333</v>
      </c>
      <c r="AP21" s="118">
        <f>AVERAGE('Costdrivere 2021'!AP21,'Costdrivere 2022'!AP21)</f>
        <v>932352.46666666667</v>
      </c>
      <c r="AQ21" s="203"/>
    </row>
    <row r="22" spans="1:43" x14ac:dyDescent="0.25">
      <c r="A22" s="202" t="s">
        <v>55</v>
      </c>
      <c r="B22" s="202" t="s">
        <v>56</v>
      </c>
      <c r="C22" s="141">
        <f>AVERAGE('Costdrivere 2021'!C22,'Costdrivere 2022'!C22)</f>
        <v>4698868.9147485001</v>
      </c>
      <c r="D22" s="119">
        <f>AVERAGE('Costdrivere 2021'!D22,'Costdrivere 2022'!D22)</f>
        <v>12362455.556700001</v>
      </c>
      <c r="E22" s="119">
        <f>AVERAGE('Costdrivere 2021'!E22,'Costdrivere 2022'!E22)</f>
        <v>427027.63194999995</v>
      </c>
      <c r="F22" s="119">
        <f>AVERAGE('Costdrivere 2021'!F22,'Costdrivere 2022'!F22)</f>
        <v>91117.38963000002</v>
      </c>
      <c r="G22" s="119">
        <f>AVERAGE('Costdrivere 2021'!G22,'Costdrivere 2022'!G22)</f>
        <v>11055057.6907831</v>
      </c>
      <c r="H22" s="119">
        <f>AVERAGE('Costdrivere 2021'!H22,'Costdrivere 2022'!H22)</f>
        <v>186108.45499999999</v>
      </c>
      <c r="I22" s="119">
        <f>AVERAGE('Costdrivere 2021'!I22,'Costdrivere 2022'!I22)</f>
        <v>2791378.6321</v>
      </c>
      <c r="J22" s="119">
        <f>AVERAGE('Costdrivere 2021'!J22,'Costdrivere 2022'!J22)</f>
        <v>1552660.8583500001</v>
      </c>
      <c r="K22" s="119">
        <f>AVERAGE('Costdrivere 2021'!K22,'Costdrivere 2022'!K22)</f>
        <v>1724951.2047720244</v>
      </c>
      <c r="L22" s="159">
        <f>AVERAGE('Costdrivere 2021'!L22,'Costdrivere 2022'!L22)</f>
        <v>4708626.9831122709</v>
      </c>
      <c r="M22" s="292">
        <f>AVERAGE('Costdrivere 2021'!M22,'Costdrivere 2022'!M22)</f>
        <v>2.2866855803737658E-2</v>
      </c>
      <c r="N22" s="141">
        <f>AVERAGE('Costdrivere 2021'!N22,'Costdrivere 2022'!N22)</f>
        <v>764.82999999999993</v>
      </c>
      <c r="O22" s="119">
        <f>AVERAGE('Costdrivere 2021'!O22,'Costdrivere 2022'!O22)</f>
        <v>549.11500000000001</v>
      </c>
      <c r="P22" s="119">
        <f>AVERAGE('Costdrivere 2021'!P22,'Costdrivere 2022'!P22)</f>
        <v>0</v>
      </c>
      <c r="Q22" s="119">
        <f>AVERAGE('Costdrivere 2021'!Q22,'Costdrivere 2022'!Q22)</f>
        <v>0</v>
      </c>
      <c r="R22" s="159">
        <f>AVERAGE('Costdrivere 2021'!R22,'Costdrivere 2022'!R22)</f>
        <v>3.2350000000000003</v>
      </c>
      <c r="S22" s="141">
        <f>AVERAGE('Costdrivere 2021'!S22,'Costdrivere 2022'!S22)</f>
        <v>251</v>
      </c>
      <c r="T22" s="119">
        <f>AVERAGE('Costdrivere 2021'!T22,'Costdrivere 2022'!T22)</f>
        <v>617</v>
      </c>
      <c r="U22" s="119">
        <f>AVERAGE('Costdrivere 2021'!U22,'Costdrivere 2022'!U22)</f>
        <v>165</v>
      </c>
      <c r="V22" s="119">
        <f>AVERAGE('Costdrivere 2021'!V22,'Costdrivere 2022'!V22)</f>
        <v>2533</v>
      </c>
      <c r="W22" s="159">
        <f>AVERAGE('Costdrivere 2021'!W22,'Costdrivere 2022'!W22)</f>
        <v>736</v>
      </c>
      <c r="X22" s="58">
        <f>AVERAGE('Costdrivere 2021'!X22,'Costdrivere 2022'!X22)</f>
        <v>106763</v>
      </c>
      <c r="Y22" s="159">
        <f>AVERAGE('Costdrivere 2021'!Y22,'Costdrivere 2022'!Y22)</f>
        <v>105588.5</v>
      </c>
      <c r="Z22" s="58">
        <f>AVERAGE('Costdrivere 2021'!Z22,'Costdrivere 2022'!Z22)</f>
        <v>14886.03</v>
      </c>
      <c r="AA22" s="88">
        <f>AVERAGE('Costdrivere 2021'!AA22,'Costdrivere 2022'!AA22)</f>
        <v>11055057.6907831</v>
      </c>
      <c r="AB22" s="88">
        <f>AVERAGE('Costdrivere 2021'!AB22,'Costdrivere 2022'!AB22)</f>
        <v>65</v>
      </c>
      <c r="AC22" s="58">
        <f>AVERAGE('Costdrivere 2021'!AC22,'Costdrivere 2022'!AC22)</f>
        <v>838</v>
      </c>
      <c r="AD22" s="290">
        <f>AVERAGE('Costdrivere 2021'!AD22,'Costdrivere 2022'!AD22)</f>
        <v>0</v>
      </c>
      <c r="AE22" s="145">
        <f>AVERAGE('Costdrivere 2021'!AE22,'Costdrivere 2022'!AE22)</f>
        <v>1096</v>
      </c>
      <c r="AF22" s="58">
        <f>AVERAGE('Costdrivere 2021'!AF22,'Costdrivere 2022'!AF22)</f>
        <v>1219.5</v>
      </c>
      <c r="AG22" s="290">
        <f>AVERAGE('Costdrivere 2021'!AG22,'Costdrivere 2022'!AG22)</f>
        <v>0</v>
      </c>
      <c r="AH22" s="145">
        <f>AVERAGE('Costdrivere 2021'!AH22,'Costdrivere 2022'!AH22)</f>
        <v>0</v>
      </c>
      <c r="AI22" s="88">
        <f>AVERAGE('Costdrivere 2021'!AI22,'Costdrivere 2022'!AI22)</f>
        <v>22962</v>
      </c>
      <c r="AJ22" s="88">
        <f>AVERAGE('Costdrivere 2021'!AJ22,'Costdrivere 2022'!AJ22)</f>
        <v>2536461.4850000003</v>
      </c>
      <c r="AK22" s="99" t="str">
        <f>'Costdrivere 2022'!AK22</f>
        <v>t+r</v>
      </c>
      <c r="AL22" s="150">
        <f>AVERAGE('Costdrivere 2021'!AL22,'Costdrivere 2022'!AL22)</f>
        <v>23576</v>
      </c>
      <c r="AM22" s="48"/>
      <c r="AN22" s="121">
        <f>AVERAGE('Costdrivere 2021'!AN22,'Costdrivere 2022'!AN22)</f>
        <v>8810629.570898816</v>
      </c>
      <c r="AO22" s="166">
        <f>AVERAGE('Costdrivere 2021'!AO22,'Costdrivere 2022'!AO22)</f>
        <v>111359630.84999999</v>
      </c>
      <c r="AP22" s="118">
        <f>AVERAGE('Costdrivere 2021'!AP22,'Costdrivere 2022'!AP22)</f>
        <v>2272000</v>
      </c>
      <c r="AQ22" s="203"/>
    </row>
    <row r="23" spans="1:43" x14ac:dyDescent="0.25">
      <c r="A23" s="202" t="s">
        <v>57</v>
      </c>
      <c r="B23" s="202" t="s">
        <v>58</v>
      </c>
      <c r="C23" s="141">
        <f>AVERAGE('Costdrivere 2021'!C23,'Costdrivere 2022'!C23)</f>
        <v>3949841.0515060001</v>
      </c>
      <c r="D23" s="119">
        <f>AVERAGE('Costdrivere 2021'!D23,'Costdrivere 2022'!D23)</f>
        <v>6721109.592600001</v>
      </c>
      <c r="E23" s="119">
        <f>AVERAGE('Costdrivere 2021'!E23,'Costdrivere 2022'!E23)</f>
        <v>522467.4057</v>
      </c>
      <c r="F23" s="119">
        <f>AVERAGE('Costdrivere 2021'!F23,'Costdrivere 2022'!F23)</f>
        <v>63511.496000000006</v>
      </c>
      <c r="G23" s="119">
        <f>AVERAGE('Costdrivere 2021'!G23,'Costdrivere 2022'!G23)</f>
        <v>11115001.801484233</v>
      </c>
      <c r="H23" s="119">
        <f>AVERAGE('Costdrivere 2021'!H23,'Costdrivere 2022'!H23)</f>
        <v>0</v>
      </c>
      <c r="I23" s="119">
        <f>AVERAGE('Costdrivere 2021'!I23,'Costdrivere 2022'!I23)</f>
        <v>1516811.8161499999</v>
      </c>
      <c r="J23" s="119">
        <f>AVERAGE('Costdrivere 2021'!J23,'Costdrivere 2022'!J23)</f>
        <v>3135167.0198499998</v>
      </c>
      <c r="K23" s="119">
        <f>AVERAGE('Costdrivere 2021'!K23,'Costdrivere 2022'!K23)</f>
        <v>1608043.8975674014</v>
      </c>
      <c r="L23" s="159">
        <f>AVERAGE('Costdrivere 2021'!L23,'Costdrivere 2022'!L23)</f>
        <v>5270054.7560254382</v>
      </c>
      <c r="M23" s="292">
        <f>AVERAGE('Costdrivere 2021'!M23,'Costdrivere 2022'!M23)</f>
        <v>7.4400223066833637E-2</v>
      </c>
      <c r="N23" s="141">
        <f>AVERAGE('Costdrivere 2021'!N23,'Costdrivere 2022'!N23)</f>
        <v>139.69999999999999</v>
      </c>
      <c r="O23" s="119">
        <f>AVERAGE('Costdrivere 2021'!O23,'Costdrivere 2022'!O23)</f>
        <v>454.05</v>
      </c>
      <c r="P23" s="119">
        <f>AVERAGE('Costdrivere 2021'!P23,'Costdrivere 2022'!P23)</f>
        <v>91.65</v>
      </c>
      <c r="Q23" s="119">
        <f>AVERAGE('Costdrivere 2021'!Q23,'Costdrivere 2022'!Q23)</f>
        <v>0</v>
      </c>
      <c r="R23" s="159">
        <f>AVERAGE('Costdrivere 2021'!R23,'Costdrivere 2022'!R23)</f>
        <v>1.88</v>
      </c>
      <c r="S23" s="141">
        <f>AVERAGE('Costdrivere 2021'!S23,'Costdrivere 2022'!S23)</f>
        <v>0</v>
      </c>
      <c r="T23" s="119">
        <f>AVERAGE('Costdrivere 2021'!T23,'Costdrivere 2022'!T23)</f>
        <v>263</v>
      </c>
      <c r="U23" s="119">
        <f>AVERAGE('Costdrivere 2021'!U23,'Costdrivere 2022'!U23)</f>
        <v>119</v>
      </c>
      <c r="V23" s="119">
        <f>AVERAGE('Costdrivere 2021'!V23,'Costdrivere 2022'!V23)</f>
        <v>3272</v>
      </c>
      <c r="W23" s="159">
        <f>AVERAGE('Costdrivere 2021'!W23,'Costdrivere 2022'!W23)</f>
        <v>0</v>
      </c>
      <c r="X23" s="58">
        <f>AVERAGE('Costdrivere 2021'!X23,'Costdrivere 2022'!X23)</f>
        <v>12600</v>
      </c>
      <c r="Y23" s="159">
        <f>AVERAGE('Costdrivere 2021'!Y23,'Costdrivere 2022'!Y23)</f>
        <v>198411</v>
      </c>
      <c r="Z23" s="58">
        <f>AVERAGE('Costdrivere 2021'!Z23,'Costdrivere 2022'!Z23)</f>
        <v>10376</v>
      </c>
      <c r="AA23" s="88">
        <f>AVERAGE('Costdrivere 2021'!AA23,'Costdrivere 2022'!AA23)</f>
        <v>11115001.801484233</v>
      </c>
      <c r="AB23" s="88">
        <f>AVERAGE('Costdrivere 2021'!AB23,'Costdrivere 2022'!AB23)</f>
        <v>0</v>
      </c>
      <c r="AC23" s="58">
        <f>AVERAGE('Costdrivere 2021'!AC23,'Costdrivere 2022'!AC23)</f>
        <v>476.5</v>
      </c>
      <c r="AD23" s="290">
        <f>AVERAGE('Costdrivere 2021'!AD23,'Costdrivere 2022'!AD23)</f>
        <v>841.5</v>
      </c>
      <c r="AE23" s="145">
        <f>AVERAGE('Costdrivere 2021'!AE23,'Costdrivere 2022'!AE23)</f>
        <v>0</v>
      </c>
      <c r="AF23" s="58">
        <f>AVERAGE('Costdrivere 2021'!AF23,'Costdrivere 2022'!AF23)</f>
        <v>310.5</v>
      </c>
      <c r="AG23" s="290">
        <f>AVERAGE('Costdrivere 2021'!AG23,'Costdrivere 2022'!AG23)</f>
        <v>845</v>
      </c>
      <c r="AH23" s="145">
        <f>AVERAGE('Costdrivere 2021'!AH23,'Costdrivere 2022'!AH23)</f>
        <v>0</v>
      </c>
      <c r="AI23" s="88">
        <f>AVERAGE('Costdrivere 2021'!AI23,'Costdrivere 2022'!AI23)</f>
        <v>19216.5</v>
      </c>
      <c r="AJ23" s="88">
        <f>AVERAGE('Costdrivere 2021'!AJ23,'Costdrivere 2022'!AJ23)</f>
        <v>2843657.5</v>
      </c>
      <c r="AK23" s="99" t="str">
        <f>'Costdrivere 2022'!AK23</f>
        <v>t+r</v>
      </c>
      <c r="AL23" s="150">
        <f>AVERAGE('Costdrivere 2021'!AL23,'Costdrivere 2022'!AL23)</f>
        <v>37673</v>
      </c>
      <c r="AM23" s="48"/>
      <c r="AN23" s="121">
        <f>AVERAGE('Costdrivere 2021'!AN23,'Costdrivere 2022'!AN23)</f>
        <v>10809197.515017755</v>
      </c>
      <c r="AO23" s="166">
        <f>AVERAGE('Costdrivere 2021'!AO23,'Costdrivere 2022'!AO23)</f>
        <v>72137647.295645982</v>
      </c>
      <c r="AP23" s="118">
        <f>AVERAGE('Costdrivere 2021'!AP23,'Costdrivere 2022'!AP23)</f>
        <v>6003536.3200000003</v>
      </c>
      <c r="AQ23" s="203"/>
    </row>
    <row r="24" spans="1:43" x14ac:dyDescent="0.25">
      <c r="A24" s="202" t="s">
        <v>59</v>
      </c>
      <c r="B24" s="202" t="s">
        <v>60</v>
      </c>
      <c r="C24" s="141">
        <f>AVERAGE('Costdrivere 2021'!C24,'Costdrivere 2022'!C24)</f>
        <v>2895436.60286</v>
      </c>
      <c r="D24" s="119">
        <f>AVERAGE('Costdrivere 2021'!D24,'Costdrivere 2022'!D24)</f>
        <v>3117124.3530999999</v>
      </c>
      <c r="E24" s="119">
        <f>AVERAGE('Costdrivere 2021'!E24,'Costdrivere 2022'!E24)</f>
        <v>314717.65840000001</v>
      </c>
      <c r="F24" s="119">
        <f>AVERAGE('Costdrivere 2021'!F24,'Costdrivere 2022'!F24)</f>
        <v>65892.565000000002</v>
      </c>
      <c r="G24" s="119">
        <f>AVERAGE('Costdrivere 2021'!G24,'Costdrivere 2022'!G24)</f>
        <v>4504600.1886249576</v>
      </c>
      <c r="H24" s="119">
        <f>AVERAGE('Costdrivere 2021'!H24,'Costdrivere 2022'!H24)</f>
        <v>2863.2069999999999</v>
      </c>
      <c r="I24" s="119">
        <f>AVERAGE('Costdrivere 2021'!I24,'Costdrivere 2022'!I24)</f>
        <v>1007689.173805</v>
      </c>
      <c r="J24" s="119">
        <f>AVERAGE('Costdrivere 2021'!J24,'Costdrivere 2022'!J24)</f>
        <v>948190.96430000011</v>
      </c>
      <c r="K24" s="119">
        <f>AVERAGE('Costdrivere 2021'!K24,'Costdrivere 2022'!K24)</f>
        <v>1302651.7583080139</v>
      </c>
      <c r="L24" s="159">
        <f>AVERAGE('Costdrivere 2021'!L24,'Costdrivere 2022'!L24)</f>
        <v>3367112.0366219417</v>
      </c>
      <c r="M24" s="292">
        <f>AVERAGE('Costdrivere 2021'!M24,'Costdrivere 2022'!M24)</f>
        <v>5.3229786300268062E-2</v>
      </c>
      <c r="N24" s="141">
        <f>AVERAGE('Costdrivere 2021'!N24,'Costdrivere 2022'!N24)</f>
        <v>153.5</v>
      </c>
      <c r="O24" s="119">
        <f>AVERAGE('Costdrivere 2021'!O24,'Costdrivere 2022'!O24)</f>
        <v>505.3</v>
      </c>
      <c r="P24" s="119">
        <f>AVERAGE('Costdrivere 2021'!P24,'Costdrivere 2022'!P24)</f>
        <v>0</v>
      </c>
      <c r="Q24" s="119">
        <f>AVERAGE('Costdrivere 2021'!Q24,'Costdrivere 2022'!Q24)</f>
        <v>0</v>
      </c>
      <c r="R24" s="159">
        <f>AVERAGE('Costdrivere 2021'!R24,'Costdrivere 2022'!R24)</f>
        <v>2.4500000000000002</v>
      </c>
      <c r="S24" s="141">
        <f>AVERAGE('Costdrivere 2021'!S24,'Costdrivere 2022'!S24)</f>
        <v>16</v>
      </c>
      <c r="T24" s="119">
        <f>AVERAGE('Costdrivere 2021'!T24,'Costdrivere 2022'!T24)</f>
        <v>106</v>
      </c>
      <c r="U24" s="119">
        <f>AVERAGE('Costdrivere 2021'!U24,'Costdrivere 2022'!U24)</f>
        <v>63</v>
      </c>
      <c r="V24" s="119">
        <f>AVERAGE('Costdrivere 2021'!V24,'Costdrivere 2022'!V24)</f>
        <v>690</v>
      </c>
      <c r="W24" s="159">
        <f>AVERAGE('Costdrivere 2021'!W24,'Costdrivere 2022'!W24)</f>
        <v>986</v>
      </c>
      <c r="X24" s="58">
        <f>AVERAGE('Costdrivere 2021'!X24,'Costdrivere 2022'!X24)</f>
        <v>44851</v>
      </c>
      <c r="Y24" s="159">
        <f>AVERAGE('Costdrivere 2021'!Y24,'Costdrivere 2022'!Y24)</f>
        <v>97662</v>
      </c>
      <c r="Z24" s="58">
        <f>AVERAGE('Costdrivere 2021'!Z24,'Costdrivere 2022'!Z24)</f>
        <v>10765</v>
      </c>
      <c r="AA24" s="88">
        <f>AVERAGE('Costdrivere 2021'!AA24,'Costdrivere 2022'!AA24)</f>
        <v>4504600.1886249576</v>
      </c>
      <c r="AB24" s="88">
        <f>AVERAGE('Costdrivere 2021'!AB24,'Costdrivere 2022'!AB24)</f>
        <v>1</v>
      </c>
      <c r="AC24" s="58">
        <f>AVERAGE('Costdrivere 2021'!AC24,'Costdrivere 2022'!AC24)</f>
        <v>613.4</v>
      </c>
      <c r="AD24" s="290">
        <f>AVERAGE('Costdrivere 2021'!AD24,'Costdrivere 2022'!AD24)</f>
        <v>0</v>
      </c>
      <c r="AE24" s="145">
        <f>AVERAGE('Costdrivere 2021'!AE24,'Costdrivere 2022'!AE24)</f>
        <v>59.35</v>
      </c>
      <c r="AF24" s="58">
        <f>AVERAGE('Costdrivere 2021'!AF24,'Costdrivere 2022'!AF24)</f>
        <v>613.4</v>
      </c>
      <c r="AG24" s="290">
        <f>AVERAGE('Costdrivere 2021'!AG24,'Costdrivere 2022'!AG24)</f>
        <v>0</v>
      </c>
      <c r="AH24" s="145">
        <f>AVERAGE('Costdrivere 2021'!AH24,'Costdrivere 2022'!AH24)</f>
        <v>0</v>
      </c>
      <c r="AI24" s="88">
        <f>AVERAGE('Costdrivere 2021'!AI24,'Costdrivere 2022'!AI24)</f>
        <v>11262.5</v>
      </c>
      <c r="AJ24" s="88">
        <f>AVERAGE('Costdrivere 2021'!AJ24,'Costdrivere 2022'!AJ24)</f>
        <v>1804581.125</v>
      </c>
      <c r="AK24" s="99" t="str">
        <f>'Costdrivere 2022'!AK24</f>
        <v>t+r</v>
      </c>
      <c r="AL24" s="150">
        <f>AVERAGE('Costdrivere 2021'!AL24,'Costdrivere 2022'!AL24)</f>
        <v>20666.5</v>
      </c>
      <c r="AM24" s="48"/>
      <c r="AN24" s="121">
        <f>AVERAGE('Costdrivere 2021'!AN24,'Costdrivere 2022'!AN24)</f>
        <v>4031513.8893885971</v>
      </c>
      <c r="AO24" s="166">
        <f>AVERAGE('Costdrivere 2021'!AO24,'Costdrivere 2022'!AO24)</f>
        <v>53731101.474133335</v>
      </c>
      <c r="AP24" s="118">
        <f>AVERAGE('Costdrivere 2021'!AP24,'Costdrivere 2022'!AP24)</f>
        <v>514672.83999999997</v>
      </c>
      <c r="AQ24" s="203"/>
    </row>
    <row r="25" spans="1:43" x14ac:dyDescent="0.25">
      <c r="A25" s="202" t="s">
        <v>61</v>
      </c>
      <c r="B25" s="202" t="s">
        <v>62</v>
      </c>
      <c r="C25" s="141">
        <f>AVERAGE('Costdrivere 2021'!C25,'Costdrivere 2022'!C25)</f>
        <v>5983011.1249135006</v>
      </c>
      <c r="D25" s="119">
        <f>AVERAGE('Costdrivere 2021'!D25,'Costdrivere 2022'!D25)</f>
        <v>3469752.5013500005</v>
      </c>
      <c r="E25" s="119">
        <f>AVERAGE('Costdrivere 2021'!E25,'Costdrivere 2022'!E25)</f>
        <v>1109182.8532</v>
      </c>
      <c r="F25" s="119">
        <f>AVERAGE('Costdrivere 2021'!F25,'Costdrivere 2022'!F25)</f>
        <v>109584.26300000001</v>
      </c>
      <c r="G25" s="119">
        <f>AVERAGE('Costdrivere 2021'!G25,'Costdrivere 2022'!G25)</f>
        <v>18516154.738190398</v>
      </c>
      <c r="H25" s="119">
        <f>AVERAGE('Costdrivere 2021'!H25,'Costdrivere 2022'!H25)</f>
        <v>20042.449000000001</v>
      </c>
      <c r="I25" s="119">
        <f>AVERAGE('Costdrivere 2021'!I25,'Costdrivere 2022'!I25)</f>
        <v>2958246.8435</v>
      </c>
      <c r="J25" s="119">
        <f>AVERAGE('Costdrivere 2021'!J25,'Costdrivere 2022'!J25)</f>
        <v>1618982.0066</v>
      </c>
      <c r="K25" s="119">
        <f>AVERAGE('Costdrivere 2021'!K25,'Costdrivere 2022'!K25)</f>
        <v>1584166.0217076659</v>
      </c>
      <c r="L25" s="159">
        <f>AVERAGE('Costdrivere 2021'!L25,'Costdrivere 2022'!L25)</f>
        <v>8393431.975243317</v>
      </c>
      <c r="M25" s="292">
        <f>AVERAGE('Costdrivere 2021'!M25,'Costdrivere 2022'!M25)</f>
        <v>4.0825464146867524E-2</v>
      </c>
      <c r="N25" s="141">
        <f>AVERAGE('Costdrivere 2021'!N25,'Costdrivere 2022'!N25)</f>
        <v>213.88</v>
      </c>
      <c r="O25" s="119">
        <f>AVERAGE('Costdrivere 2021'!O25,'Costdrivere 2022'!O25)</f>
        <v>767.53</v>
      </c>
      <c r="P25" s="119">
        <f>AVERAGE('Costdrivere 2021'!P25,'Costdrivere 2022'!P25)</f>
        <v>82.204999999999998</v>
      </c>
      <c r="Q25" s="119">
        <f>AVERAGE('Costdrivere 2021'!Q25,'Costdrivere 2022'!Q25)</f>
        <v>0</v>
      </c>
      <c r="R25" s="159">
        <f>AVERAGE('Costdrivere 2021'!R25,'Costdrivere 2022'!R25)</f>
        <v>4.9499999999999993</v>
      </c>
      <c r="S25" s="141">
        <f>AVERAGE('Costdrivere 2021'!S25,'Costdrivere 2022'!S25)</f>
        <v>299</v>
      </c>
      <c r="T25" s="119">
        <f>AVERAGE('Costdrivere 2021'!T25,'Costdrivere 2022'!T25)</f>
        <v>92.5</v>
      </c>
      <c r="U25" s="119">
        <f>AVERAGE('Costdrivere 2021'!U25,'Costdrivere 2022'!U25)</f>
        <v>30</v>
      </c>
      <c r="V25" s="119">
        <f>AVERAGE('Costdrivere 2021'!V25,'Costdrivere 2022'!V25)</f>
        <v>120</v>
      </c>
      <c r="W25" s="159">
        <f>AVERAGE('Costdrivere 2021'!W25,'Costdrivere 2022'!W25)</f>
        <v>3978</v>
      </c>
      <c r="X25" s="58">
        <f>AVERAGE('Costdrivere 2021'!X25,'Costdrivere 2022'!X25)</f>
        <v>304156</v>
      </c>
      <c r="Y25" s="159">
        <f>AVERAGE('Costdrivere 2021'!Y25,'Costdrivere 2022'!Y25)</f>
        <v>258516</v>
      </c>
      <c r="Z25" s="58">
        <f>AVERAGE('Costdrivere 2021'!Z25,'Costdrivere 2022'!Z25)</f>
        <v>17903</v>
      </c>
      <c r="AA25" s="88">
        <f>AVERAGE('Costdrivere 2021'!AA25,'Costdrivere 2022'!AA25)</f>
        <v>18516154.738190398</v>
      </c>
      <c r="AB25" s="88">
        <f>AVERAGE('Costdrivere 2021'!AB25,'Costdrivere 2022'!AB25)</f>
        <v>7</v>
      </c>
      <c r="AC25" s="58">
        <f>AVERAGE('Costdrivere 2021'!AC25,'Costdrivere 2022'!AC25)</f>
        <v>0</v>
      </c>
      <c r="AD25" s="290">
        <f>AVERAGE('Costdrivere 2021'!AD25,'Costdrivere 2022'!AD25)</f>
        <v>2892.5</v>
      </c>
      <c r="AE25" s="145">
        <f>AVERAGE('Costdrivere 2021'!AE25,'Costdrivere 2022'!AE25)</f>
        <v>0</v>
      </c>
      <c r="AF25" s="58">
        <f>AVERAGE('Costdrivere 2021'!AF25,'Costdrivere 2022'!AF25)</f>
        <v>1286</v>
      </c>
      <c r="AG25" s="290">
        <f>AVERAGE('Costdrivere 2021'!AG25,'Costdrivere 2022'!AG25)</f>
        <v>0</v>
      </c>
      <c r="AH25" s="145">
        <f>AVERAGE('Costdrivere 2021'!AH25,'Costdrivere 2022'!AH25)</f>
        <v>0</v>
      </c>
      <c r="AI25" s="88">
        <f>AVERAGE('Costdrivere 2021'!AI25,'Costdrivere 2022'!AI25)</f>
        <v>18501.5</v>
      </c>
      <c r="AJ25" s="88">
        <f>AVERAGE('Costdrivere 2021'!AJ25,'Costdrivere 2022'!AJ25)</f>
        <v>4561000</v>
      </c>
      <c r="AK25" s="99" t="str">
        <f>'Costdrivere 2022'!AK25</f>
        <v>t+r</v>
      </c>
      <c r="AL25" s="150">
        <f>AVERAGE('Costdrivere 2021'!AL25,'Costdrivere 2022'!AL25)</f>
        <v>32479.5</v>
      </c>
      <c r="AM25" s="48"/>
      <c r="AN25" s="121">
        <f>AVERAGE('Costdrivere 2021'!AN25,'Costdrivere 2022'!AN25)</f>
        <v>33074528.914530043</v>
      </c>
      <c r="AO25" s="166">
        <f>AVERAGE('Costdrivere 2021'!AO25,'Costdrivere 2022'!AO25)</f>
        <v>94273288.935833335</v>
      </c>
      <c r="AP25" s="118">
        <f>AVERAGE('Costdrivere 2021'!AP25,'Costdrivere 2022'!AP25)</f>
        <v>2308973.333333333</v>
      </c>
      <c r="AQ25" s="203"/>
    </row>
    <row r="26" spans="1:43" x14ac:dyDescent="0.25">
      <c r="A26" s="202" t="s">
        <v>63</v>
      </c>
      <c r="B26" s="202" t="s">
        <v>64</v>
      </c>
      <c r="C26" s="141">
        <f>AVERAGE('Costdrivere 2021'!C26,'Costdrivere 2022'!C26)</f>
        <v>5216398.2830110006</v>
      </c>
      <c r="D26" s="119">
        <f>AVERAGE('Costdrivere 2021'!D26,'Costdrivere 2022'!D26)</f>
        <v>1012479.5299280001</v>
      </c>
      <c r="E26" s="119">
        <f>AVERAGE('Costdrivere 2021'!E26,'Costdrivere 2022'!E26)</f>
        <v>3046.44</v>
      </c>
      <c r="F26" s="119">
        <f>AVERAGE('Costdrivere 2021'!F26,'Costdrivere 2022'!F26)</f>
        <v>85754.475480000008</v>
      </c>
      <c r="G26" s="119">
        <f>AVERAGE('Costdrivere 2021'!G26,'Costdrivere 2022'!G26)</f>
        <v>0</v>
      </c>
      <c r="H26" s="119">
        <f>AVERAGE('Costdrivere 2021'!H26,'Costdrivere 2022'!H26)</f>
        <v>0</v>
      </c>
      <c r="I26" s="119">
        <f>AVERAGE('Costdrivere 2021'!I26,'Costdrivere 2022'!I26)</f>
        <v>0</v>
      </c>
      <c r="J26" s="119">
        <f>AVERAGE('Costdrivere 2021'!J26,'Costdrivere 2022'!J26)</f>
        <v>0</v>
      </c>
      <c r="K26" s="119">
        <f>AVERAGE('Costdrivere 2021'!K26,'Costdrivere 2022'!K26)</f>
        <v>945669.9663380282</v>
      </c>
      <c r="L26" s="159">
        <f>AVERAGE('Costdrivere 2021'!L26,'Costdrivere 2022'!L26)</f>
        <v>7015998.6129862824</v>
      </c>
      <c r="M26" s="292">
        <f>AVERAGE('Costdrivere 2021'!M26,'Costdrivere 2022'!M26)</f>
        <v>0.32147051130062293</v>
      </c>
      <c r="N26" s="141">
        <f>AVERAGE('Costdrivere 2021'!N26,'Costdrivere 2022'!N26)</f>
        <v>2.34</v>
      </c>
      <c r="O26" s="119">
        <f>AVERAGE('Costdrivere 2021'!O26,'Costdrivere 2022'!O26)</f>
        <v>10.92</v>
      </c>
      <c r="P26" s="119">
        <f>AVERAGE('Costdrivere 2021'!P26,'Costdrivere 2022'!P26)</f>
        <v>25.615000000000002</v>
      </c>
      <c r="Q26" s="119">
        <f>AVERAGE('Costdrivere 2021'!Q26,'Costdrivere 2022'!Q26)</f>
        <v>146.815</v>
      </c>
      <c r="R26" s="159">
        <f>AVERAGE('Costdrivere 2021'!R26,'Costdrivere 2022'!R26)</f>
        <v>8.84</v>
      </c>
      <c r="S26" s="141">
        <f>AVERAGE('Costdrivere 2021'!S26,'Costdrivere 2022'!S26)</f>
        <v>0</v>
      </c>
      <c r="T26" s="119">
        <f>AVERAGE('Costdrivere 2021'!T26,'Costdrivere 2022'!T26)</f>
        <v>3</v>
      </c>
      <c r="U26" s="119">
        <f>AVERAGE('Costdrivere 2021'!U26,'Costdrivere 2022'!U26)</f>
        <v>5</v>
      </c>
      <c r="V26" s="119">
        <f>AVERAGE('Costdrivere 2021'!V26,'Costdrivere 2022'!V26)</f>
        <v>432</v>
      </c>
      <c r="W26" s="159">
        <f>AVERAGE('Costdrivere 2021'!W26,'Costdrivere 2022'!W26)</f>
        <v>3386.16</v>
      </c>
      <c r="X26" s="58">
        <f>AVERAGE('Costdrivere 2021'!X26,'Costdrivere 2022'!X26)</f>
        <v>0</v>
      </c>
      <c r="Y26" s="159">
        <f>AVERAGE('Costdrivere 2021'!Y26,'Costdrivere 2022'!Y26)</f>
        <v>1200</v>
      </c>
      <c r="Z26" s="58">
        <f>AVERAGE('Costdrivere 2021'!Z26,'Costdrivere 2022'!Z26)</f>
        <v>14009.88</v>
      </c>
      <c r="AA26" s="88">
        <f>AVERAGE('Costdrivere 2021'!AA26,'Costdrivere 2022'!AA26)</f>
        <v>0</v>
      </c>
      <c r="AB26" s="88">
        <f>AVERAGE('Costdrivere 2021'!AB26,'Costdrivere 2022'!AB26)</f>
        <v>0</v>
      </c>
      <c r="AC26" s="58">
        <f>AVERAGE('Costdrivere 2021'!AC26,'Costdrivere 2022'!AC26)</f>
        <v>0</v>
      </c>
      <c r="AD26" s="290">
        <f>AVERAGE('Costdrivere 2021'!AD26,'Costdrivere 2022'!AD26)</f>
        <v>0</v>
      </c>
      <c r="AE26" s="145">
        <f>AVERAGE('Costdrivere 2021'!AE26,'Costdrivere 2022'!AE26)</f>
        <v>0</v>
      </c>
      <c r="AF26" s="58">
        <f>AVERAGE('Costdrivere 2021'!AF26,'Costdrivere 2022'!AF26)</f>
        <v>0</v>
      </c>
      <c r="AG26" s="290">
        <f>AVERAGE('Costdrivere 2021'!AG26,'Costdrivere 2022'!AG26)</f>
        <v>0</v>
      </c>
      <c r="AH26" s="145">
        <f>AVERAGE('Costdrivere 2021'!AH26,'Costdrivere 2022'!AH26)</f>
        <v>0</v>
      </c>
      <c r="AI26" s="88">
        <f>AVERAGE('Costdrivere 2021'!AI26,'Costdrivere 2022'!AI26)</f>
        <v>4998</v>
      </c>
      <c r="AJ26" s="88">
        <f>AVERAGE('Costdrivere 2021'!AJ26,'Costdrivere 2022'!AJ26)</f>
        <v>4831246</v>
      </c>
      <c r="AK26" s="99" t="str">
        <f>'Costdrivere 2022'!AK26</f>
        <v>t</v>
      </c>
      <c r="AL26" s="150">
        <f>AVERAGE('Costdrivere 2021'!AL26,'Costdrivere 2022'!AL26)</f>
        <v>60541</v>
      </c>
      <c r="AM26" s="48"/>
      <c r="AN26" s="121">
        <f>AVERAGE('Costdrivere 2021'!AN26,'Costdrivere 2022'!AN26)</f>
        <v>40183.574262755486</v>
      </c>
      <c r="AO26" s="166">
        <f>AVERAGE('Costdrivere 2021'!AO26,'Costdrivere 2022'!AO26)</f>
        <v>46173537.026184633</v>
      </c>
      <c r="AP26" s="118">
        <f>AVERAGE('Costdrivere 2021'!AP26,'Costdrivere 2022'!AP26)</f>
        <v>1900826.6666666667</v>
      </c>
      <c r="AQ26" s="203"/>
    </row>
    <row r="27" spans="1:43" x14ac:dyDescent="0.25">
      <c r="A27" s="202" t="s">
        <v>65</v>
      </c>
      <c r="B27" s="202" t="s">
        <v>66</v>
      </c>
      <c r="C27" s="141">
        <f>AVERAGE('Costdrivere 2021'!C27,'Costdrivere 2022'!C27)</f>
        <v>5368567.9423935004</v>
      </c>
      <c r="D27" s="119">
        <f>AVERAGE('Costdrivere 2021'!D27,'Costdrivere 2022'!D27)</f>
        <v>7941760.2336999997</v>
      </c>
      <c r="E27" s="119">
        <f>AVERAGE('Costdrivere 2021'!E27,'Costdrivere 2022'!E27)</f>
        <v>356344.76679999998</v>
      </c>
      <c r="F27" s="119">
        <f>AVERAGE('Costdrivere 2021'!F27,'Costdrivere 2022'!F27)</f>
        <v>25463.360000000001</v>
      </c>
      <c r="G27" s="119">
        <f>AVERAGE('Costdrivere 2021'!G27,'Costdrivere 2022'!G27)</f>
        <v>32111704.93856743</v>
      </c>
      <c r="H27" s="119">
        <f>AVERAGE('Costdrivere 2021'!H27,'Costdrivere 2022'!H27)</f>
        <v>0</v>
      </c>
      <c r="I27" s="119">
        <f>AVERAGE('Costdrivere 2021'!I27,'Costdrivere 2022'!I27)</f>
        <v>4694613.2739500003</v>
      </c>
      <c r="J27" s="119">
        <f>AVERAGE('Costdrivere 2021'!J27,'Costdrivere 2022'!J27)</f>
        <v>4006545.2750500003</v>
      </c>
      <c r="K27" s="119">
        <f>AVERAGE('Costdrivere 2021'!K27,'Costdrivere 2022'!K27)</f>
        <v>1756088.7023990671</v>
      </c>
      <c r="L27" s="159">
        <f>AVERAGE('Costdrivere 2021'!L27,'Costdrivere 2022'!L27)</f>
        <v>6687770.6205904121</v>
      </c>
      <c r="M27" s="292">
        <f>AVERAGE('Costdrivere 2021'!M27,'Costdrivere 2022'!M27)</f>
        <v>4.746601659790349E-2</v>
      </c>
      <c r="N27" s="141">
        <f>AVERAGE('Costdrivere 2021'!N27,'Costdrivere 2022'!N27)</f>
        <v>226.47</v>
      </c>
      <c r="O27" s="119">
        <f>AVERAGE('Costdrivere 2021'!O27,'Costdrivere 2022'!O27)</f>
        <v>854.70499999999993</v>
      </c>
      <c r="P27" s="119">
        <f>AVERAGE('Costdrivere 2021'!P27,'Costdrivere 2022'!P27)</f>
        <v>50.85</v>
      </c>
      <c r="Q27" s="119">
        <f>AVERAGE('Costdrivere 2021'!Q27,'Costdrivere 2022'!Q27)</f>
        <v>0</v>
      </c>
      <c r="R27" s="159">
        <f>AVERAGE('Costdrivere 2021'!R27,'Costdrivere 2022'!R27)</f>
        <v>3.26</v>
      </c>
      <c r="S27" s="141">
        <f>AVERAGE('Costdrivere 2021'!S27,'Costdrivere 2022'!S27)</f>
        <v>2</v>
      </c>
      <c r="T27" s="119">
        <f>AVERAGE('Costdrivere 2021'!T27,'Costdrivere 2022'!T27)</f>
        <v>22</v>
      </c>
      <c r="U27" s="119">
        <f>AVERAGE('Costdrivere 2021'!U27,'Costdrivere 2022'!U27)</f>
        <v>119</v>
      </c>
      <c r="V27" s="119">
        <f>AVERAGE('Costdrivere 2021'!V27,'Costdrivere 2022'!V27)</f>
        <v>8422</v>
      </c>
      <c r="W27" s="159">
        <f>AVERAGE('Costdrivere 2021'!W27,'Costdrivere 2022'!W27)</f>
        <v>10552</v>
      </c>
      <c r="X27" s="58">
        <f>AVERAGE('Costdrivere 2021'!X27,'Costdrivere 2022'!X27)</f>
        <v>78976</v>
      </c>
      <c r="Y27" s="159">
        <f>AVERAGE('Costdrivere 2021'!Y27,'Costdrivere 2022'!Y27)</f>
        <v>94044</v>
      </c>
      <c r="Z27" s="58">
        <f>AVERAGE('Costdrivere 2021'!Z27,'Costdrivere 2022'!Z27)</f>
        <v>4160</v>
      </c>
      <c r="AA27" s="88">
        <f>AVERAGE('Costdrivere 2021'!AA27,'Costdrivere 2022'!AA27)</f>
        <v>32111704.93856743</v>
      </c>
      <c r="AB27" s="88">
        <f>AVERAGE('Costdrivere 2021'!AB27,'Costdrivere 2022'!AB27)</f>
        <v>0</v>
      </c>
      <c r="AC27" s="58">
        <f>AVERAGE('Costdrivere 2021'!AC27,'Costdrivere 2022'!AC27)</f>
        <v>1438.5</v>
      </c>
      <c r="AD27" s="290">
        <f>AVERAGE('Costdrivere 2021'!AD27,'Costdrivere 2022'!AD27)</f>
        <v>4635</v>
      </c>
      <c r="AE27" s="145">
        <f>AVERAGE('Costdrivere 2021'!AE27,'Costdrivere 2022'!AE27)</f>
        <v>0</v>
      </c>
      <c r="AF27" s="58">
        <f>AVERAGE('Costdrivere 2021'!AF27,'Costdrivere 2022'!AF27)</f>
        <v>3616.5</v>
      </c>
      <c r="AG27" s="290">
        <f>AVERAGE('Costdrivere 2021'!AG27,'Costdrivere 2022'!AG27)</f>
        <v>21.5</v>
      </c>
      <c r="AH27" s="145">
        <f>AVERAGE('Costdrivere 2021'!AH27,'Costdrivere 2022'!AH27)</f>
        <v>0</v>
      </c>
      <c r="AI27" s="88">
        <f>AVERAGE('Costdrivere 2021'!AI27,'Costdrivere 2022'!AI27)</f>
        <v>24027.5</v>
      </c>
      <c r="AJ27" s="88">
        <f>AVERAGE('Costdrivere 2021'!AJ27,'Costdrivere 2022'!AJ27)</f>
        <v>3621659.5</v>
      </c>
      <c r="AK27" s="99" t="str">
        <f>'Costdrivere 2022'!AK27</f>
        <v>t+r</v>
      </c>
      <c r="AL27" s="150">
        <f>AVERAGE('Costdrivere 2021'!AL27,'Costdrivere 2022'!AL27)</f>
        <v>40888.5</v>
      </c>
      <c r="AM27" s="48"/>
      <c r="AN27" s="121">
        <f>AVERAGE('Costdrivere 2021'!AN27,'Costdrivere 2022'!AN27)</f>
        <v>33836279.881250188</v>
      </c>
      <c r="AO27" s="166">
        <f>AVERAGE('Costdrivere 2021'!AO27,'Costdrivere 2022'!AO27)</f>
        <v>109157395.27433339</v>
      </c>
      <c r="AP27" s="118">
        <f>AVERAGE('Costdrivere 2021'!AP27,'Costdrivere 2022'!AP27)</f>
        <v>3233826.666666667</v>
      </c>
      <c r="AQ27" s="203"/>
    </row>
    <row r="28" spans="1:43" x14ac:dyDescent="0.25">
      <c r="A28" s="202" t="s">
        <v>67</v>
      </c>
      <c r="B28" s="202" t="s">
        <v>68</v>
      </c>
      <c r="C28" s="141">
        <f>AVERAGE('Costdrivere 2021'!C28,'Costdrivere 2022'!C28)</f>
        <v>2894098.0739930002</v>
      </c>
      <c r="D28" s="119">
        <f>AVERAGE('Costdrivere 2021'!D28,'Costdrivere 2022'!D28)</f>
        <v>10944969.374150001</v>
      </c>
      <c r="E28" s="119">
        <f>AVERAGE('Costdrivere 2021'!E28,'Costdrivere 2022'!E28)</f>
        <v>424869.76130000001</v>
      </c>
      <c r="F28" s="119">
        <f>AVERAGE('Costdrivere 2021'!F28,'Costdrivere 2022'!F28)</f>
        <v>122420.00000000001</v>
      </c>
      <c r="G28" s="119">
        <f>AVERAGE('Costdrivere 2021'!G28,'Costdrivere 2022'!G28)</f>
        <v>9480203.8793226238</v>
      </c>
      <c r="H28" s="119">
        <f>AVERAGE('Costdrivere 2021'!H28,'Costdrivere 2022'!H28)</f>
        <v>0</v>
      </c>
      <c r="I28" s="119">
        <f>AVERAGE('Costdrivere 2021'!I28,'Costdrivere 2022'!I28)</f>
        <v>1055341.320175</v>
      </c>
      <c r="J28" s="119">
        <f>AVERAGE('Costdrivere 2021'!J28,'Costdrivere 2022'!J28)</f>
        <v>1503471.0692250002</v>
      </c>
      <c r="K28" s="119">
        <f>AVERAGE('Costdrivere 2021'!K28,'Costdrivere 2022'!K28)</f>
        <v>1549233.224808808</v>
      </c>
      <c r="L28" s="159">
        <f>AVERAGE('Costdrivere 2021'!L28,'Costdrivere 2022'!L28)</f>
        <v>3669536.2014272818</v>
      </c>
      <c r="M28" s="292">
        <f>AVERAGE('Costdrivere 2021'!M28,'Costdrivere 2022'!M28)</f>
        <v>4.2359402600504824E-2</v>
      </c>
      <c r="N28" s="141">
        <f>AVERAGE('Costdrivere 2021'!N28,'Costdrivere 2022'!N28)</f>
        <v>290.93</v>
      </c>
      <c r="O28" s="119">
        <f>AVERAGE('Costdrivere 2021'!O28,'Costdrivere 2022'!O28)</f>
        <v>492.91499999999996</v>
      </c>
      <c r="P28" s="119">
        <f>AVERAGE('Costdrivere 2021'!P28,'Costdrivere 2022'!P28)</f>
        <v>20.634999999999998</v>
      </c>
      <c r="Q28" s="119">
        <f>AVERAGE('Costdrivere 2021'!Q28,'Costdrivere 2022'!Q28)</f>
        <v>0</v>
      </c>
      <c r="R28" s="159">
        <f>AVERAGE('Costdrivere 2021'!R28,'Costdrivere 2022'!R28)</f>
        <v>0.31</v>
      </c>
      <c r="S28" s="141">
        <f>AVERAGE('Costdrivere 2021'!S28,'Costdrivere 2022'!S28)</f>
        <v>16</v>
      </c>
      <c r="T28" s="119">
        <f>AVERAGE('Costdrivere 2021'!T28,'Costdrivere 2022'!T28)</f>
        <v>42.5</v>
      </c>
      <c r="U28" s="119">
        <f>AVERAGE('Costdrivere 2021'!U28,'Costdrivere 2022'!U28)</f>
        <v>132</v>
      </c>
      <c r="V28" s="119">
        <f>AVERAGE('Costdrivere 2021'!V28,'Costdrivere 2022'!V28)</f>
        <v>21930</v>
      </c>
      <c r="W28" s="159">
        <f>AVERAGE('Costdrivere 2021'!W28,'Costdrivere 2022'!W28)</f>
        <v>2000</v>
      </c>
      <c r="X28" s="58">
        <f>AVERAGE('Costdrivere 2021'!X28,'Costdrivere 2022'!X28)</f>
        <v>38435.5</v>
      </c>
      <c r="Y28" s="159">
        <f>AVERAGE('Costdrivere 2021'!Y28,'Costdrivere 2022'!Y28)</f>
        <v>144814</v>
      </c>
      <c r="Z28" s="58">
        <f>AVERAGE('Costdrivere 2021'!Z28,'Costdrivere 2022'!Z28)</f>
        <v>20000</v>
      </c>
      <c r="AA28" s="88">
        <f>AVERAGE('Costdrivere 2021'!AA28,'Costdrivere 2022'!AA28)</f>
        <v>9480203.8793226238</v>
      </c>
      <c r="AB28" s="88">
        <f>AVERAGE('Costdrivere 2021'!AB28,'Costdrivere 2022'!AB28)</f>
        <v>0</v>
      </c>
      <c r="AC28" s="58">
        <f>AVERAGE('Costdrivere 2021'!AC28,'Costdrivere 2022'!AC28)</f>
        <v>1132.25</v>
      </c>
      <c r="AD28" s="290">
        <f>AVERAGE('Costdrivere 2021'!AD28,'Costdrivere 2022'!AD28)</f>
        <v>0</v>
      </c>
      <c r="AE28" s="145">
        <f>AVERAGE('Costdrivere 2021'!AE28,'Costdrivere 2022'!AE28)</f>
        <v>1.3</v>
      </c>
      <c r="AF28" s="58">
        <f>AVERAGE('Costdrivere 2021'!AF28,'Costdrivere 2022'!AF28)</f>
        <v>1095.3</v>
      </c>
      <c r="AG28" s="290">
        <f>AVERAGE('Costdrivere 2021'!AG28,'Costdrivere 2022'!AG28)</f>
        <v>0</v>
      </c>
      <c r="AH28" s="145">
        <f>AVERAGE('Costdrivere 2021'!AH28,'Costdrivere 2022'!AH28)</f>
        <v>38.25</v>
      </c>
      <c r="AI28" s="88">
        <f>AVERAGE('Costdrivere 2021'!AI28,'Costdrivere 2022'!AI28)</f>
        <v>17483.5</v>
      </c>
      <c r="AJ28" s="88">
        <f>AVERAGE('Costdrivere 2021'!AJ28,'Costdrivere 2022'!AJ28)</f>
        <v>1969221.5</v>
      </c>
      <c r="AK28" s="99" t="str">
        <f>'Costdrivere 2022'!AK28</f>
        <v>t+r</v>
      </c>
      <c r="AL28" s="150">
        <f>AVERAGE('Costdrivere 2021'!AL28,'Costdrivere 2022'!AL28)</f>
        <v>24635</v>
      </c>
      <c r="AM28" s="48"/>
      <c r="AN28" s="121">
        <f>AVERAGE('Costdrivere 2021'!AN28,'Costdrivere 2022'!AN28)</f>
        <v>8263380.4645582698</v>
      </c>
      <c r="AO28" s="166">
        <f>AVERAGE('Costdrivere 2021'!AO28,'Costdrivere 2022'!AO28)</f>
        <v>73313582.700081721</v>
      </c>
      <c r="AP28" s="118">
        <f>AVERAGE('Costdrivere 2021'!AP28,'Costdrivere 2022'!AP28)</f>
        <v>1752130.8560666598</v>
      </c>
      <c r="AQ28" s="203"/>
    </row>
    <row r="29" spans="1:43" x14ac:dyDescent="0.25">
      <c r="A29" s="202" t="s">
        <v>69</v>
      </c>
      <c r="B29" s="202" t="s">
        <v>70</v>
      </c>
      <c r="C29" s="141">
        <f>AVERAGE('Costdrivere 2021'!C29,'Costdrivere 2022'!C29)</f>
        <v>2341061.7914730003</v>
      </c>
      <c r="D29" s="119">
        <f>AVERAGE('Costdrivere 2021'!D29,'Costdrivere 2022'!D29)</f>
        <v>3101853.4243000001</v>
      </c>
      <c r="E29" s="119">
        <f>AVERAGE('Costdrivere 2021'!E29,'Costdrivere 2022'!E29)</f>
        <v>254495.43885000001</v>
      </c>
      <c r="F29" s="119">
        <f>AVERAGE('Costdrivere 2021'!F29,'Costdrivere 2022'!F29)</f>
        <v>224493.796</v>
      </c>
      <c r="G29" s="119">
        <f>AVERAGE('Costdrivere 2021'!G29,'Costdrivere 2022'!G29)</f>
        <v>3728598.9668524195</v>
      </c>
      <c r="H29" s="119">
        <f>AVERAGE('Costdrivere 2021'!H29,'Costdrivere 2022'!H29)</f>
        <v>0</v>
      </c>
      <c r="I29" s="119">
        <f>AVERAGE('Costdrivere 2021'!I29,'Costdrivere 2022'!I29)</f>
        <v>1180425.7187000001</v>
      </c>
      <c r="J29" s="119">
        <f>AVERAGE('Costdrivere 2021'!J29,'Costdrivere 2022'!J29)</f>
        <v>1065631.58865</v>
      </c>
      <c r="K29" s="119">
        <f>AVERAGE('Costdrivere 2021'!K29,'Costdrivere 2022'!K29)</f>
        <v>1330020.9218283743</v>
      </c>
      <c r="L29" s="159">
        <f>AVERAGE('Costdrivere 2021'!L29,'Costdrivere 2022'!L29)</f>
        <v>3236956.422842199</v>
      </c>
      <c r="M29" s="292">
        <f>AVERAGE('Costdrivere 2021'!M29,'Costdrivere 2022'!M29)</f>
        <v>7.1316760548071165E-2</v>
      </c>
      <c r="N29" s="141">
        <f>AVERAGE('Costdrivere 2021'!N29,'Costdrivere 2022'!N29)</f>
        <v>43.68</v>
      </c>
      <c r="O29" s="119">
        <f>AVERAGE('Costdrivere 2021'!O29,'Costdrivere 2022'!O29)</f>
        <v>353.11</v>
      </c>
      <c r="P29" s="119">
        <f>AVERAGE('Costdrivere 2021'!P29,'Costdrivere 2022'!P29)</f>
        <v>36.6</v>
      </c>
      <c r="Q29" s="119">
        <f>AVERAGE('Costdrivere 2021'!Q29,'Costdrivere 2022'!Q29)</f>
        <v>0</v>
      </c>
      <c r="R29" s="159">
        <f>AVERAGE('Costdrivere 2021'!R29,'Costdrivere 2022'!R29)</f>
        <v>1.33</v>
      </c>
      <c r="S29" s="141">
        <f>AVERAGE('Costdrivere 2021'!S29,'Costdrivere 2022'!S29)</f>
        <v>44</v>
      </c>
      <c r="T29" s="119">
        <f>AVERAGE('Costdrivere 2021'!T29,'Costdrivere 2022'!T29)</f>
        <v>24</v>
      </c>
      <c r="U29" s="119">
        <f>AVERAGE('Costdrivere 2021'!U29,'Costdrivere 2022'!U29)</f>
        <v>45</v>
      </c>
      <c r="V29" s="119">
        <f>AVERAGE('Costdrivere 2021'!V29,'Costdrivere 2022'!V29)</f>
        <v>4504</v>
      </c>
      <c r="W29" s="159">
        <f>AVERAGE('Costdrivere 2021'!W29,'Costdrivere 2022'!W29)</f>
        <v>1120</v>
      </c>
      <c r="X29" s="58">
        <f>AVERAGE('Costdrivere 2021'!X29,'Costdrivere 2022'!X29)</f>
        <v>18023</v>
      </c>
      <c r="Y29" s="159">
        <f>AVERAGE('Costdrivere 2021'!Y29,'Costdrivere 2022'!Y29)</f>
        <v>89675.5</v>
      </c>
      <c r="Z29" s="58">
        <f>AVERAGE('Costdrivere 2021'!Z29,'Costdrivere 2022'!Z29)</f>
        <v>36676</v>
      </c>
      <c r="AA29" s="88">
        <f>AVERAGE('Costdrivere 2021'!AA29,'Costdrivere 2022'!AA29)</f>
        <v>3728598.9668524195</v>
      </c>
      <c r="AB29" s="88">
        <f>AVERAGE('Costdrivere 2021'!AB29,'Costdrivere 2022'!AB29)</f>
        <v>0</v>
      </c>
      <c r="AC29" s="58">
        <f>AVERAGE('Costdrivere 2021'!AC29,'Costdrivere 2022'!AC29)</f>
        <v>0</v>
      </c>
      <c r="AD29" s="290">
        <f>AVERAGE('Costdrivere 2021'!AD29,'Costdrivere 2022'!AD29)</f>
        <v>575.5</v>
      </c>
      <c r="AE29" s="145">
        <f>AVERAGE('Costdrivere 2021'!AE29,'Costdrivere 2022'!AE29)</f>
        <v>0</v>
      </c>
      <c r="AF29" s="58">
        <f>AVERAGE('Costdrivere 2021'!AF29,'Costdrivere 2022'!AF29)</f>
        <v>0</v>
      </c>
      <c r="AG29" s="290">
        <f>AVERAGE('Costdrivere 2021'!AG29,'Costdrivere 2022'!AG29)</f>
        <v>0</v>
      </c>
      <c r="AH29" s="145">
        <f>AVERAGE('Costdrivere 2021'!AH29,'Costdrivere 2022'!AH29)</f>
        <v>373.5</v>
      </c>
      <c r="AI29" s="88">
        <f>AVERAGE('Costdrivere 2021'!AI29,'Costdrivere 2022'!AI29)</f>
        <v>11872.5</v>
      </c>
      <c r="AJ29" s="88">
        <f>AVERAGE('Costdrivere 2021'!AJ29,'Costdrivere 2022'!AJ29)</f>
        <v>1733788.5</v>
      </c>
      <c r="AK29" s="99" t="str">
        <f>'Costdrivere 2022'!AK29</f>
        <v>t+r</v>
      </c>
      <c r="AL29" s="150">
        <f>AVERAGE('Costdrivere 2021'!AL29,'Costdrivere 2022'!AL29)</f>
        <v>20925.5</v>
      </c>
      <c r="AM29" s="48"/>
      <c r="AN29" s="121">
        <f>AVERAGE('Costdrivere 2021'!AN29,'Costdrivere 2022'!AN29)</f>
        <v>4305691.1348352069</v>
      </c>
      <c r="AO29" s="166">
        <f>AVERAGE('Costdrivere 2021'!AO29,'Costdrivere 2022'!AO29)</f>
        <v>58824704.18854183</v>
      </c>
      <c r="AP29" s="118">
        <f>AVERAGE('Costdrivere 2021'!AP29,'Costdrivere 2022'!AP29)</f>
        <v>1144836.4190685507</v>
      </c>
      <c r="AQ29" s="203"/>
    </row>
    <row r="30" spans="1:43" x14ac:dyDescent="0.25">
      <c r="A30" s="202" t="s">
        <v>71</v>
      </c>
      <c r="B30" s="202" t="s">
        <v>72</v>
      </c>
      <c r="C30" s="141">
        <f>AVERAGE('Costdrivere 2021'!C30,'Costdrivere 2022'!C30)</f>
        <v>6727940.1084965002</v>
      </c>
      <c r="D30" s="119">
        <f>AVERAGE('Costdrivere 2021'!D30,'Costdrivere 2022'!D30)</f>
        <v>2242373.4409999996</v>
      </c>
      <c r="E30" s="119">
        <f>AVERAGE('Costdrivere 2021'!E30,'Costdrivere 2022'!E30)</f>
        <v>368.11149999999998</v>
      </c>
      <c r="F30" s="119">
        <f>AVERAGE('Costdrivere 2021'!F30,'Costdrivere 2022'!F30)</f>
        <v>125235.66</v>
      </c>
      <c r="G30" s="119">
        <f>AVERAGE('Costdrivere 2021'!G30,'Costdrivere 2022'!G30)</f>
        <v>0</v>
      </c>
      <c r="H30" s="119">
        <f>AVERAGE('Costdrivere 2021'!H30,'Costdrivere 2022'!H30)</f>
        <v>0</v>
      </c>
      <c r="I30" s="119">
        <f>AVERAGE('Costdrivere 2021'!I30,'Costdrivere 2022'!I30)</f>
        <v>0</v>
      </c>
      <c r="J30" s="119">
        <f>AVERAGE('Costdrivere 2021'!J30,'Costdrivere 2022'!J30)</f>
        <v>0</v>
      </c>
      <c r="K30" s="119">
        <f>AVERAGE('Costdrivere 2021'!K30,'Costdrivere 2022'!K30)</f>
        <v>1514409.0980078578</v>
      </c>
      <c r="L30" s="159">
        <f>AVERAGE('Costdrivere 2021'!L30,'Costdrivere 2022'!L30)</f>
        <v>5098098.8932132237</v>
      </c>
      <c r="M30" s="292">
        <f>AVERAGE('Costdrivere 2021'!M30,'Costdrivere 2022'!M30)</f>
        <v>9.955437844332686E-2</v>
      </c>
      <c r="N30" s="141">
        <f>AVERAGE('Costdrivere 2021'!N30,'Costdrivere 2022'!N30)</f>
        <v>0.9850000000000001</v>
      </c>
      <c r="O30" s="119">
        <f>AVERAGE('Costdrivere 2021'!O30,'Costdrivere 2022'!O30)</f>
        <v>390.01499999999999</v>
      </c>
      <c r="P30" s="119">
        <f>AVERAGE('Costdrivere 2021'!P30,'Costdrivere 2022'!P30)</f>
        <v>82.68</v>
      </c>
      <c r="Q30" s="119">
        <f>AVERAGE('Costdrivere 2021'!Q30,'Costdrivere 2022'!Q30)</f>
        <v>0</v>
      </c>
      <c r="R30" s="159">
        <f>AVERAGE('Costdrivere 2021'!R30,'Costdrivere 2022'!R30)</f>
        <v>14.305</v>
      </c>
      <c r="S30" s="141">
        <f>AVERAGE('Costdrivere 2021'!S30,'Costdrivere 2022'!S30)</f>
        <v>0</v>
      </c>
      <c r="T30" s="119">
        <f>AVERAGE('Costdrivere 2021'!T30,'Costdrivere 2022'!T30)</f>
        <v>10</v>
      </c>
      <c r="U30" s="119">
        <f>AVERAGE('Costdrivere 2021'!U30,'Costdrivere 2022'!U30)</f>
        <v>14</v>
      </c>
      <c r="V30" s="119">
        <f>AVERAGE('Costdrivere 2021'!V30,'Costdrivere 2022'!V30)</f>
        <v>2182</v>
      </c>
      <c r="W30" s="159">
        <f>AVERAGE('Costdrivere 2021'!W30,'Costdrivere 2022'!W30)</f>
        <v>5204</v>
      </c>
      <c r="X30" s="58">
        <f>AVERAGE('Costdrivere 2021'!X30,'Costdrivere 2022'!X30)</f>
        <v>0</v>
      </c>
      <c r="Y30" s="159">
        <f>AVERAGE('Costdrivere 2021'!Y30,'Costdrivere 2022'!Y30)</f>
        <v>145</v>
      </c>
      <c r="Z30" s="58">
        <f>AVERAGE('Costdrivere 2021'!Z30,'Costdrivere 2022'!Z30)</f>
        <v>20460</v>
      </c>
      <c r="AA30" s="88">
        <f>AVERAGE('Costdrivere 2021'!AA30,'Costdrivere 2022'!AA30)</f>
        <v>0</v>
      </c>
      <c r="AB30" s="88">
        <f>AVERAGE('Costdrivere 2021'!AB30,'Costdrivere 2022'!AB30)</f>
        <v>0</v>
      </c>
      <c r="AC30" s="58">
        <f>AVERAGE('Costdrivere 2021'!AC30,'Costdrivere 2022'!AC30)</f>
        <v>0</v>
      </c>
      <c r="AD30" s="290">
        <f>AVERAGE('Costdrivere 2021'!AD30,'Costdrivere 2022'!AD30)</f>
        <v>0</v>
      </c>
      <c r="AE30" s="145">
        <f>AVERAGE('Costdrivere 2021'!AE30,'Costdrivere 2022'!AE30)</f>
        <v>0</v>
      </c>
      <c r="AF30" s="58">
        <f>AVERAGE('Costdrivere 2021'!AF30,'Costdrivere 2022'!AF30)</f>
        <v>0</v>
      </c>
      <c r="AG30" s="290">
        <f>AVERAGE('Costdrivere 2021'!AG30,'Costdrivere 2022'!AG30)</f>
        <v>0</v>
      </c>
      <c r="AH30" s="145">
        <f>AVERAGE('Costdrivere 2021'!AH30,'Costdrivere 2022'!AH30)</f>
        <v>0</v>
      </c>
      <c r="AI30" s="88">
        <f>AVERAGE('Costdrivere 2021'!AI30,'Costdrivere 2022'!AI30)</f>
        <v>16507</v>
      </c>
      <c r="AJ30" s="88">
        <f>AVERAGE('Costdrivere 2021'!AJ30,'Costdrivere 2022'!AJ30)</f>
        <v>3574201.5</v>
      </c>
      <c r="AK30" s="99" t="str">
        <f>'Costdrivere 2022'!AK30</f>
        <v>t</v>
      </c>
      <c r="AL30" s="150">
        <f>AVERAGE('Costdrivere 2021'!AL30,'Costdrivere 2022'!AL30)</f>
        <v>43832</v>
      </c>
      <c r="AM30" s="48"/>
      <c r="AN30" s="121">
        <f>AVERAGE('Costdrivere 2021'!AN30,'Costdrivere 2022'!AN30)</f>
        <v>0</v>
      </c>
      <c r="AO30" s="166">
        <f>AVERAGE('Costdrivere 2021'!AO30,'Costdrivere 2022'!AO30)</f>
        <v>73697610.951079771</v>
      </c>
      <c r="AP30" s="118">
        <f>AVERAGE('Costdrivere 2021'!AP30,'Costdrivere 2022'!AP30)</f>
        <v>1782333.475255528</v>
      </c>
      <c r="AQ30" s="203"/>
    </row>
    <row r="31" spans="1:43" x14ac:dyDescent="0.25">
      <c r="A31" s="202" t="s">
        <v>73</v>
      </c>
      <c r="B31" s="202" t="s">
        <v>74</v>
      </c>
      <c r="C31" s="141">
        <f>AVERAGE('Costdrivere 2021'!C31,'Costdrivere 2022'!C31)</f>
        <v>3187077.6683300007</v>
      </c>
      <c r="D31" s="119">
        <f>AVERAGE('Costdrivere 2021'!D31,'Costdrivere 2022'!D31)</f>
        <v>2792573.5422</v>
      </c>
      <c r="E31" s="119">
        <f>AVERAGE('Costdrivere 2021'!E31,'Costdrivere 2022'!E31)</f>
        <v>163066.3946</v>
      </c>
      <c r="F31" s="119">
        <f>AVERAGE('Costdrivere 2021'!F31,'Costdrivere 2022'!F31)</f>
        <v>354099.85000000003</v>
      </c>
      <c r="G31" s="119">
        <f>AVERAGE('Costdrivere 2021'!G31,'Costdrivere 2022'!G31)</f>
        <v>0</v>
      </c>
      <c r="H31" s="119">
        <f>AVERAGE('Costdrivere 2021'!H31,'Costdrivere 2022'!H31)</f>
        <v>0</v>
      </c>
      <c r="I31" s="119">
        <f>AVERAGE('Costdrivere 2021'!I31,'Costdrivere 2022'!I31)</f>
        <v>0</v>
      </c>
      <c r="J31" s="119">
        <f>AVERAGE('Costdrivere 2021'!J31,'Costdrivere 2022'!J31)</f>
        <v>0</v>
      </c>
      <c r="K31" s="119">
        <f>AVERAGE('Costdrivere 2021'!K31,'Costdrivere 2022'!K31)</f>
        <v>1348092.6446575955</v>
      </c>
      <c r="L31" s="159">
        <f>AVERAGE('Costdrivere 2021'!L31,'Costdrivere 2022'!L31)</f>
        <v>4802025.8097034292</v>
      </c>
      <c r="M31" s="292">
        <f>AVERAGE('Costdrivere 2021'!M31,'Costdrivere 2022'!M31)</f>
        <v>0.12875160896678986</v>
      </c>
      <c r="N31" s="141">
        <f>AVERAGE('Costdrivere 2021'!N31,'Costdrivere 2022'!N31)</f>
        <v>9.35</v>
      </c>
      <c r="O31" s="119">
        <f>AVERAGE('Costdrivere 2021'!O31,'Costdrivere 2022'!O31)</f>
        <v>277.11500000000001</v>
      </c>
      <c r="P31" s="119">
        <f>AVERAGE('Costdrivere 2021'!P31,'Costdrivere 2022'!P31)</f>
        <v>93.384999999999991</v>
      </c>
      <c r="Q31" s="119">
        <f>AVERAGE('Costdrivere 2021'!Q31,'Costdrivere 2022'!Q31)</f>
        <v>0</v>
      </c>
      <c r="R31" s="159">
        <f>AVERAGE('Costdrivere 2021'!R31,'Costdrivere 2022'!R31)</f>
        <v>2.46</v>
      </c>
      <c r="S31" s="141">
        <f>AVERAGE('Costdrivere 2021'!S31,'Costdrivere 2022'!S31)</f>
        <v>1</v>
      </c>
      <c r="T31" s="119">
        <f>AVERAGE('Costdrivere 2021'!T31,'Costdrivere 2022'!T31)</f>
        <v>0</v>
      </c>
      <c r="U31" s="119">
        <f>AVERAGE('Costdrivere 2021'!U31,'Costdrivere 2022'!U31)</f>
        <v>23</v>
      </c>
      <c r="V31" s="119">
        <f>AVERAGE('Costdrivere 2021'!V31,'Costdrivere 2022'!V31)</f>
        <v>1705</v>
      </c>
      <c r="W31" s="159">
        <f>AVERAGE('Costdrivere 2021'!W31,'Costdrivere 2022'!W31)</f>
        <v>8000</v>
      </c>
      <c r="X31" s="58">
        <f>AVERAGE('Costdrivere 2021'!X31,'Costdrivere 2022'!X31)</f>
        <v>4730</v>
      </c>
      <c r="Y31" s="159">
        <f>AVERAGE('Costdrivere 2021'!Y31,'Costdrivere 2022'!Y31)</f>
        <v>61458</v>
      </c>
      <c r="Z31" s="58">
        <f>AVERAGE('Costdrivere 2021'!Z31,'Costdrivere 2022'!Z31)</f>
        <v>57850</v>
      </c>
      <c r="AA31" s="88">
        <f>AVERAGE('Costdrivere 2021'!AA31,'Costdrivere 2022'!AA31)</f>
        <v>0</v>
      </c>
      <c r="AB31" s="88">
        <f>AVERAGE('Costdrivere 2021'!AB31,'Costdrivere 2022'!AB31)</f>
        <v>0</v>
      </c>
      <c r="AC31" s="58">
        <f>AVERAGE('Costdrivere 2021'!AC31,'Costdrivere 2022'!AC31)</f>
        <v>0</v>
      </c>
      <c r="AD31" s="290">
        <f>AVERAGE('Costdrivere 2021'!AD31,'Costdrivere 2022'!AD31)</f>
        <v>0</v>
      </c>
      <c r="AE31" s="145">
        <f>AVERAGE('Costdrivere 2021'!AE31,'Costdrivere 2022'!AE31)</f>
        <v>0</v>
      </c>
      <c r="AF31" s="58">
        <f>AVERAGE('Costdrivere 2021'!AF31,'Costdrivere 2022'!AF31)</f>
        <v>0</v>
      </c>
      <c r="AG31" s="290">
        <f>AVERAGE('Costdrivere 2021'!AG31,'Costdrivere 2022'!AG31)</f>
        <v>0</v>
      </c>
      <c r="AH31" s="145">
        <f>AVERAGE('Costdrivere 2021'!AH31,'Costdrivere 2022'!AH31)</f>
        <v>0</v>
      </c>
      <c r="AI31" s="88">
        <f>AVERAGE('Costdrivere 2021'!AI31,'Costdrivere 2022'!AI31)</f>
        <v>12286</v>
      </c>
      <c r="AJ31" s="88">
        <f>AVERAGE('Costdrivere 2021'!AJ31,'Costdrivere 2022'!AJ31)</f>
        <v>3377978.5</v>
      </c>
      <c r="AK31" s="99" t="str">
        <f>'Costdrivere 2022'!AK31</f>
        <v>t</v>
      </c>
      <c r="AL31" s="150">
        <f>AVERAGE('Costdrivere 2021'!AL31,'Costdrivere 2022'!AL31)</f>
        <v>40840</v>
      </c>
      <c r="AM31" s="48"/>
      <c r="AN31" s="121">
        <f>AVERAGE('Costdrivere 2021'!AN31,'Costdrivere 2022'!AN31)</f>
        <v>0</v>
      </c>
      <c r="AO31" s="166">
        <f>AVERAGE('Costdrivere 2021'!AO31,'Costdrivere 2022'!AO31)</f>
        <v>65048131.510997795</v>
      </c>
      <c r="AP31" s="118">
        <f>AVERAGE('Costdrivere 2021'!AP31,'Costdrivere 2022'!AP31)</f>
        <v>1671622.7404706429</v>
      </c>
      <c r="AQ31" s="203"/>
    </row>
    <row r="32" spans="1:43" x14ac:dyDescent="0.25">
      <c r="A32" s="202" t="s">
        <v>75</v>
      </c>
      <c r="B32" s="202" t="s">
        <v>76</v>
      </c>
      <c r="C32" s="141">
        <f>AVERAGE('Costdrivere 2021'!C32,'Costdrivere 2022'!C32)</f>
        <v>1401271.2549719999</v>
      </c>
      <c r="D32" s="119">
        <f>AVERAGE('Costdrivere 2021'!D32,'Costdrivere 2022'!D32)</f>
        <v>128679.07279999999</v>
      </c>
      <c r="E32" s="119">
        <f>AVERAGE('Costdrivere 2021'!E32,'Costdrivere 2022'!E32)</f>
        <v>162146.769</v>
      </c>
      <c r="F32" s="119">
        <f>AVERAGE('Costdrivere 2021'!F32,'Costdrivere 2022'!F32)</f>
        <v>107056.29000000001</v>
      </c>
      <c r="G32" s="119">
        <f>AVERAGE('Costdrivere 2021'!G32,'Costdrivere 2022'!G32)</f>
        <v>0</v>
      </c>
      <c r="H32" s="119">
        <f>AVERAGE('Costdrivere 2021'!H32,'Costdrivere 2022'!H32)</f>
        <v>0</v>
      </c>
      <c r="I32" s="119">
        <f>AVERAGE('Costdrivere 2021'!I32,'Costdrivere 2022'!I32)</f>
        <v>0</v>
      </c>
      <c r="J32" s="119">
        <f>AVERAGE('Costdrivere 2021'!J32,'Costdrivere 2022'!J32)</f>
        <v>0</v>
      </c>
      <c r="K32" s="119">
        <f>AVERAGE('Costdrivere 2021'!K32,'Costdrivere 2022'!K32)</f>
        <v>870470.15814960294</v>
      </c>
      <c r="L32" s="159">
        <f>AVERAGE('Costdrivere 2021'!L32,'Costdrivere 2022'!L32)</f>
        <v>1837171.7049336622</v>
      </c>
      <c r="M32" s="292">
        <f>AVERAGE('Costdrivere 2021'!M32,'Costdrivere 2022'!M32)</f>
        <v>9.5289726423748555E-2</v>
      </c>
      <c r="N32" s="141">
        <f>AVERAGE('Costdrivere 2021'!N32,'Costdrivere 2022'!N32)</f>
        <v>4.0999999999999996</v>
      </c>
      <c r="O32" s="119">
        <f>AVERAGE('Costdrivere 2021'!O32,'Costdrivere 2022'!O32)</f>
        <v>179.88</v>
      </c>
      <c r="P32" s="119">
        <f>AVERAGE('Costdrivere 2021'!P32,'Costdrivere 2022'!P32)</f>
        <v>46.8</v>
      </c>
      <c r="Q32" s="119">
        <f>AVERAGE('Costdrivere 2021'!Q32,'Costdrivere 2022'!Q32)</f>
        <v>0</v>
      </c>
      <c r="R32" s="159">
        <f>AVERAGE('Costdrivere 2021'!R32,'Costdrivere 2022'!R32)</f>
        <v>0</v>
      </c>
      <c r="S32" s="141">
        <f>AVERAGE('Costdrivere 2021'!S32,'Costdrivere 2022'!S32)</f>
        <v>2</v>
      </c>
      <c r="T32" s="119">
        <f>AVERAGE('Costdrivere 2021'!T32,'Costdrivere 2022'!T32)</f>
        <v>0</v>
      </c>
      <c r="U32" s="119">
        <f>AVERAGE('Costdrivere 2021'!U32,'Costdrivere 2022'!U32)</f>
        <v>2</v>
      </c>
      <c r="V32" s="119">
        <f>AVERAGE('Costdrivere 2021'!V32,'Costdrivere 2022'!V32)</f>
        <v>242</v>
      </c>
      <c r="W32" s="159">
        <f>AVERAGE('Costdrivere 2021'!W32,'Costdrivere 2022'!W32)</f>
        <v>0</v>
      </c>
      <c r="X32" s="58">
        <f>AVERAGE('Costdrivere 2021'!X32,'Costdrivere 2022'!X32)</f>
        <v>0</v>
      </c>
      <c r="Y32" s="159">
        <f>AVERAGE('Costdrivere 2021'!Y32,'Costdrivere 2022'!Y32)</f>
        <v>63870</v>
      </c>
      <c r="Z32" s="58">
        <f>AVERAGE('Costdrivere 2021'!Z32,'Costdrivere 2022'!Z32)</f>
        <v>17490</v>
      </c>
      <c r="AA32" s="88">
        <f>AVERAGE('Costdrivere 2021'!AA32,'Costdrivere 2022'!AA32)</f>
        <v>0</v>
      </c>
      <c r="AB32" s="88">
        <f>AVERAGE('Costdrivere 2021'!AB32,'Costdrivere 2022'!AB32)</f>
        <v>0</v>
      </c>
      <c r="AC32" s="58">
        <f>AVERAGE('Costdrivere 2021'!AC32,'Costdrivere 2022'!AC32)</f>
        <v>0</v>
      </c>
      <c r="AD32" s="290">
        <f>AVERAGE('Costdrivere 2021'!AD32,'Costdrivere 2022'!AD32)</f>
        <v>0</v>
      </c>
      <c r="AE32" s="145">
        <f>AVERAGE('Costdrivere 2021'!AE32,'Costdrivere 2022'!AE32)</f>
        <v>0</v>
      </c>
      <c r="AF32" s="58">
        <f>AVERAGE('Costdrivere 2021'!AF32,'Costdrivere 2022'!AF32)</f>
        <v>0</v>
      </c>
      <c r="AG32" s="290">
        <f>AVERAGE('Costdrivere 2021'!AG32,'Costdrivere 2022'!AG32)</f>
        <v>0</v>
      </c>
      <c r="AH32" s="145">
        <f>AVERAGE('Costdrivere 2021'!AH32,'Costdrivere 2022'!AH32)</f>
        <v>0</v>
      </c>
      <c r="AI32" s="88">
        <f>AVERAGE('Costdrivere 2021'!AI32,'Costdrivere 2022'!AI32)</f>
        <v>4050.5</v>
      </c>
      <c r="AJ32" s="88">
        <f>AVERAGE('Costdrivere 2021'!AJ32,'Costdrivere 2022'!AJ32)</f>
        <v>1364206</v>
      </c>
      <c r="AK32" s="99" t="str">
        <f>'Costdrivere 2022'!AK32</f>
        <v>t</v>
      </c>
      <c r="AL32" s="150">
        <f>AVERAGE('Costdrivere 2021'!AL32,'Costdrivere 2022'!AL32)</f>
        <v>14762</v>
      </c>
      <c r="AM32" s="48"/>
      <c r="AN32" s="121">
        <f>AVERAGE('Costdrivere 2021'!AN32,'Costdrivere 2022'!AN32)</f>
        <v>0</v>
      </c>
      <c r="AO32" s="166">
        <f>AVERAGE('Costdrivere 2021'!AO32,'Costdrivere 2022'!AO32)</f>
        <v>23615552.539399996</v>
      </c>
      <c r="AP32" s="118">
        <f>AVERAGE('Costdrivere 2021'!AP32,'Costdrivere 2022'!AP32)</f>
        <v>2360408.7066666665</v>
      </c>
      <c r="AQ32" s="203"/>
    </row>
    <row r="33" spans="1:43" x14ac:dyDescent="0.25">
      <c r="A33" s="202" t="s">
        <v>77</v>
      </c>
      <c r="B33" s="202" t="s">
        <v>78</v>
      </c>
      <c r="C33" s="141">
        <f>AVERAGE('Costdrivere 2021'!C33,'Costdrivere 2022'!C33)</f>
        <v>3874912.5775164999</v>
      </c>
      <c r="D33" s="119">
        <f>AVERAGE('Costdrivere 2021'!D33,'Costdrivere 2022'!D33)</f>
        <v>3678690.33005</v>
      </c>
      <c r="E33" s="119">
        <f>AVERAGE('Costdrivere 2021'!E33,'Costdrivere 2022'!E33)</f>
        <v>780111.74769999995</v>
      </c>
      <c r="F33" s="119">
        <f>AVERAGE('Costdrivere 2021'!F33,'Costdrivere 2022'!F33)</f>
        <v>247043.56000000003</v>
      </c>
      <c r="G33" s="119">
        <f>AVERAGE('Costdrivere 2021'!G33,'Costdrivere 2022'!G33)</f>
        <v>6307302.2501173783</v>
      </c>
      <c r="H33" s="119">
        <f>AVERAGE('Costdrivere 2021'!H33,'Costdrivere 2022'!H33)</f>
        <v>0</v>
      </c>
      <c r="I33" s="119">
        <f>AVERAGE('Costdrivere 2021'!I33,'Costdrivere 2022'!I33)</f>
        <v>1603405.05375</v>
      </c>
      <c r="J33" s="119">
        <f>AVERAGE('Costdrivere 2021'!J33,'Costdrivere 2022'!J33)</f>
        <v>1212079.3226000001</v>
      </c>
      <c r="K33" s="119">
        <f>AVERAGE('Costdrivere 2021'!K33,'Costdrivere 2022'!K33)</f>
        <v>1442419.3497471097</v>
      </c>
      <c r="L33" s="159">
        <f>AVERAGE('Costdrivere 2021'!L33,'Costdrivere 2022'!L33)</f>
        <v>4068449.1450908938</v>
      </c>
      <c r="M33" s="292">
        <f>AVERAGE('Costdrivere 2021'!M33,'Costdrivere 2022'!M33)</f>
        <v>4.1888511239020945E-2</v>
      </c>
      <c r="N33" s="141">
        <f>AVERAGE('Costdrivere 2021'!N33,'Costdrivere 2022'!N33)</f>
        <v>84.27</v>
      </c>
      <c r="O33" s="119">
        <f>AVERAGE('Costdrivere 2021'!O33,'Costdrivere 2022'!O33)</f>
        <v>580.75</v>
      </c>
      <c r="P33" s="119">
        <f>AVERAGE('Costdrivere 2021'!P33,'Costdrivere 2022'!P33)</f>
        <v>99.034999999999997</v>
      </c>
      <c r="Q33" s="119">
        <f>AVERAGE('Costdrivere 2021'!Q33,'Costdrivere 2022'!Q33)</f>
        <v>0</v>
      </c>
      <c r="R33" s="159">
        <f>AVERAGE('Costdrivere 2021'!R33,'Costdrivere 2022'!R33)</f>
        <v>0</v>
      </c>
      <c r="S33" s="141">
        <f>AVERAGE('Costdrivere 2021'!S33,'Costdrivere 2022'!S33)</f>
        <v>132</v>
      </c>
      <c r="T33" s="119">
        <f>AVERAGE('Costdrivere 2021'!T33,'Costdrivere 2022'!T33)</f>
        <v>23</v>
      </c>
      <c r="U33" s="119">
        <f>AVERAGE('Costdrivere 2021'!U33,'Costdrivere 2022'!U33)</f>
        <v>10.5</v>
      </c>
      <c r="V33" s="119">
        <f>AVERAGE('Costdrivere 2021'!V33,'Costdrivere 2022'!V33)</f>
        <v>5610</v>
      </c>
      <c r="W33" s="159">
        <f>AVERAGE('Costdrivere 2021'!W33,'Costdrivere 2022'!W33)</f>
        <v>4800</v>
      </c>
      <c r="X33" s="58">
        <f>AVERAGE('Costdrivere 2021'!X33,'Costdrivere 2022'!X33)</f>
        <v>72490</v>
      </c>
      <c r="Y33" s="159">
        <f>AVERAGE('Costdrivere 2021'!Y33,'Costdrivere 2022'!Y33)</f>
        <v>264771</v>
      </c>
      <c r="Z33" s="58">
        <f>AVERAGE('Costdrivere 2021'!Z33,'Costdrivere 2022'!Z33)</f>
        <v>40360</v>
      </c>
      <c r="AA33" s="88">
        <f>AVERAGE('Costdrivere 2021'!AA33,'Costdrivere 2022'!AA33)</f>
        <v>6307302.2501173783</v>
      </c>
      <c r="AB33" s="88">
        <f>AVERAGE('Costdrivere 2021'!AB33,'Costdrivere 2022'!AB33)</f>
        <v>0</v>
      </c>
      <c r="AC33" s="58">
        <f>AVERAGE('Costdrivere 2021'!AC33,'Costdrivere 2022'!AC33)</f>
        <v>635</v>
      </c>
      <c r="AD33" s="290">
        <f>AVERAGE('Costdrivere 2021'!AD33,'Costdrivere 2022'!AD33)</f>
        <v>0</v>
      </c>
      <c r="AE33" s="145">
        <f>AVERAGE('Costdrivere 2021'!AE33,'Costdrivere 2022'!AE33)</f>
        <v>414.5</v>
      </c>
      <c r="AF33" s="58">
        <f>AVERAGE('Costdrivere 2021'!AF33,'Costdrivere 2022'!AF33)</f>
        <v>878</v>
      </c>
      <c r="AG33" s="290">
        <f>AVERAGE('Costdrivere 2021'!AG33,'Costdrivere 2022'!AG33)</f>
        <v>0</v>
      </c>
      <c r="AH33" s="145">
        <f>AVERAGE('Costdrivere 2021'!AH33,'Costdrivere 2022'!AH33)</f>
        <v>0</v>
      </c>
      <c r="AI33" s="88">
        <f>AVERAGE('Costdrivere 2021'!AI33,'Costdrivere 2022'!AI33)</f>
        <v>14585.5</v>
      </c>
      <c r="AJ33" s="88">
        <f>AVERAGE('Costdrivere 2021'!AJ33,'Costdrivere 2022'!AJ33)</f>
        <v>2186728</v>
      </c>
      <c r="AK33" s="99" t="str">
        <f>'Costdrivere 2022'!AK33</f>
        <v>t+r</v>
      </c>
      <c r="AL33" s="150">
        <f>AVERAGE('Costdrivere 2021'!AL33,'Costdrivere 2022'!AL33)</f>
        <v>18766.5</v>
      </c>
      <c r="AM33" s="48"/>
      <c r="AN33" s="121">
        <f>AVERAGE('Costdrivere 2021'!AN33,'Costdrivere 2022'!AN33)</f>
        <v>5835358.9662664263</v>
      </c>
      <c r="AO33" s="166">
        <f>AVERAGE('Costdrivere 2021'!AO33,'Costdrivere 2022'!AO33)</f>
        <v>75006224.907333344</v>
      </c>
      <c r="AP33" s="118">
        <f>AVERAGE('Costdrivere 2021'!AP33,'Costdrivere 2022'!AP33)</f>
        <v>2054973.3333333333</v>
      </c>
      <c r="AQ33" s="203"/>
    </row>
    <row r="34" spans="1:43" x14ac:dyDescent="0.25">
      <c r="A34" s="202" t="s">
        <v>79</v>
      </c>
      <c r="B34" s="202" t="s">
        <v>80</v>
      </c>
      <c r="C34" s="141">
        <f>AVERAGE('Costdrivere 2021'!C34,'Costdrivere 2022'!C34)</f>
        <v>3585988.0505615002</v>
      </c>
      <c r="D34" s="119">
        <f>AVERAGE('Costdrivere 2021'!D34,'Costdrivere 2022'!D34)</f>
        <v>9136839.0249500014</v>
      </c>
      <c r="E34" s="119">
        <f>AVERAGE('Costdrivere 2021'!E34,'Costdrivere 2022'!E34)</f>
        <v>156169.57500000001</v>
      </c>
      <c r="F34" s="119">
        <f>AVERAGE('Costdrivere 2021'!F34,'Costdrivere 2022'!F34)</f>
        <v>132825.70000000001</v>
      </c>
      <c r="G34" s="119">
        <f>AVERAGE('Costdrivere 2021'!G34,'Costdrivere 2022'!G34)</f>
        <v>11601941.952927841</v>
      </c>
      <c r="H34" s="119">
        <f>AVERAGE('Costdrivere 2021'!H34,'Costdrivere 2022'!H34)</f>
        <v>31495.276999999998</v>
      </c>
      <c r="I34" s="119">
        <f>AVERAGE('Costdrivere 2021'!I34,'Costdrivere 2022'!I34)</f>
        <v>1748112.94205</v>
      </c>
      <c r="J34" s="119">
        <f>AVERAGE('Costdrivere 2021'!J34,'Costdrivere 2022'!J34)</f>
        <v>776753.28934999998</v>
      </c>
      <c r="K34" s="119">
        <f>AVERAGE('Costdrivere 2021'!K34,'Costdrivere 2022'!K34)</f>
        <v>1885112.4216253897</v>
      </c>
      <c r="L34" s="159">
        <f>AVERAGE('Costdrivere 2021'!L34,'Costdrivere 2022'!L34)</f>
        <v>3562461.7080544638</v>
      </c>
      <c r="M34" s="292">
        <f>AVERAGE('Costdrivere 2021'!M34,'Costdrivere 2022'!M34)</f>
        <v>3.4627177099617566E-2</v>
      </c>
      <c r="N34" s="141">
        <f>AVERAGE('Costdrivere 2021'!N34,'Costdrivere 2022'!N34)</f>
        <v>626.46500000000003</v>
      </c>
      <c r="O34" s="119">
        <f>AVERAGE('Costdrivere 2021'!O34,'Costdrivere 2022'!O34)</f>
        <v>427.67500000000001</v>
      </c>
      <c r="P34" s="119">
        <f>AVERAGE('Costdrivere 2021'!P34,'Costdrivere 2022'!P34)</f>
        <v>0</v>
      </c>
      <c r="Q34" s="119">
        <f>AVERAGE('Costdrivere 2021'!Q34,'Costdrivere 2022'!Q34)</f>
        <v>0</v>
      </c>
      <c r="R34" s="159">
        <f>AVERAGE('Costdrivere 2021'!R34,'Costdrivere 2022'!R34)</f>
        <v>2</v>
      </c>
      <c r="S34" s="141">
        <f>AVERAGE('Costdrivere 2021'!S34,'Costdrivere 2022'!S34)</f>
        <v>987.5</v>
      </c>
      <c r="T34" s="119">
        <f>AVERAGE('Costdrivere 2021'!T34,'Costdrivere 2022'!T34)</f>
        <v>130</v>
      </c>
      <c r="U34" s="119">
        <f>AVERAGE('Costdrivere 2021'!U34,'Costdrivere 2022'!U34)</f>
        <v>201.5</v>
      </c>
      <c r="V34" s="119">
        <f>AVERAGE('Costdrivere 2021'!V34,'Costdrivere 2022'!V34)</f>
        <v>595</v>
      </c>
      <c r="W34" s="159">
        <f>AVERAGE('Costdrivere 2021'!W34,'Costdrivere 2022'!W34)</f>
        <v>0</v>
      </c>
      <c r="X34" s="58">
        <f>AVERAGE('Costdrivere 2021'!X34,'Costdrivere 2022'!X34)</f>
        <v>16650</v>
      </c>
      <c r="Y34" s="159">
        <f>AVERAGE('Costdrivere 2021'!Y34,'Costdrivere 2022'!Y34)</f>
        <v>51750</v>
      </c>
      <c r="Z34" s="58">
        <f>AVERAGE('Costdrivere 2021'!Z34,'Costdrivere 2022'!Z34)</f>
        <v>21700</v>
      </c>
      <c r="AA34" s="88">
        <f>AVERAGE('Costdrivere 2021'!AA34,'Costdrivere 2022'!AA34)</f>
        <v>11601941.952927841</v>
      </c>
      <c r="AB34" s="88">
        <f>AVERAGE('Costdrivere 2021'!AB34,'Costdrivere 2022'!AB34)</f>
        <v>11</v>
      </c>
      <c r="AC34" s="58">
        <f>AVERAGE('Costdrivere 2021'!AC34,'Costdrivere 2022'!AC34)</f>
        <v>441.5</v>
      </c>
      <c r="AD34" s="290">
        <f>AVERAGE('Costdrivere 2021'!AD34,'Costdrivere 2022'!AD34)</f>
        <v>0</v>
      </c>
      <c r="AE34" s="145">
        <f>AVERAGE('Costdrivere 2021'!AE34,'Costdrivere 2022'!AE34)</f>
        <v>534</v>
      </c>
      <c r="AF34" s="58">
        <f>AVERAGE('Costdrivere 2021'!AF34,'Costdrivere 2022'!AF34)</f>
        <v>441.5</v>
      </c>
      <c r="AG34" s="290">
        <f>AVERAGE('Costdrivere 2021'!AG34,'Costdrivere 2022'!AG34)</f>
        <v>0</v>
      </c>
      <c r="AH34" s="145">
        <f>AVERAGE('Costdrivere 2021'!AH34,'Costdrivere 2022'!AH34)</f>
        <v>0</v>
      </c>
      <c r="AI34" s="88">
        <f>AVERAGE('Costdrivere 2021'!AI34,'Costdrivere 2022'!AI34)</f>
        <v>28761.5</v>
      </c>
      <c r="AJ34" s="88">
        <f>AVERAGE('Costdrivere 2021'!AJ34,'Costdrivere 2022'!AJ34)</f>
        <v>1910924.5</v>
      </c>
      <c r="AK34" s="99" t="str">
        <f>'Costdrivere 2022'!AK34</f>
        <v>t+r</v>
      </c>
      <c r="AL34" s="150">
        <f>AVERAGE('Costdrivere 2021'!AL34,'Costdrivere 2022'!AL34)</f>
        <v>30634.5</v>
      </c>
      <c r="AM34" s="48"/>
      <c r="AN34" s="121">
        <f>AVERAGE('Costdrivere 2021'!AN34,'Costdrivere 2022'!AN34)</f>
        <v>11155452.015707148</v>
      </c>
      <c r="AO34" s="166">
        <f>AVERAGE('Costdrivere 2021'!AO34,'Costdrivere 2022'!AO34)</f>
        <v>76110077.884666681</v>
      </c>
      <c r="AP34" s="118">
        <f>AVERAGE('Costdrivere 2021'!AP34,'Costdrivere 2022'!AP34)</f>
        <v>1519821.5333333332</v>
      </c>
      <c r="AQ34" s="203"/>
    </row>
    <row r="35" spans="1:43" x14ac:dyDescent="0.25">
      <c r="A35" s="202" t="s">
        <v>81</v>
      </c>
      <c r="B35" s="202" t="s">
        <v>82</v>
      </c>
      <c r="C35" s="141">
        <f>AVERAGE('Costdrivere 2021'!C35,'Costdrivere 2022'!C35)</f>
        <v>6428450.4000499994</v>
      </c>
      <c r="D35" s="119">
        <f>AVERAGE('Costdrivere 2021'!D35,'Costdrivere 2022'!D35)</f>
        <v>13246176.1494</v>
      </c>
      <c r="E35" s="119">
        <f>AVERAGE('Costdrivere 2021'!E35,'Costdrivere 2022'!E35)</f>
        <v>325801.76610000001</v>
      </c>
      <c r="F35" s="119">
        <f>AVERAGE('Costdrivere 2021'!F35,'Costdrivere 2022'!F35)</f>
        <v>94428.667000000016</v>
      </c>
      <c r="G35" s="119">
        <f>AVERAGE('Costdrivere 2021'!G35,'Costdrivere 2022'!G35)</f>
        <v>11660337.281695154</v>
      </c>
      <c r="H35" s="119">
        <f>AVERAGE('Costdrivere 2021'!H35,'Costdrivere 2022'!H35)</f>
        <v>8589.6209999999992</v>
      </c>
      <c r="I35" s="119">
        <f>AVERAGE('Costdrivere 2021'!I35,'Costdrivere 2022'!I35)</f>
        <v>1051400.5345700001</v>
      </c>
      <c r="J35" s="119">
        <f>AVERAGE('Costdrivere 2021'!J35,'Costdrivere 2022'!J35)</f>
        <v>1892197.256143</v>
      </c>
      <c r="K35" s="119">
        <f>AVERAGE('Costdrivere 2021'!K35,'Costdrivere 2022'!K35)</f>
        <v>1993880.2733238463</v>
      </c>
      <c r="L35" s="159">
        <f>AVERAGE('Costdrivere 2021'!L35,'Costdrivere 2022'!L35)</f>
        <v>4944776.4572216766</v>
      </c>
      <c r="M35" s="292">
        <f>AVERAGE('Costdrivere 2021'!M35,'Costdrivere 2022'!M35)</f>
        <v>2.5602404406317052E-2</v>
      </c>
      <c r="N35" s="141">
        <f>AVERAGE('Costdrivere 2021'!N35,'Costdrivere 2022'!N35)</f>
        <v>1237.5</v>
      </c>
      <c r="O35" s="119">
        <f>AVERAGE('Costdrivere 2021'!O35,'Costdrivere 2022'!O35)</f>
        <v>699.5</v>
      </c>
      <c r="P35" s="119">
        <f>AVERAGE('Costdrivere 2021'!P35,'Costdrivere 2022'!P35)</f>
        <v>36</v>
      </c>
      <c r="Q35" s="119">
        <f>AVERAGE('Costdrivere 2021'!Q35,'Costdrivere 2022'!Q35)</f>
        <v>0</v>
      </c>
      <c r="R35" s="159">
        <f>AVERAGE('Costdrivere 2021'!R35,'Costdrivere 2022'!R35)</f>
        <v>1.5</v>
      </c>
      <c r="S35" s="141">
        <f>AVERAGE('Costdrivere 2021'!S35,'Costdrivere 2022'!S35)</f>
        <v>2631.5</v>
      </c>
      <c r="T35" s="119">
        <f>AVERAGE('Costdrivere 2021'!T35,'Costdrivere 2022'!T35)</f>
        <v>196</v>
      </c>
      <c r="U35" s="119">
        <f>AVERAGE('Costdrivere 2021'!U35,'Costdrivere 2022'!U35)</f>
        <v>132</v>
      </c>
      <c r="V35" s="119">
        <f>AVERAGE('Costdrivere 2021'!V35,'Costdrivere 2022'!V35)</f>
        <v>520</v>
      </c>
      <c r="W35" s="159">
        <f>AVERAGE('Costdrivere 2021'!W35,'Costdrivere 2022'!W35)</f>
        <v>1500</v>
      </c>
      <c r="X35" s="58">
        <f>AVERAGE('Costdrivere 2021'!X35,'Costdrivere 2022'!X35)</f>
        <v>70033.5</v>
      </c>
      <c r="Y35" s="159">
        <f>AVERAGE('Costdrivere 2021'!Y35,'Costdrivere 2022'!Y35)</f>
        <v>87258</v>
      </c>
      <c r="Z35" s="58">
        <f>AVERAGE('Costdrivere 2021'!Z35,'Costdrivere 2022'!Z35)</f>
        <v>15427</v>
      </c>
      <c r="AA35" s="88">
        <f>AVERAGE('Costdrivere 2021'!AA35,'Costdrivere 2022'!AA35)</f>
        <v>11660337.281695154</v>
      </c>
      <c r="AB35" s="88">
        <f>AVERAGE('Costdrivere 2021'!AB35,'Costdrivere 2022'!AB35)</f>
        <v>3</v>
      </c>
      <c r="AC35" s="58">
        <f>AVERAGE('Costdrivere 2021'!AC35,'Costdrivere 2022'!AC35)</f>
        <v>1116.5</v>
      </c>
      <c r="AD35" s="290">
        <f>AVERAGE('Costdrivere 2021'!AD35,'Costdrivere 2022'!AD35)</f>
        <v>0</v>
      </c>
      <c r="AE35" s="145">
        <f>AVERAGE('Costdrivere 2021'!AE35,'Costdrivere 2022'!AE35)</f>
        <v>1.56</v>
      </c>
      <c r="AF35" s="58">
        <f>AVERAGE('Costdrivere 2021'!AF35,'Costdrivere 2022'!AF35)</f>
        <v>1100.5</v>
      </c>
      <c r="AG35" s="290">
        <f>AVERAGE('Costdrivere 2021'!AG35,'Costdrivere 2022'!AG35)</f>
        <v>1.56</v>
      </c>
      <c r="AH35" s="145">
        <f>AVERAGE('Costdrivere 2021'!AH35,'Costdrivere 2022'!AH35)</f>
        <v>232.35</v>
      </c>
      <c r="AI35" s="88">
        <f>AVERAGE('Costdrivere 2021'!AI35,'Costdrivere 2022'!AI35)</f>
        <v>33160</v>
      </c>
      <c r="AJ35" s="88">
        <f>AVERAGE('Costdrivere 2021'!AJ35,'Costdrivere 2022'!AJ35)</f>
        <v>2665571</v>
      </c>
      <c r="AK35" s="99" t="str">
        <f>'Costdrivere 2022'!AK35</f>
        <v>t+r</v>
      </c>
      <c r="AL35" s="150">
        <f>AVERAGE('Costdrivere 2021'!AL35,'Costdrivere 2022'!AL35)</f>
        <v>40848.5</v>
      </c>
      <c r="AM35" s="48"/>
      <c r="AN35" s="121">
        <f>AVERAGE('Costdrivere 2021'!AN35,'Costdrivere 2022'!AN35)</f>
        <v>11583747.29952082</v>
      </c>
      <c r="AO35" s="166">
        <f>AVERAGE('Costdrivere 2021'!AO35,'Costdrivere 2022'!AO35)</f>
        <v>127178695.76666668</v>
      </c>
      <c r="AP35" s="118">
        <f>AVERAGE('Costdrivere 2021'!AP35,'Costdrivere 2022'!AP35)</f>
        <v>3852840</v>
      </c>
      <c r="AQ35" s="203"/>
    </row>
    <row r="36" spans="1:43" x14ac:dyDescent="0.25">
      <c r="A36" s="202" t="s">
        <v>83</v>
      </c>
      <c r="B36" s="202" t="s">
        <v>84</v>
      </c>
      <c r="C36" s="141">
        <f>AVERAGE('Costdrivere 2021'!C36,'Costdrivere 2022'!C36)</f>
        <v>5837307.5564050004</v>
      </c>
      <c r="D36" s="119">
        <f>AVERAGE('Costdrivere 2021'!D36,'Costdrivere 2022'!D36)</f>
        <v>8679701.4079</v>
      </c>
      <c r="E36" s="119">
        <f>AVERAGE('Costdrivere 2021'!E36,'Costdrivere 2022'!E36)</f>
        <v>718249.549</v>
      </c>
      <c r="F36" s="119">
        <f>AVERAGE('Costdrivere 2021'!F36,'Costdrivere 2022'!F36)</f>
        <v>148134.321</v>
      </c>
      <c r="G36" s="119">
        <f>AVERAGE('Costdrivere 2021'!G36,'Costdrivere 2022'!G36)</f>
        <v>13067218.418551257</v>
      </c>
      <c r="H36" s="119">
        <f>AVERAGE('Costdrivere 2021'!H36,'Costdrivere 2022'!H36)</f>
        <v>94485.830999999991</v>
      </c>
      <c r="I36" s="119">
        <f>AVERAGE('Costdrivere 2021'!I36,'Costdrivere 2022'!I36)</f>
        <v>1086427.6559000001</v>
      </c>
      <c r="J36" s="119">
        <f>AVERAGE('Costdrivere 2021'!J36,'Costdrivere 2022'!J36)</f>
        <v>1965617.8675000002</v>
      </c>
      <c r="K36" s="119">
        <f>AVERAGE('Costdrivere 2021'!K36,'Costdrivere 2022'!K36)</f>
        <v>1718830.8223423599</v>
      </c>
      <c r="L36" s="159">
        <f>AVERAGE('Costdrivere 2021'!L36,'Costdrivere 2022'!L36)</f>
        <v>4308490.3723863354</v>
      </c>
      <c r="M36" s="292">
        <f>AVERAGE('Costdrivere 2021'!M36,'Costdrivere 2022'!M36)</f>
        <v>3.5122317109216664E-2</v>
      </c>
      <c r="N36" s="141">
        <f>AVERAGE('Costdrivere 2021'!N36,'Costdrivere 2022'!N36)</f>
        <v>610.79999999999995</v>
      </c>
      <c r="O36" s="119">
        <f>AVERAGE('Costdrivere 2021'!O36,'Costdrivere 2022'!O36)</f>
        <v>611.5</v>
      </c>
      <c r="P36" s="119">
        <f>AVERAGE('Costdrivere 2021'!P36,'Costdrivere 2022'!P36)</f>
        <v>42.35</v>
      </c>
      <c r="Q36" s="119">
        <f>AVERAGE('Costdrivere 2021'!Q36,'Costdrivere 2022'!Q36)</f>
        <v>0</v>
      </c>
      <c r="R36" s="159">
        <f>AVERAGE('Costdrivere 2021'!R36,'Costdrivere 2022'!R36)</f>
        <v>5.4</v>
      </c>
      <c r="S36" s="141">
        <f>AVERAGE('Costdrivere 2021'!S36,'Costdrivere 2022'!S36)</f>
        <v>569</v>
      </c>
      <c r="T36" s="119">
        <f>AVERAGE('Costdrivere 2021'!T36,'Costdrivere 2022'!T36)</f>
        <v>262</v>
      </c>
      <c r="U36" s="119">
        <f>AVERAGE('Costdrivere 2021'!U36,'Costdrivere 2022'!U36)</f>
        <v>115</v>
      </c>
      <c r="V36" s="119">
        <f>AVERAGE('Costdrivere 2021'!V36,'Costdrivere 2022'!V36)</f>
        <v>3300</v>
      </c>
      <c r="W36" s="159">
        <f>AVERAGE('Costdrivere 2021'!W36,'Costdrivere 2022'!W36)</f>
        <v>2000</v>
      </c>
      <c r="X36" s="58">
        <f>AVERAGE('Costdrivere 2021'!X36,'Costdrivere 2022'!X36)</f>
        <v>229387</v>
      </c>
      <c r="Y36" s="159">
        <f>AVERAGE('Costdrivere 2021'!Y36,'Costdrivere 2022'!Y36)</f>
        <v>148380</v>
      </c>
      <c r="Z36" s="58">
        <f>AVERAGE('Costdrivere 2021'!Z36,'Costdrivere 2022'!Z36)</f>
        <v>24201</v>
      </c>
      <c r="AA36" s="88">
        <f>AVERAGE('Costdrivere 2021'!AA36,'Costdrivere 2022'!AA36)</f>
        <v>13067218.418551257</v>
      </c>
      <c r="AB36" s="88">
        <f>AVERAGE('Costdrivere 2021'!AB36,'Costdrivere 2022'!AB36)</f>
        <v>33</v>
      </c>
      <c r="AC36" s="58">
        <f>AVERAGE('Costdrivere 2021'!AC36,'Costdrivere 2022'!AC36)</f>
        <v>1252</v>
      </c>
      <c r="AD36" s="290">
        <f>AVERAGE('Costdrivere 2021'!AD36,'Costdrivere 2022'!AD36)</f>
        <v>0</v>
      </c>
      <c r="AE36" s="145">
        <f>AVERAGE('Costdrivere 2021'!AE36,'Costdrivere 2022'!AE36)</f>
        <v>0</v>
      </c>
      <c r="AF36" s="58">
        <f>AVERAGE('Costdrivere 2021'!AF36,'Costdrivere 2022'!AF36)</f>
        <v>1383</v>
      </c>
      <c r="AG36" s="290">
        <f>AVERAGE('Costdrivere 2021'!AG36,'Costdrivere 2022'!AG36)</f>
        <v>0</v>
      </c>
      <c r="AH36" s="145">
        <f>AVERAGE('Costdrivere 2021'!AH36,'Costdrivere 2022'!AH36)</f>
        <v>128</v>
      </c>
      <c r="AI36" s="88">
        <f>AVERAGE('Costdrivere 2021'!AI36,'Costdrivere 2022'!AI36)</f>
        <v>22755</v>
      </c>
      <c r="AJ36" s="88">
        <f>AVERAGE('Costdrivere 2021'!AJ36,'Costdrivere 2022'!AJ36)</f>
        <v>2317733.895</v>
      </c>
      <c r="AK36" s="99" t="str">
        <f>'Costdrivere 2022'!AK36</f>
        <v>t+r</v>
      </c>
      <c r="AL36" s="150">
        <f>AVERAGE('Costdrivere 2021'!AL36,'Costdrivere 2022'!AL36)</f>
        <v>32768.5</v>
      </c>
      <c r="AM36" s="48"/>
      <c r="AN36" s="121">
        <f>AVERAGE('Costdrivere 2021'!AN36,'Costdrivere 2022'!AN36)</f>
        <v>12799538.230782518</v>
      </c>
      <c r="AO36" s="166">
        <f>AVERAGE('Costdrivere 2021'!AO36,'Costdrivere 2022'!AO36)</f>
        <v>100636704.61666667</v>
      </c>
      <c r="AP36" s="118">
        <f>AVERAGE('Costdrivere 2021'!AP36,'Costdrivere 2022'!AP36)</f>
        <v>2763346.6666666665</v>
      </c>
      <c r="AQ36" s="203"/>
    </row>
    <row r="37" spans="1:43" x14ac:dyDescent="0.25">
      <c r="A37" s="202" t="s">
        <v>85</v>
      </c>
      <c r="B37" s="202" t="s">
        <v>86</v>
      </c>
      <c r="C37" s="141">
        <f>AVERAGE('Costdrivere 2021'!C37,'Costdrivere 2022'!C37)</f>
        <v>3082247.2820000001</v>
      </c>
      <c r="D37" s="119">
        <f>AVERAGE('Costdrivere 2021'!D37,'Costdrivere 2022'!D37)</f>
        <v>7850709.3314000005</v>
      </c>
      <c r="E37" s="119">
        <f>AVERAGE('Costdrivere 2021'!E37,'Costdrivere 2022'!E37)</f>
        <v>22335</v>
      </c>
      <c r="F37" s="119">
        <f>AVERAGE('Costdrivere 2021'!F37,'Costdrivere 2022'!F37)</f>
        <v>87873.076000000001</v>
      </c>
      <c r="G37" s="119">
        <f>AVERAGE('Costdrivere 2021'!G37,'Costdrivere 2022'!G37)</f>
        <v>3615710.7528430801</v>
      </c>
      <c r="H37" s="119">
        <f>AVERAGE('Costdrivere 2021'!H37,'Costdrivere 2022'!H37)</f>
        <v>11452.828</v>
      </c>
      <c r="I37" s="119">
        <f>AVERAGE('Costdrivere 2021'!I37,'Costdrivere 2022'!I37)</f>
        <v>912221.29415000009</v>
      </c>
      <c r="J37" s="119">
        <f>AVERAGE('Costdrivere 2021'!J37,'Costdrivere 2022'!J37)</f>
        <v>959261.11085000006</v>
      </c>
      <c r="K37" s="119">
        <f>AVERAGE('Costdrivere 2021'!K37,'Costdrivere 2022'!K37)</f>
        <v>1396040.0649235232</v>
      </c>
      <c r="L37" s="159">
        <f>AVERAGE('Costdrivere 2021'!L37,'Costdrivere 2022'!L37)</f>
        <v>2530677.5296428809</v>
      </c>
      <c r="M37" s="292">
        <f>AVERAGE('Costdrivere 2021'!M37,'Costdrivere 2022'!M37)</f>
        <v>3.1155605525709944E-2</v>
      </c>
      <c r="N37" s="141">
        <f>AVERAGE('Costdrivere 2021'!N37,'Costdrivere 2022'!N37)</f>
        <v>282.55</v>
      </c>
      <c r="O37" s="119">
        <f>AVERAGE('Costdrivere 2021'!O37,'Costdrivere 2022'!O37)</f>
        <v>359.2</v>
      </c>
      <c r="P37" s="119">
        <f>AVERAGE('Costdrivere 2021'!P37,'Costdrivere 2022'!P37)</f>
        <v>8.1999999999999993</v>
      </c>
      <c r="Q37" s="119">
        <f>AVERAGE('Costdrivere 2021'!Q37,'Costdrivere 2022'!Q37)</f>
        <v>0</v>
      </c>
      <c r="R37" s="159">
        <f>AVERAGE('Costdrivere 2021'!R37,'Costdrivere 2022'!R37)</f>
        <v>3.5</v>
      </c>
      <c r="S37" s="141">
        <f>AVERAGE('Costdrivere 2021'!S37,'Costdrivere 2022'!S37)</f>
        <v>3</v>
      </c>
      <c r="T37" s="119">
        <f>AVERAGE('Costdrivere 2021'!T37,'Costdrivere 2022'!T37)</f>
        <v>469</v>
      </c>
      <c r="U37" s="119">
        <f>AVERAGE('Costdrivere 2021'!U37,'Costdrivere 2022'!U37)</f>
        <v>97</v>
      </c>
      <c r="V37" s="119">
        <f>AVERAGE('Costdrivere 2021'!V37,'Costdrivere 2022'!V37)</f>
        <v>1200</v>
      </c>
      <c r="W37" s="159">
        <f>AVERAGE('Costdrivere 2021'!W37,'Costdrivere 2022'!W37)</f>
        <v>0</v>
      </c>
      <c r="X37" s="58">
        <f>AVERAGE('Costdrivere 2021'!X37,'Costdrivere 2022'!X37)</f>
        <v>15000</v>
      </c>
      <c r="Y37" s="159">
        <f>AVERAGE('Costdrivere 2021'!Y37,'Costdrivere 2022'!Y37)</f>
        <v>0</v>
      </c>
      <c r="Z37" s="58">
        <f>AVERAGE('Costdrivere 2021'!Z37,'Costdrivere 2022'!Z37)</f>
        <v>14356</v>
      </c>
      <c r="AA37" s="88">
        <f>AVERAGE('Costdrivere 2021'!AA37,'Costdrivere 2022'!AA37)</f>
        <v>3615710.7528430801</v>
      </c>
      <c r="AB37" s="88">
        <f>AVERAGE('Costdrivere 2021'!AB37,'Costdrivere 2022'!AB37)</f>
        <v>4</v>
      </c>
      <c r="AC37" s="58">
        <f>AVERAGE('Costdrivere 2021'!AC37,'Costdrivere 2022'!AC37)</f>
        <v>624.5</v>
      </c>
      <c r="AD37" s="290">
        <f>AVERAGE('Costdrivere 2021'!AD37,'Costdrivere 2022'!AD37)</f>
        <v>0</v>
      </c>
      <c r="AE37" s="145">
        <f>AVERAGE('Costdrivere 2021'!AE37,'Costdrivere 2022'!AE37)</f>
        <v>0</v>
      </c>
      <c r="AF37" s="58">
        <f>AVERAGE('Costdrivere 2021'!AF37,'Costdrivere 2022'!AF37)</f>
        <v>624.5</v>
      </c>
      <c r="AG37" s="290">
        <f>AVERAGE('Costdrivere 2021'!AG37,'Costdrivere 2022'!AG37)</f>
        <v>0</v>
      </c>
      <c r="AH37" s="145">
        <f>AVERAGE('Costdrivere 2021'!AH37,'Costdrivere 2022'!AH37)</f>
        <v>0</v>
      </c>
      <c r="AI37" s="88">
        <f>AVERAGE('Costdrivere 2021'!AI37,'Costdrivere 2022'!AI37)</f>
        <v>13425</v>
      </c>
      <c r="AJ37" s="88">
        <f>AVERAGE('Costdrivere 2021'!AJ37,'Costdrivere 2022'!AJ37)</f>
        <v>1350454.5</v>
      </c>
      <c r="AK37" s="99" t="str">
        <f>'Costdrivere 2022'!AK37</f>
        <v>t+r</v>
      </c>
      <c r="AL37" s="150">
        <f>AVERAGE('Costdrivere 2021'!AL37,'Costdrivere 2022'!AL37)</f>
        <v>17092</v>
      </c>
      <c r="AM37" s="48"/>
      <c r="AN37" s="121">
        <f>AVERAGE('Costdrivere 2021'!AN37,'Costdrivere 2022'!AN37)</f>
        <v>3321606.6216226048</v>
      </c>
      <c r="AO37" s="166">
        <f>AVERAGE('Costdrivere 2021'!AO37,'Costdrivere 2022'!AO37)</f>
        <v>65432739.267333329</v>
      </c>
      <c r="AP37" s="118">
        <f>AVERAGE('Costdrivere 2021'!AP37,'Costdrivere 2022'!AP37)</f>
        <v>2781022.6434177533</v>
      </c>
      <c r="AQ37" s="203"/>
    </row>
    <row r="38" spans="1:43" x14ac:dyDescent="0.25">
      <c r="A38" s="202" t="s">
        <v>87</v>
      </c>
      <c r="B38" s="202" t="s">
        <v>88</v>
      </c>
      <c r="C38" s="141">
        <f>AVERAGE('Costdrivere 2021'!C38,'Costdrivere 2022'!C38)</f>
        <v>4084265.3011499997</v>
      </c>
      <c r="D38" s="119">
        <f>AVERAGE('Costdrivere 2021'!D38,'Costdrivere 2022'!D38)</f>
        <v>15767186.15645</v>
      </c>
      <c r="E38" s="119">
        <f>AVERAGE('Costdrivere 2021'!E38,'Costdrivere 2022'!E38)</f>
        <v>555965.07090000005</v>
      </c>
      <c r="F38" s="119">
        <f>AVERAGE('Costdrivere 2021'!F38,'Costdrivere 2022'!F38)</f>
        <v>97017.85</v>
      </c>
      <c r="G38" s="119">
        <f>AVERAGE('Costdrivere 2021'!G38,'Costdrivere 2022'!G38)</f>
        <v>8232627.8047843892</v>
      </c>
      <c r="H38" s="119">
        <f>AVERAGE('Costdrivere 2021'!H38,'Costdrivere 2022'!H38)</f>
        <v>25768.862999999998</v>
      </c>
      <c r="I38" s="119">
        <f>AVERAGE('Costdrivere 2021'!I38,'Costdrivere 2022'!I38)</f>
        <v>1913972.4087500002</v>
      </c>
      <c r="J38" s="119">
        <f>AVERAGE('Costdrivere 2021'!J38,'Costdrivere 2022'!J38)</f>
        <v>1336244.47985</v>
      </c>
      <c r="K38" s="119">
        <f>AVERAGE('Costdrivere 2021'!K38,'Costdrivere 2022'!K38)</f>
        <v>1549724.1963334091</v>
      </c>
      <c r="L38" s="159">
        <f>AVERAGE('Costdrivere 2021'!L38,'Costdrivere 2022'!L38)</f>
        <v>3490852.8832496735</v>
      </c>
      <c r="M38" s="292">
        <f>AVERAGE('Costdrivere 2021'!M38,'Costdrivere 2022'!M38)</f>
        <v>2.4236946696166967E-2</v>
      </c>
      <c r="N38" s="141">
        <f>AVERAGE('Costdrivere 2021'!N38,'Costdrivere 2022'!N38)</f>
        <v>470</v>
      </c>
      <c r="O38" s="119">
        <f>AVERAGE('Costdrivere 2021'!O38,'Costdrivere 2022'!O38)</f>
        <v>682</v>
      </c>
      <c r="P38" s="119">
        <f>AVERAGE('Costdrivere 2021'!P38,'Costdrivere 2022'!P38)</f>
        <v>0</v>
      </c>
      <c r="Q38" s="119">
        <f>AVERAGE('Costdrivere 2021'!Q38,'Costdrivere 2022'!Q38)</f>
        <v>0</v>
      </c>
      <c r="R38" s="159">
        <f>AVERAGE('Costdrivere 2021'!R38,'Costdrivere 2022'!R38)</f>
        <v>1.75</v>
      </c>
      <c r="S38" s="141">
        <f>AVERAGE('Costdrivere 2021'!S38,'Costdrivere 2022'!S38)</f>
        <v>366.5</v>
      </c>
      <c r="T38" s="119">
        <f>AVERAGE('Costdrivere 2021'!T38,'Costdrivere 2022'!T38)</f>
        <v>152.5</v>
      </c>
      <c r="U38" s="119">
        <f>AVERAGE('Costdrivere 2021'!U38,'Costdrivere 2022'!U38)</f>
        <v>123</v>
      </c>
      <c r="V38" s="119">
        <f>AVERAGE('Costdrivere 2021'!V38,'Costdrivere 2022'!V38)</f>
        <v>22762</v>
      </c>
      <c r="W38" s="159">
        <f>AVERAGE('Costdrivere 2021'!W38,'Costdrivere 2022'!W38)</f>
        <v>13870</v>
      </c>
      <c r="X38" s="58">
        <f>AVERAGE('Costdrivere 2021'!X38,'Costdrivere 2022'!X38)</f>
        <v>171791</v>
      </c>
      <c r="Y38" s="159">
        <f>AVERAGE('Costdrivere 2021'!Y38,'Costdrivere 2022'!Y38)</f>
        <v>118237</v>
      </c>
      <c r="Z38" s="58">
        <f>AVERAGE('Costdrivere 2021'!Z38,'Costdrivere 2022'!Z38)</f>
        <v>15850</v>
      </c>
      <c r="AA38" s="88">
        <f>AVERAGE('Costdrivere 2021'!AA38,'Costdrivere 2022'!AA38)</f>
        <v>8232627.8047843892</v>
      </c>
      <c r="AB38" s="88">
        <f>AVERAGE('Costdrivere 2021'!AB38,'Costdrivere 2022'!AB38)</f>
        <v>9</v>
      </c>
      <c r="AC38" s="58">
        <f>AVERAGE('Costdrivere 2021'!AC38,'Costdrivere 2022'!AC38)</f>
        <v>1335</v>
      </c>
      <c r="AD38" s="290">
        <f>AVERAGE('Costdrivere 2021'!AD38,'Costdrivere 2022'!AD38)</f>
        <v>0</v>
      </c>
      <c r="AE38" s="145">
        <f>AVERAGE('Costdrivere 2021'!AE38,'Costdrivere 2022'!AE38)</f>
        <v>484.5</v>
      </c>
      <c r="AF38" s="58">
        <f>AVERAGE('Costdrivere 2021'!AF38,'Costdrivere 2022'!AF38)</f>
        <v>1002.5</v>
      </c>
      <c r="AG38" s="290">
        <f>AVERAGE('Costdrivere 2021'!AG38,'Costdrivere 2022'!AG38)</f>
        <v>0</v>
      </c>
      <c r="AH38" s="145">
        <f>AVERAGE('Costdrivere 2021'!AH38,'Costdrivere 2022'!AH38)</f>
        <v>0</v>
      </c>
      <c r="AI38" s="88">
        <f>AVERAGE('Costdrivere 2021'!AI38,'Costdrivere 2022'!AI38)</f>
        <v>17498</v>
      </c>
      <c r="AJ38" s="88">
        <f>AVERAGE('Costdrivere 2021'!AJ38,'Costdrivere 2022'!AJ38)</f>
        <v>1871918</v>
      </c>
      <c r="AK38" s="99" t="str">
        <f>'Costdrivere 2022'!AK38</f>
        <v>t+r</v>
      </c>
      <c r="AL38" s="150">
        <f>AVERAGE('Costdrivere 2021'!AL38,'Costdrivere 2022'!AL38)</f>
        <v>20934</v>
      </c>
      <c r="AM38" s="48"/>
      <c r="AN38" s="121">
        <f>AVERAGE('Costdrivere 2021'!AN38,'Costdrivere 2022'!AN38)</f>
        <v>7771478.4065928468</v>
      </c>
      <c r="AO38" s="166">
        <f>AVERAGE('Costdrivere 2021'!AO38,'Costdrivere 2022'!AO38)</f>
        <v>113693691.36265989</v>
      </c>
      <c r="AP38" s="118">
        <f>AVERAGE('Costdrivere 2021'!AP38,'Costdrivere 2022'!AP38)</f>
        <v>2427893.3333333335</v>
      </c>
      <c r="AQ38" s="203"/>
    </row>
    <row r="39" spans="1:43" x14ac:dyDescent="0.25">
      <c r="A39" s="202" t="s">
        <v>89</v>
      </c>
      <c r="B39" s="202" t="s">
        <v>90</v>
      </c>
      <c r="C39" s="141">
        <f>AVERAGE('Costdrivere 2021'!C39,'Costdrivere 2022'!C39)</f>
        <v>0</v>
      </c>
      <c r="D39" s="119">
        <f>AVERAGE('Costdrivere 2021'!D39,'Costdrivere 2022'!D39)</f>
        <v>0</v>
      </c>
      <c r="E39" s="119">
        <f>AVERAGE('Costdrivere 2021'!E39,'Costdrivere 2022'!E39)</f>
        <v>0</v>
      </c>
      <c r="F39" s="119">
        <f>AVERAGE('Costdrivere 2021'!F39,'Costdrivere 2022'!F39)</f>
        <v>0</v>
      </c>
      <c r="G39" s="119">
        <f>AVERAGE('Costdrivere 2021'!G39,'Costdrivere 2022'!G39)</f>
        <v>17046999.990819357</v>
      </c>
      <c r="H39" s="119">
        <f>AVERAGE('Costdrivere 2021'!H39,'Costdrivere 2022'!H39)</f>
        <v>0</v>
      </c>
      <c r="I39" s="119">
        <f>AVERAGE('Costdrivere 2021'!I39,'Costdrivere 2022'!I39)</f>
        <v>3236082.7254500003</v>
      </c>
      <c r="J39" s="119">
        <f>AVERAGE('Costdrivere 2021'!J39,'Costdrivere 2022'!J39)</f>
        <v>2040844.3481000001</v>
      </c>
      <c r="K39" s="119">
        <f>AVERAGE('Costdrivere 2021'!K39,'Costdrivere 2022'!K39)</f>
        <v>43285.270946158009</v>
      </c>
      <c r="L39" s="159">
        <f>AVERAGE('Costdrivere 2021'!L39,'Costdrivere 2022'!L39)</f>
        <v>3068753.3686833871</v>
      </c>
      <c r="M39" s="292">
        <f>AVERAGE('Costdrivere 2021'!M39,'Costdrivere 2022'!M39)</f>
        <v>0</v>
      </c>
      <c r="N39" s="141">
        <f>AVERAGE('Costdrivere 2021'!N39,'Costdrivere 2022'!N39)</f>
        <v>0</v>
      </c>
      <c r="O39" s="119">
        <f>AVERAGE('Costdrivere 2021'!O39,'Costdrivere 2022'!O39)</f>
        <v>0</v>
      </c>
      <c r="P39" s="119">
        <f>AVERAGE('Costdrivere 2021'!P39,'Costdrivere 2022'!P39)</f>
        <v>0</v>
      </c>
      <c r="Q39" s="119">
        <f>AVERAGE('Costdrivere 2021'!Q39,'Costdrivere 2022'!Q39)</f>
        <v>0</v>
      </c>
      <c r="R39" s="159">
        <f>AVERAGE('Costdrivere 2021'!R39,'Costdrivere 2022'!R39)</f>
        <v>0</v>
      </c>
      <c r="S39" s="141">
        <f>AVERAGE('Costdrivere 2021'!S39,'Costdrivere 2022'!S39)</f>
        <v>0</v>
      </c>
      <c r="T39" s="119">
        <f>AVERAGE('Costdrivere 2021'!T39,'Costdrivere 2022'!T39)</f>
        <v>0</v>
      </c>
      <c r="U39" s="119">
        <f>AVERAGE('Costdrivere 2021'!U39,'Costdrivere 2022'!U39)</f>
        <v>0</v>
      </c>
      <c r="V39" s="119">
        <f>AVERAGE('Costdrivere 2021'!V39,'Costdrivere 2022'!V39)</f>
        <v>0</v>
      </c>
      <c r="W39" s="159">
        <f>AVERAGE('Costdrivere 2021'!W39,'Costdrivere 2022'!W39)</f>
        <v>0</v>
      </c>
      <c r="X39" s="58">
        <f>AVERAGE('Costdrivere 2021'!X39,'Costdrivere 2022'!X39)</f>
        <v>0</v>
      </c>
      <c r="Y39" s="159">
        <f>AVERAGE('Costdrivere 2021'!Y39,'Costdrivere 2022'!Y39)</f>
        <v>0</v>
      </c>
      <c r="Z39" s="58">
        <f>AVERAGE('Costdrivere 2021'!Z39,'Costdrivere 2022'!Z39)</f>
        <v>0</v>
      </c>
      <c r="AA39" s="88">
        <f>AVERAGE('Costdrivere 2021'!AA39,'Costdrivere 2022'!AA39)</f>
        <v>17046999.990819357</v>
      </c>
      <c r="AB39" s="88">
        <f>AVERAGE('Costdrivere 2021'!AB39,'Costdrivere 2022'!AB39)</f>
        <v>0</v>
      </c>
      <c r="AC39" s="58">
        <f>AVERAGE('Costdrivere 2021'!AC39,'Costdrivere 2022'!AC39)</f>
        <v>0</v>
      </c>
      <c r="AD39" s="290">
        <f>AVERAGE('Costdrivere 2021'!AD39,'Costdrivere 2022'!AD39)</f>
        <v>3128</v>
      </c>
      <c r="AE39" s="145">
        <f>AVERAGE('Costdrivere 2021'!AE39,'Costdrivere 2022'!AE39)</f>
        <v>58.5</v>
      </c>
      <c r="AF39" s="58">
        <f>AVERAGE('Costdrivere 2021'!AF39,'Costdrivere 2022'!AF39)</f>
        <v>1709</v>
      </c>
      <c r="AG39" s="290">
        <f>AVERAGE('Costdrivere 2021'!AG39,'Costdrivere 2022'!AG39)</f>
        <v>0</v>
      </c>
      <c r="AH39" s="145">
        <f>AVERAGE('Costdrivere 2021'!AH39,'Costdrivere 2022'!AH39)</f>
        <v>0</v>
      </c>
      <c r="AI39" s="88">
        <f>AVERAGE('Costdrivere 2021'!AI39,'Costdrivere 2022'!AI39)</f>
        <v>2</v>
      </c>
      <c r="AJ39" s="88">
        <f>AVERAGE('Costdrivere 2021'!AJ39,'Costdrivere 2022'!AJ39)</f>
        <v>4134513.5</v>
      </c>
      <c r="AK39" s="99" t="str">
        <f>'Costdrivere 2022'!AK39</f>
        <v>r</v>
      </c>
      <c r="AL39" s="150">
        <f>AVERAGE('Costdrivere 2021'!AL39,'Costdrivere 2022'!AL39)</f>
        <v>2</v>
      </c>
      <c r="AM39" s="48"/>
      <c r="AN39" s="121">
        <f>AVERAGE('Costdrivere 2021'!AN39,'Costdrivere 2022'!AN39)</f>
        <v>19939464.500784434</v>
      </c>
      <c r="AO39" s="166">
        <f>AVERAGE('Costdrivere 2021'!AO39,'Costdrivere 2022'!AO39)</f>
        <v>0</v>
      </c>
      <c r="AP39" s="118">
        <f>AVERAGE('Costdrivere 2021'!AP39,'Costdrivere 2022'!AP39)</f>
        <v>1843866.6666666665</v>
      </c>
      <c r="AQ39" s="203"/>
    </row>
    <row r="40" spans="1:43" x14ac:dyDescent="0.25">
      <c r="A40" s="202" t="s">
        <v>91</v>
      </c>
      <c r="B40" s="202" t="s">
        <v>92</v>
      </c>
      <c r="C40" s="141">
        <f>AVERAGE('Costdrivere 2021'!C40,'Costdrivere 2022'!C40)</f>
        <v>7653794.4977315003</v>
      </c>
      <c r="D40" s="119">
        <f>AVERAGE('Costdrivere 2021'!D40,'Costdrivere 2022'!D40)</f>
        <v>4385504.7046999997</v>
      </c>
      <c r="E40" s="119">
        <f>AVERAGE('Costdrivere 2021'!E40,'Costdrivere 2022'!E40)</f>
        <v>2987446.8154500006</v>
      </c>
      <c r="F40" s="119">
        <f>AVERAGE('Costdrivere 2021'!F40,'Costdrivere 2022'!F40)</f>
        <v>104381.413</v>
      </c>
      <c r="G40" s="119">
        <f>AVERAGE('Costdrivere 2021'!G40,'Costdrivere 2022'!G40)</f>
        <v>0</v>
      </c>
      <c r="H40" s="119">
        <f>AVERAGE('Costdrivere 2021'!H40,'Costdrivere 2022'!H40)</f>
        <v>0</v>
      </c>
      <c r="I40" s="119">
        <f>AVERAGE('Costdrivere 2021'!I40,'Costdrivere 2022'!I40)</f>
        <v>0</v>
      </c>
      <c r="J40" s="119">
        <f>AVERAGE('Costdrivere 2021'!J40,'Costdrivere 2022'!J40)</f>
        <v>0</v>
      </c>
      <c r="K40" s="119">
        <f>AVERAGE('Costdrivere 2021'!K40,'Costdrivere 2022'!K40)</f>
        <v>2024838.3852607491</v>
      </c>
      <c r="L40" s="159">
        <f>AVERAGE('Costdrivere 2021'!L40,'Costdrivere 2022'!L40)</f>
        <v>5948628.8851931207</v>
      </c>
      <c r="M40" s="292">
        <f>AVERAGE('Costdrivere 2021'!M40,'Costdrivere 2022'!M40)</f>
        <v>4.1708821247980282E-2</v>
      </c>
      <c r="N40" s="141">
        <f>AVERAGE('Costdrivere 2021'!N40,'Costdrivere 2022'!N40)</f>
        <v>167.08499999999998</v>
      </c>
      <c r="O40" s="119">
        <f>AVERAGE('Costdrivere 2021'!O40,'Costdrivere 2022'!O40)</f>
        <v>1299.4299999999998</v>
      </c>
      <c r="P40" s="119">
        <f>AVERAGE('Costdrivere 2021'!P40,'Costdrivere 2022'!P40)</f>
        <v>123.52500000000001</v>
      </c>
      <c r="Q40" s="119">
        <f>AVERAGE('Costdrivere 2021'!Q40,'Costdrivere 2022'!Q40)</f>
        <v>0</v>
      </c>
      <c r="R40" s="159">
        <f>AVERAGE('Costdrivere 2021'!R40,'Costdrivere 2022'!R40)</f>
        <v>2.0299999999999998</v>
      </c>
      <c r="S40" s="141">
        <f>AVERAGE('Costdrivere 2021'!S40,'Costdrivere 2022'!S40)</f>
        <v>5</v>
      </c>
      <c r="T40" s="119">
        <f>AVERAGE('Costdrivere 2021'!T40,'Costdrivere 2022'!T40)</f>
        <v>19</v>
      </c>
      <c r="U40" s="119">
        <f>AVERAGE('Costdrivere 2021'!U40,'Costdrivere 2022'!U40)</f>
        <v>116</v>
      </c>
      <c r="V40" s="119">
        <f>AVERAGE('Costdrivere 2021'!V40,'Costdrivere 2022'!V40)</f>
        <v>4630</v>
      </c>
      <c r="W40" s="159">
        <f>AVERAGE('Costdrivere 2021'!W40,'Costdrivere 2022'!W40)</f>
        <v>0</v>
      </c>
      <c r="X40" s="58">
        <f>AVERAGE('Costdrivere 2021'!X40,'Costdrivere 2022'!X40)</f>
        <v>304574</v>
      </c>
      <c r="Y40" s="159">
        <f>AVERAGE('Costdrivere 2021'!Y40,'Costdrivere 2022'!Y40)</f>
        <v>998123.5</v>
      </c>
      <c r="Z40" s="58">
        <f>AVERAGE('Costdrivere 2021'!Z40,'Costdrivere 2022'!Z40)</f>
        <v>17053</v>
      </c>
      <c r="AA40" s="88">
        <f>AVERAGE('Costdrivere 2021'!AA40,'Costdrivere 2022'!AA40)</f>
        <v>0</v>
      </c>
      <c r="AB40" s="88">
        <f>AVERAGE('Costdrivere 2021'!AB40,'Costdrivere 2022'!AB40)</f>
        <v>0</v>
      </c>
      <c r="AC40" s="58">
        <f>AVERAGE('Costdrivere 2021'!AC40,'Costdrivere 2022'!AC40)</f>
        <v>0</v>
      </c>
      <c r="AD40" s="290">
        <f>AVERAGE('Costdrivere 2021'!AD40,'Costdrivere 2022'!AD40)</f>
        <v>0</v>
      </c>
      <c r="AE40" s="145">
        <f>AVERAGE('Costdrivere 2021'!AE40,'Costdrivere 2022'!AE40)</f>
        <v>0</v>
      </c>
      <c r="AF40" s="58">
        <f>AVERAGE('Costdrivere 2021'!AF40,'Costdrivere 2022'!AF40)</f>
        <v>0</v>
      </c>
      <c r="AG40" s="290">
        <f>AVERAGE('Costdrivere 2021'!AG40,'Costdrivere 2022'!AG40)</f>
        <v>0</v>
      </c>
      <c r="AH40" s="145">
        <f>AVERAGE('Costdrivere 2021'!AH40,'Costdrivere 2022'!AH40)</f>
        <v>0</v>
      </c>
      <c r="AI40" s="88">
        <f>AVERAGE('Costdrivere 2021'!AI40,'Costdrivere 2022'!AI40)</f>
        <v>34482.5</v>
      </c>
      <c r="AJ40" s="88">
        <f>AVERAGE('Costdrivere 2021'!AJ40,'Costdrivere 2022'!AJ40)</f>
        <v>4134513.5</v>
      </c>
      <c r="AK40" s="99" t="str">
        <f>'Costdrivere 2022'!AK40</f>
        <v>t</v>
      </c>
      <c r="AL40" s="150">
        <f>AVERAGE('Costdrivere 2021'!AL40,'Costdrivere 2022'!AL40)</f>
        <v>42420</v>
      </c>
      <c r="AM40" s="48"/>
      <c r="AN40" s="121">
        <f>AVERAGE('Costdrivere 2021'!AN40,'Costdrivere 2022'!AN40)</f>
        <v>0</v>
      </c>
      <c r="AO40" s="166">
        <f>AVERAGE('Costdrivere 2021'!AO40,'Costdrivere 2022'!AO40)</f>
        <v>156972782.96666664</v>
      </c>
      <c r="AP40" s="118">
        <f>AVERAGE('Costdrivere 2021'!AP40,'Costdrivere 2022'!AP40)</f>
        <v>2507726.666666667</v>
      </c>
      <c r="AQ40" s="203"/>
    </row>
    <row r="41" spans="1:43" x14ac:dyDescent="0.25">
      <c r="A41" s="202" t="s">
        <v>93</v>
      </c>
      <c r="B41" s="202" t="s">
        <v>94</v>
      </c>
      <c r="C41" s="141">
        <f>AVERAGE('Costdrivere 2021'!C41,'Costdrivere 2022'!C41)</f>
        <v>3380182.3475184999</v>
      </c>
      <c r="D41" s="119">
        <f>AVERAGE('Costdrivere 2021'!D41,'Costdrivere 2022'!D41)</f>
        <v>10427820.844300002</v>
      </c>
      <c r="E41" s="119">
        <f>AVERAGE('Costdrivere 2021'!E41,'Costdrivere 2022'!E41)</f>
        <v>771481.90830000001</v>
      </c>
      <c r="F41" s="119">
        <f>AVERAGE('Costdrivere 2021'!F41,'Costdrivere 2022'!F41)</f>
        <v>738057.93800000008</v>
      </c>
      <c r="G41" s="119">
        <f>AVERAGE('Costdrivere 2021'!G41,'Costdrivere 2022'!G41)</f>
        <v>10017822.566263324</v>
      </c>
      <c r="H41" s="119">
        <f>AVERAGE('Costdrivere 2021'!H41,'Costdrivere 2022'!H41)</f>
        <v>473860.7585</v>
      </c>
      <c r="I41" s="119">
        <f>AVERAGE('Costdrivere 2021'!I41,'Costdrivere 2022'!I41)</f>
        <v>2101562.6458999999</v>
      </c>
      <c r="J41" s="119">
        <f>AVERAGE('Costdrivere 2021'!J41,'Costdrivere 2022'!J41)</f>
        <v>2469882.0123500004</v>
      </c>
      <c r="K41" s="119">
        <f>AVERAGE('Costdrivere 2021'!K41,'Costdrivere 2022'!K41)</f>
        <v>1432221.9926254472</v>
      </c>
      <c r="L41" s="159">
        <f>AVERAGE('Costdrivere 2021'!L41,'Costdrivere 2022'!L41)</f>
        <v>4888354.130218124</v>
      </c>
      <c r="M41" s="292">
        <f>AVERAGE('Costdrivere 2021'!M41,'Costdrivere 2022'!M41)</f>
        <v>4.3722703502509563E-2</v>
      </c>
      <c r="N41" s="141">
        <f>AVERAGE('Costdrivere 2021'!N41,'Costdrivere 2022'!N41)</f>
        <v>172.84</v>
      </c>
      <c r="O41" s="119">
        <f>AVERAGE('Costdrivere 2021'!O41,'Costdrivere 2022'!O41)</f>
        <v>457.52499999999998</v>
      </c>
      <c r="P41" s="119">
        <f>AVERAGE('Costdrivere 2021'!P41,'Costdrivere 2022'!P41)</f>
        <v>45.56</v>
      </c>
      <c r="Q41" s="119">
        <f>AVERAGE('Costdrivere 2021'!Q41,'Costdrivere 2022'!Q41)</f>
        <v>0</v>
      </c>
      <c r="R41" s="159">
        <f>AVERAGE('Costdrivere 2021'!R41,'Costdrivere 2022'!R41)</f>
        <v>2.1</v>
      </c>
      <c r="S41" s="141">
        <f>AVERAGE('Costdrivere 2021'!S41,'Costdrivere 2022'!S41)</f>
        <v>284.5</v>
      </c>
      <c r="T41" s="119">
        <f>AVERAGE('Costdrivere 2021'!T41,'Costdrivere 2022'!T41)</f>
        <v>14</v>
      </c>
      <c r="U41" s="119">
        <f>AVERAGE('Costdrivere 2021'!U41,'Costdrivere 2022'!U41)</f>
        <v>75</v>
      </c>
      <c r="V41" s="119">
        <f>AVERAGE('Costdrivere 2021'!V41,'Costdrivere 2022'!V41)</f>
        <v>13286</v>
      </c>
      <c r="W41" s="159">
        <f>AVERAGE('Costdrivere 2021'!W41,'Costdrivere 2022'!W41)</f>
        <v>16400</v>
      </c>
      <c r="X41" s="58">
        <f>AVERAGE('Costdrivere 2021'!X41,'Costdrivere 2022'!X41)</f>
        <v>82588</v>
      </c>
      <c r="Y41" s="159">
        <f>AVERAGE('Costdrivere 2021'!Y41,'Costdrivere 2022'!Y41)</f>
        <v>255449</v>
      </c>
      <c r="Z41" s="58">
        <f>AVERAGE('Costdrivere 2021'!Z41,'Costdrivere 2022'!Z41)</f>
        <v>120578</v>
      </c>
      <c r="AA41" s="88">
        <f>AVERAGE('Costdrivere 2021'!AA41,'Costdrivere 2022'!AA41)</f>
        <v>10017822.566263324</v>
      </c>
      <c r="AB41" s="88">
        <f>AVERAGE('Costdrivere 2021'!AB41,'Costdrivere 2022'!AB41)</f>
        <v>165.5</v>
      </c>
      <c r="AC41" s="58">
        <f>AVERAGE('Costdrivere 2021'!AC41,'Costdrivere 2022'!AC41)</f>
        <v>0</v>
      </c>
      <c r="AD41" s="290">
        <f>AVERAGE('Costdrivere 2021'!AD41,'Costdrivere 2022'!AD41)</f>
        <v>1776</v>
      </c>
      <c r="AE41" s="145">
        <f>AVERAGE('Costdrivere 2021'!AE41,'Costdrivere 2022'!AE41)</f>
        <v>0</v>
      </c>
      <c r="AF41" s="58">
        <f>AVERAGE('Costdrivere 2021'!AF41,'Costdrivere 2022'!AF41)</f>
        <v>63.5</v>
      </c>
      <c r="AG41" s="290">
        <f>AVERAGE('Costdrivere 2021'!AG41,'Costdrivere 2022'!AG41)</f>
        <v>123.5</v>
      </c>
      <c r="AH41" s="145">
        <f>AVERAGE('Costdrivere 2021'!AH41,'Costdrivere 2022'!AH41)</f>
        <v>874</v>
      </c>
      <c r="AI41" s="88">
        <f>AVERAGE('Costdrivere 2021'!AI41,'Costdrivere 2022'!AI41)</f>
        <v>14325.5</v>
      </c>
      <c r="AJ41" s="88">
        <f>AVERAGE('Costdrivere 2021'!AJ41,'Costdrivere 2022'!AJ41)</f>
        <v>2634688.44</v>
      </c>
      <c r="AK41" s="99" t="str">
        <f>'Costdrivere 2022'!AK41</f>
        <v>t+r</v>
      </c>
      <c r="AL41" s="150">
        <f>AVERAGE('Costdrivere 2021'!AL41,'Costdrivere 2022'!AL41)</f>
        <v>25245.5</v>
      </c>
      <c r="AM41" s="48"/>
      <c r="AN41" s="121">
        <f>AVERAGE('Costdrivere 2021'!AN41,'Costdrivere 2022'!AN41)</f>
        <v>9974330.710200835</v>
      </c>
      <c r="AO41" s="166">
        <f>AVERAGE('Costdrivere 2021'!AO41,'Costdrivere 2022'!AO41)</f>
        <v>96121150.666080669</v>
      </c>
      <c r="AP41" s="118">
        <f>AVERAGE('Costdrivere 2021'!AP41,'Costdrivere 2022'!AP41)</f>
        <v>3876977.1066666669</v>
      </c>
      <c r="AQ41" s="203"/>
    </row>
    <row r="42" spans="1:43" x14ac:dyDescent="0.25">
      <c r="A42" s="202" t="s">
        <v>95</v>
      </c>
      <c r="B42" s="202" t="s">
        <v>96</v>
      </c>
      <c r="C42" s="141">
        <f>AVERAGE('Costdrivere 2021'!C42,'Costdrivere 2022'!C42)</f>
        <v>6366019.4163000006</v>
      </c>
      <c r="D42" s="119">
        <f>AVERAGE('Costdrivere 2021'!D42,'Costdrivere 2022'!D42)</f>
        <v>6086468.7575800009</v>
      </c>
      <c r="E42" s="119">
        <f>AVERAGE('Costdrivere 2021'!E42,'Costdrivere 2022'!E42)</f>
        <v>745739.10120000003</v>
      </c>
      <c r="F42" s="119">
        <f>AVERAGE('Costdrivere 2021'!F42,'Costdrivere 2022'!F42)</f>
        <v>205879.83500000002</v>
      </c>
      <c r="G42" s="119">
        <f>AVERAGE('Costdrivere 2021'!G42,'Costdrivere 2022'!G42)</f>
        <v>20172592.588211693</v>
      </c>
      <c r="H42" s="119">
        <f>AVERAGE('Costdrivere 2021'!H42,'Costdrivere 2022'!H42)</f>
        <v>2863.2069999999999</v>
      </c>
      <c r="I42" s="119">
        <f>AVERAGE('Costdrivere 2021'!I42,'Costdrivere 2022'!I42)</f>
        <v>2837573.4999500001</v>
      </c>
      <c r="J42" s="119">
        <f>AVERAGE('Costdrivere 2021'!J42,'Costdrivere 2022'!J42)</f>
        <v>2126613.0511000003</v>
      </c>
      <c r="K42" s="119">
        <f>AVERAGE('Costdrivere 2021'!K42,'Costdrivere 2022'!K42)</f>
        <v>1830648.0413666</v>
      </c>
      <c r="L42" s="159">
        <f>AVERAGE('Costdrivere 2021'!L42,'Costdrivere 2022'!L42)</f>
        <v>5800514.5757199619</v>
      </c>
      <c r="M42" s="292">
        <f>AVERAGE('Costdrivere 2021'!M42,'Costdrivere 2022'!M42)</f>
        <v>3.5826047358834247E-2</v>
      </c>
      <c r="N42" s="141">
        <f>AVERAGE('Costdrivere 2021'!N42,'Costdrivere 2022'!N42)</f>
        <v>631</v>
      </c>
      <c r="O42" s="119">
        <f>AVERAGE('Costdrivere 2021'!O42,'Costdrivere 2022'!O42)</f>
        <v>801</v>
      </c>
      <c r="P42" s="119">
        <f>AVERAGE('Costdrivere 2021'!P42,'Costdrivere 2022'!P42)</f>
        <v>18</v>
      </c>
      <c r="Q42" s="119">
        <f>AVERAGE('Costdrivere 2021'!Q42,'Costdrivere 2022'!Q42)</f>
        <v>0</v>
      </c>
      <c r="R42" s="159">
        <f>AVERAGE('Costdrivere 2021'!R42,'Costdrivere 2022'!R42)</f>
        <v>6</v>
      </c>
      <c r="S42" s="141">
        <f>AVERAGE('Costdrivere 2021'!S42,'Costdrivere 2022'!S42)</f>
        <v>264</v>
      </c>
      <c r="T42" s="119">
        <f>AVERAGE('Costdrivere 2021'!T42,'Costdrivere 2022'!T42)</f>
        <v>25</v>
      </c>
      <c r="U42" s="119">
        <f>AVERAGE('Costdrivere 2021'!U42,'Costdrivere 2022'!U42)</f>
        <v>150</v>
      </c>
      <c r="V42" s="119">
        <f>AVERAGE('Costdrivere 2021'!V42,'Costdrivere 2022'!V42)</f>
        <v>4959.6000000000004</v>
      </c>
      <c r="W42" s="159">
        <f>AVERAGE('Costdrivere 2021'!W42,'Costdrivere 2022'!W42)</f>
        <v>0</v>
      </c>
      <c r="X42" s="58">
        <f>AVERAGE('Costdrivere 2021'!X42,'Costdrivere 2022'!X42)</f>
        <v>229476</v>
      </c>
      <c r="Y42" s="159">
        <f>AVERAGE('Costdrivere 2021'!Y42,'Costdrivere 2022'!Y42)</f>
        <v>159156</v>
      </c>
      <c r="Z42" s="58">
        <f>AVERAGE('Costdrivere 2021'!Z42,'Costdrivere 2022'!Z42)</f>
        <v>33635</v>
      </c>
      <c r="AA42" s="88">
        <f>AVERAGE('Costdrivere 2021'!AA42,'Costdrivere 2022'!AA42)</f>
        <v>20172592.588211693</v>
      </c>
      <c r="AB42" s="88">
        <f>AVERAGE('Costdrivere 2021'!AB42,'Costdrivere 2022'!AB42)</f>
        <v>1</v>
      </c>
      <c r="AC42" s="58">
        <f>AVERAGE('Costdrivere 2021'!AC42,'Costdrivere 2022'!AC42)</f>
        <v>698.5</v>
      </c>
      <c r="AD42" s="290">
        <f>AVERAGE('Costdrivere 2021'!AD42,'Costdrivere 2022'!AD42)</f>
        <v>2482.5</v>
      </c>
      <c r="AE42" s="145">
        <f>AVERAGE('Costdrivere 2021'!AE42,'Costdrivere 2022'!AE42)</f>
        <v>0</v>
      </c>
      <c r="AF42" s="58">
        <f>AVERAGE('Costdrivere 2021'!AF42,'Costdrivere 2022'!AF42)</f>
        <v>1795</v>
      </c>
      <c r="AG42" s="290">
        <f>AVERAGE('Costdrivere 2021'!AG42,'Costdrivere 2022'!AG42)</f>
        <v>0</v>
      </c>
      <c r="AH42" s="145">
        <f>AVERAGE('Costdrivere 2021'!AH42,'Costdrivere 2022'!AH42)</f>
        <v>0</v>
      </c>
      <c r="AI42" s="88">
        <f>AVERAGE('Costdrivere 2021'!AI42,'Costdrivere 2022'!AI42)</f>
        <v>26700</v>
      </c>
      <c r="AJ42" s="88">
        <f>AVERAGE('Costdrivere 2021'!AJ42,'Costdrivere 2022'!AJ42)</f>
        <v>3134417.5</v>
      </c>
      <c r="AK42" s="99" t="str">
        <f>'Costdrivere 2022'!AK42</f>
        <v>t+r</v>
      </c>
      <c r="AL42" s="150">
        <f>AVERAGE('Costdrivere 2021'!AL42,'Costdrivere 2022'!AL42)</f>
        <v>39337</v>
      </c>
      <c r="AM42" s="48"/>
      <c r="AN42" s="121">
        <f>AVERAGE('Costdrivere 2021'!AN42,'Costdrivere 2022'!AN42)</f>
        <v>22862518.782252289</v>
      </c>
      <c r="AO42" s="166">
        <f>AVERAGE('Costdrivere 2021'!AO42,'Costdrivere 2022'!AO42)</f>
        <v>138720698.13333336</v>
      </c>
      <c r="AP42" s="118">
        <f>AVERAGE('Costdrivere 2021'!AP42,'Costdrivere 2022'!AP42)</f>
        <v>5601653.333333334</v>
      </c>
      <c r="AQ42" s="203"/>
    </row>
    <row r="43" spans="1:43" x14ac:dyDescent="0.25">
      <c r="A43" s="202" t="s">
        <v>97</v>
      </c>
      <c r="B43" s="202" t="s">
        <v>98</v>
      </c>
      <c r="C43" s="141">
        <f>AVERAGE('Costdrivere 2021'!C43,'Costdrivere 2022'!C43)</f>
        <v>2621305.6551000001</v>
      </c>
      <c r="D43" s="119">
        <f>AVERAGE('Costdrivere 2021'!D43,'Costdrivere 2022'!D43)</f>
        <v>662320.98399999994</v>
      </c>
      <c r="E43" s="119">
        <f>AVERAGE('Costdrivere 2021'!E43,'Costdrivere 2022'!E43)</f>
        <v>926431.41550000012</v>
      </c>
      <c r="F43" s="119">
        <f>AVERAGE('Costdrivere 2021'!F43,'Costdrivere 2022'!F43)</f>
        <v>0</v>
      </c>
      <c r="G43" s="119">
        <f>AVERAGE('Costdrivere 2021'!G43,'Costdrivere 2022'!G43)</f>
        <v>0</v>
      </c>
      <c r="H43" s="119">
        <f>AVERAGE('Costdrivere 2021'!H43,'Costdrivere 2022'!H43)</f>
        <v>0</v>
      </c>
      <c r="I43" s="119">
        <f>AVERAGE('Costdrivere 2021'!I43,'Costdrivere 2022'!I43)</f>
        <v>0</v>
      </c>
      <c r="J43" s="119">
        <f>AVERAGE('Costdrivere 2021'!J43,'Costdrivere 2022'!J43)</f>
        <v>0</v>
      </c>
      <c r="K43" s="119">
        <f>AVERAGE('Costdrivere 2021'!K43,'Costdrivere 2022'!K43)</f>
        <v>1154349.450188536</v>
      </c>
      <c r="L43" s="159">
        <f>AVERAGE('Costdrivere 2021'!L43,'Costdrivere 2022'!L43)</f>
        <v>1611433.5553148356</v>
      </c>
      <c r="M43" s="292">
        <f>AVERAGE('Costdrivere 2021'!M43,'Costdrivere 2022'!M43)</f>
        <v>9.2814814814814822E-2</v>
      </c>
      <c r="N43" s="141">
        <f>AVERAGE('Costdrivere 2021'!N43,'Costdrivere 2022'!N43)</f>
        <v>14</v>
      </c>
      <c r="O43" s="119">
        <f>AVERAGE('Costdrivere 2021'!O43,'Costdrivere 2022'!O43)</f>
        <v>258</v>
      </c>
      <c r="P43" s="119">
        <f>AVERAGE('Costdrivere 2021'!P43,'Costdrivere 2022'!P43)</f>
        <v>105</v>
      </c>
      <c r="Q43" s="119">
        <f>AVERAGE('Costdrivere 2021'!Q43,'Costdrivere 2022'!Q43)</f>
        <v>0</v>
      </c>
      <c r="R43" s="159">
        <f>AVERAGE('Costdrivere 2021'!R43,'Costdrivere 2022'!R43)</f>
        <v>0</v>
      </c>
      <c r="S43" s="141">
        <f>AVERAGE('Costdrivere 2021'!S43,'Costdrivere 2022'!S43)</f>
        <v>3</v>
      </c>
      <c r="T43" s="119">
        <f>AVERAGE('Costdrivere 2021'!T43,'Costdrivere 2022'!T43)</f>
        <v>0</v>
      </c>
      <c r="U43" s="119">
        <f>AVERAGE('Costdrivere 2021'!U43,'Costdrivere 2022'!U43)</f>
        <v>22</v>
      </c>
      <c r="V43" s="119">
        <f>AVERAGE('Costdrivere 2021'!V43,'Costdrivere 2022'!V43)</f>
        <v>450</v>
      </c>
      <c r="W43" s="159">
        <f>AVERAGE('Costdrivere 2021'!W43,'Costdrivere 2022'!W43)</f>
        <v>0</v>
      </c>
      <c r="X43" s="58">
        <f>AVERAGE('Costdrivere 2021'!X43,'Costdrivere 2022'!X43)</f>
        <v>230015</v>
      </c>
      <c r="Y43" s="159">
        <f>AVERAGE('Costdrivere 2021'!Y43,'Costdrivere 2022'!Y43)</f>
        <v>230015</v>
      </c>
      <c r="Z43" s="58">
        <f>AVERAGE('Costdrivere 2021'!Z43,'Costdrivere 2022'!Z43)</f>
        <v>0</v>
      </c>
      <c r="AA43" s="88">
        <f>AVERAGE('Costdrivere 2021'!AA43,'Costdrivere 2022'!AA43)</f>
        <v>0</v>
      </c>
      <c r="AB43" s="88">
        <f>AVERAGE('Costdrivere 2021'!AB43,'Costdrivere 2022'!AB43)</f>
        <v>0</v>
      </c>
      <c r="AC43" s="58">
        <f>AVERAGE('Costdrivere 2021'!AC43,'Costdrivere 2022'!AC43)</f>
        <v>0</v>
      </c>
      <c r="AD43" s="290">
        <f>AVERAGE('Costdrivere 2021'!AD43,'Costdrivere 2022'!AD43)</f>
        <v>0</v>
      </c>
      <c r="AE43" s="145">
        <f>AVERAGE('Costdrivere 2021'!AE43,'Costdrivere 2022'!AE43)</f>
        <v>0</v>
      </c>
      <c r="AF43" s="58">
        <f>AVERAGE('Costdrivere 2021'!AF43,'Costdrivere 2022'!AF43)</f>
        <v>0</v>
      </c>
      <c r="AG43" s="290">
        <f>AVERAGE('Costdrivere 2021'!AG43,'Costdrivere 2022'!AG43)</f>
        <v>0</v>
      </c>
      <c r="AH43" s="145">
        <f>AVERAGE('Costdrivere 2021'!AH43,'Costdrivere 2022'!AH43)</f>
        <v>0</v>
      </c>
      <c r="AI43" s="88">
        <f>AVERAGE('Costdrivere 2021'!AI43,'Costdrivere 2022'!AI43)</f>
        <v>8288.5</v>
      </c>
      <c r="AJ43" s="88">
        <f>AVERAGE('Costdrivere 2021'!AJ43,'Costdrivere 2022'!AJ43)</f>
        <v>1205490</v>
      </c>
      <c r="AK43" s="99" t="str">
        <f>'Costdrivere 2022'!AK43</f>
        <v>t</v>
      </c>
      <c r="AL43" s="150">
        <f>AVERAGE('Costdrivere 2021'!AL43,'Costdrivere 2022'!AL43)</f>
        <v>15036</v>
      </c>
      <c r="AM43" s="48"/>
      <c r="AN43" s="121">
        <f>AVERAGE('Costdrivere 2021'!AN43,'Costdrivere 2022'!AN43)</f>
        <v>0</v>
      </c>
      <c r="AO43" s="166">
        <f>AVERAGE('Costdrivere 2021'!AO43,'Costdrivere 2022'!AO43)</f>
        <v>58118859.600133657</v>
      </c>
      <c r="AP43" s="118">
        <f>AVERAGE('Costdrivere 2021'!AP43,'Costdrivere 2022'!AP43)</f>
        <v>61405.8</v>
      </c>
      <c r="AQ43" s="203"/>
    </row>
    <row r="44" spans="1:43" x14ac:dyDescent="0.25">
      <c r="A44" s="202" t="s">
        <v>99</v>
      </c>
      <c r="B44" s="202" t="s">
        <v>100</v>
      </c>
      <c r="C44" s="141">
        <f>AVERAGE('Costdrivere 2021'!C44,'Costdrivere 2022'!C44)</f>
        <v>1707036.964348</v>
      </c>
      <c r="D44" s="119">
        <f>AVERAGE('Costdrivere 2021'!D44,'Costdrivere 2022'!D44)</f>
        <v>403893.89619999996</v>
      </c>
      <c r="E44" s="119">
        <f>AVERAGE('Costdrivere 2021'!E44,'Costdrivere 2022'!E44)</f>
        <v>780550.08330000006</v>
      </c>
      <c r="F44" s="119">
        <f>AVERAGE('Costdrivere 2021'!F44,'Costdrivere 2022'!F44)</f>
        <v>108029.52900000001</v>
      </c>
      <c r="G44" s="119">
        <f>AVERAGE('Costdrivere 2021'!G44,'Costdrivere 2022'!G44)</f>
        <v>0</v>
      </c>
      <c r="H44" s="119">
        <f>AVERAGE('Costdrivere 2021'!H44,'Costdrivere 2022'!H44)</f>
        <v>0</v>
      </c>
      <c r="I44" s="119">
        <f>AVERAGE('Costdrivere 2021'!I44,'Costdrivere 2022'!I44)</f>
        <v>0</v>
      </c>
      <c r="J44" s="119">
        <f>AVERAGE('Costdrivere 2021'!J44,'Costdrivere 2022'!J44)</f>
        <v>0</v>
      </c>
      <c r="K44" s="119">
        <f>AVERAGE('Costdrivere 2021'!K44,'Costdrivere 2022'!K44)</f>
        <v>981748.837346463</v>
      </c>
      <c r="L44" s="159">
        <f>AVERAGE('Costdrivere 2021'!L44,'Costdrivere 2022'!L44)</f>
        <v>1985005.8942772401</v>
      </c>
      <c r="M44" s="292">
        <f>AVERAGE('Costdrivere 2021'!M44,'Costdrivere 2022'!M44)</f>
        <v>0.14264292795769995</v>
      </c>
      <c r="N44" s="141">
        <f>AVERAGE('Costdrivere 2021'!N44,'Costdrivere 2022'!N44)</f>
        <v>11</v>
      </c>
      <c r="O44" s="119">
        <f>AVERAGE('Costdrivere 2021'!O44,'Costdrivere 2022'!O44)</f>
        <v>165</v>
      </c>
      <c r="P44" s="119">
        <f>AVERAGE('Costdrivere 2021'!P44,'Costdrivere 2022'!P44)</f>
        <v>33</v>
      </c>
      <c r="Q44" s="119">
        <f>AVERAGE('Costdrivere 2021'!Q44,'Costdrivere 2022'!Q44)</f>
        <v>0.04</v>
      </c>
      <c r="R44" s="159">
        <f>AVERAGE('Costdrivere 2021'!R44,'Costdrivere 2022'!R44)</f>
        <v>2</v>
      </c>
      <c r="S44" s="141">
        <f>AVERAGE('Costdrivere 2021'!S44,'Costdrivere 2022'!S44)</f>
        <v>1</v>
      </c>
      <c r="T44" s="119">
        <f>AVERAGE('Costdrivere 2021'!T44,'Costdrivere 2022'!T44)</f>
        <v>8</v>
      </c>
      <c r="U44" s="119">
        <f>AVERAGE('Costdrivere 2021'!U44,'Costdrivere 2022'!U44)</f>
        <v>2</v>
      </c>
      <c r="V44" s="119">
        <f>AVERAGE('Costdrivere 2021'!V44,'Costdrivere 2022'!V44)</f>
        <v>420</v>
      </c>
      <c r="W44" s="159">
        <f>AVERAGE('Costdrivere 2021'!W44,'Costdrivere 2022'!W44)</f>
        <v>620</v>
      </c>
      <c r="X44" s="58">
        <f>AVERAGE('Costdrivere 2021'!X44,'Costdrivere 2022'!X44)</f>
        <v>103392</v>
      </c>
      <c r="Y44" s="159">
        <f>AVERAGE('Costdrivere 2021'!Y44,'Costdrivere 2022'!Y44)</f>
        <v>246819</v>
      </c>
      <c r="Z44" s="58">
        <f>AVERAGE('Costdrivere 2021'!Z44,'Costdrivere 2022'!Z44)</f>
        <v>17649</v>
      </c>
      <c r="AA44" s="88">
        <f>AVERAGE('Costdrivere 2021'!AA44,'Costdrivere 2022'!AA44)</f>
        <v>0</v>
      </c>
      <c r="AB44" s="88">
        <f>AVERAGE('Costdrivere 2021'!AB44,'Costdrivere 2022'!AB44)</f>
        <v>0</v>
      </c>
      <c r="AC44" s="58">
        <f>AVERAGE('Costdrivere 2021'!AC44,'Costdrivere 2022'!AC44)</f>
        <v>0</v>
      </c>
      <c r="AD44" s="290">
        <f>AVERAGE('Costdrivere 2021'!AD44,'Costdrivere 2022'!AD44)</f>
        <v>0</v>
      </c>
      <c r="AE44" s="145">
        <f>AVERAGE('Costdrivere 2021'!AE44,'Costdrivere 2022'!AE44)</f>
        <v>0</v>
      </c>
      <c r="AF44" s="58">
        <f>AVERAGE('Costdrivere 2021'!AF44,'Costdrivere 2022'!AF44)</f>
        <v>0</v>
      </c>
      <c r="AG44" s="290">
        <f>AVERAGE('Costdrivere 2021'!AG44,'Costdrivere 2022'!AG44)</f>
        <v>0</v>
      </c>
      <c r="AH44" s="145">
        <f>AVERAGE('Costdrivere 2021'!AH44,'Costdrivere 2022'!AH44)</f>
        <v>0</v>
      </c>
      <c r="AI44" s="88">
        <f>AVERAGE('Costdrivere 2021'!AI44,'Costdrivere 2022'!AI44)</f>
        <v>5496</v>
      </c>
      <c r="AJ44" s="88">
        <f>AVERAGE('Costdrivere 2021'!AJ44,'Costdrivere 2022'!AJ44)</f>
        <v>1467642</v>
      </c>
      <c r="AK44" s="99" t="str">
        <f>'Costdrivere 2022'!AK44</f>
        <v>t</v>
      </c>
      <c r="AL44" s="150">
        <f>AVERAGE('Costdrivere 2021'!AL44,'Costdrivere 2022'!AL44)</f>
        <v>17265.5</v>
      </c>
      <c r="AM44" s="48"/>
      <c r="AN44" s="121">
        <f>AVERAGE('Costdrivere 2021'!AN44,'Costdrivere 2022'!AN44)</f>
        <v>0</v>
      </c>
      <c r="AO44" s="166">
        <f>AVERAGE('Costdrivere 2021'!AO44,'Costdrivere 2022'!AO44)</f>
        <v>29387021.75324174</v>
      </c>
      <c r="AP44" s="118">
        <f>AVERAGE('Costdrivere 2021'!AP44,'Costdrivere 2022'!AP44)</f>
        <v>1858094.1466666665</v>
      </c>
      <c r="AQ44" s="203"/>
    </row>
    <row r="45" spans="1:43" x14ac:dyDescent="0.25">
      <c r="A45" s="202" t="s">
        <v>101</v>
      </c>
      <c r="B45" s="202" t="s">
        <v>102</v>
      </c>
      <c r="C45" s="141">
        <f>AVERAGE('Costdrivere 2021'!C45,'Costdrivere 2022'!C45)</f>
        <v>4015179.9004589999</v>
      </c>
      <c r="D45" s="119">
        <f>AVERAGE('Costdrivere 2021'!D45,'Costdrivere 2022'!D45)</f>
        <v>3068572.4187000003</v>
      </c>
      <c r="E45" s="119">
        <f>AVERAGE('Costdrivere 2021'!E45,'Costdrivere 2022'!E45)</f>
        <v>852286.82030000002</v>
      </c>
      <c r="F45" s="119">
        <f>AVERAGE('Costdrivere 2021'!F45,'Costdrivere 2022'!F45)</f>
        <v>164930.345</v>
      </c>
      <c r="G45" s="119">
        <f>AVERAGE('Costdrivere 2021'!G45,'Costdrivere 2022'!G45)</f>
        <v>0</v>
      </c>
      <c r="H45" s="119">
        <f>AVERAGE('Costdrivere 2021'!H45,'Costdrivere 2022'!H45)</f>
        <v>0</v>
      </c>
      <c r="I45" s="119">
        <f>AVERAGE('Costdrivere 2021'!I45,'Costdrivere 2022'!I45)</f>
        <v>0</v>
      </c>
      <c r="J45" s="119">
        <f>AVERAGE('Costdrivere 2021'!J45,'Costdrivere 2022'!J45)</f>
        <v>0</v>
      </c>
      <c r="K45" s="119">
        <f>AVERAGE('Costdrivere 2021'!K45,'Costdrivere 2022'!K45)</f>
        <v>1247552.4738927973</v>
      </c>
      <c r="L45" s="159">
        <f>AVERAGE('Costdrivere 2021'!L45,'Costdrivere 2022'!L45)</f>
        <v>4253350.9313260941</v>
      </c>
      <c r="M45" s="292">
        <f>AVERAGE('Costdrivere 2021'!M45,'Costdrivere 2022'!M45)</f>
        <v>9.9609026314849858E-2</v>
      </c>
      <c r="N45" s="141">
        <f>AVERAGE('Costdrivere 2021'!N45,'Costdrivere 2022'!N45)</f>
        <v>9</v>
      </c>
      <c r="O45" s="119">
        <f>AVERAGE('Costdrivere 2021'!O45,'Costdrivere 2022'!O45)</f>
        <v>316</v>
      </c>
      <c r="P45" s="119">
        <f>AVERAGE('Costdrivere 2021'!P45,'Costdrivere 2022'!P45)</f>
        <v>56</v>
      </c>
      <c r="Q45" s="119">
        <f>AVERAGE('Costdrivere 2021'!Q45,'Costdrivere 2022'!Q45)</f>
        <v>7.0000000000000007E-2</v>
      </c>
      <c r="R45" s="159">
        <f>AVERAGE('Costdrivere 2021'!R45,'Costdrivere 2022'!R45)</f>
        <v>7</v>
      </c>
      <c r="S45" s="141">
        <f>AVERAGE('Costdrivere 2021'!S45,'Costdrivere 2022'!S45)</f>
        <v>0</v>
      </c>
      <c r="T45" s="119">
        <f>AVERAGE('Costdrivere 2021'!T45,'Costdrivere 2022'!T45)</f>
        <v>0</v>
      </c>
      <c r="U45" s="119">
        <f>AVERAGE('Costdrivere 2021'!U45,'Costdrivere 2022'!U45)</f>
        <v>9</v>
      </c>
      <c r="V45" s="119">
        <f>AVERAGE('Costdrivere 2021'!V45,'Costdrivere 2022'!V45)</f>
        <v>2260</v>
      </c>
      <c r="W45" s="159">
        <f>AVERAGE('Costdrivere 2021'!W45,'Costdrivere 2022'!W45)</f>
        <v>10000</v>
      </c>
      <c r="X45" s="58">
        <f>AVERAGE('Costdrivere 2021'!X45,'Costdrivere 2022'!X45)</f>
        <v>329006</v>
      </c>
      <c r="Y45" s="159">
        <f>AVERAGE('Costdrivere 2021'!Y45,'Costdrivere 2022'!Y45)</f>
        <v>142749</v>
      </c>
      <c r="Z45" s="58">
        <f>AVERAGE('Costdrivere 2021'!Z45,'Costdrivere 2022'!Z45)</f>
        <v>26945</v>
      </c>
      <c r="AA45" s="88">
        <f>AVERAGE('Costdrivere 2021'!AA45,'Costdrivere 2022'!AA45)</f>
        <v>0</v>
      </c>
      <c r="AB45" s="88">
        <f>AVERAGE('Costdrivere 2021'!AB45,'Costdrivere 2022'!AB45)</f>
        <v>0</v>
      </c>
      <c r="AC45" s="58">
        <f>AVERAGE('Costdrivere 2021'!AC45,'Costdrivere 2022'!AC45)</f>
        <v>0</v>
      </c>
      <c r="AD45" s="290">
        <f>AVERAGE('Costdrivere 2021'!AD45,'Costdrivere 2022'!AD45)</f>
        <v>0</v>
      </c>
      <c r="AE45" s="145">
        <f>AVERAGE('Costdrivere 2021'!AE45,'Costdrivere 2022'!AE45)</f>
        <v>0</v>
      </c>
      <c r="AF45" s="58">
        <f>AVERAGE('Costdrivere 2021'!AF45,'Costdrivere 2022'!AF45)</f>
        <v>0</v>
      </c>
      <c r="AG45" s="290">
        <f>AVERAGE('Costdrivere 2021'!AG45,'Costdrivere 2022'!AG45)</f>
        <v>0</v>
      </c>
      <c r="AH45" s="145">
        <f>AVERAGE('Costdrivere 2021'!AH45,'Costdrivere 2022'!AH45)</f>
        <v>0</v>
      </c>
      <c r="AI45" s="88">
        <f>AVERAGE('Costdrivere 2021'!AI45,'Costdrivere 2022'!AI45)</f>
        <v>10093</v>
      </c>
      <c r="AJ45" s="88">
        <f>AVERAGE('Costdrivere 2021'!AJ45,'Costdrivere 2022'!AJ45)</f>
        <v>3012629.5</v>
      </c>
      <c r="AK45" s="99" t="str">
        <f>'Costdrivere 2022'!AK45</f>
        <v>t</v>
      </c>
      <c r="AL45" s="150">
        <f>AVERAGE('Costdrivere 2021'!AL45,'Costdrivere 2022'!AL45)</f>
        <v>27897.5</v>
      </c>
      <c r="AM45" s="48"/>
      <c r="AN45" s="121">
        <f>AVERAGE('Costdrivere 2021'!AN45,'Costdrivere 2022'!AN45)</f>
        <v>0</v>
      </c>
      <c r="AO45" s="166">
        <f>AVERAGE('Costdrivere 2021'!AO45,'Costdrivere 2022'!AO45)</f>
        <v>57615339.439878687</v>
      </c>
      <c r="AP45" s="118">
        <f>AVERAGE('Costdrivere 2021'!AP45,'Costdrivere 2022'!AP45)</f>
        <v>181214.70666666667</v>
      </c>
      <c r="AQ45" s="203"/>
    </row>
    <row r="46" spans="1:43" x14ac:dyDescent="0.25">
      <c r="A46" s="202" t="s">
        <v>103</v>
      </c>
      <c r="B46" s="202" t="s">
        <v>104</v>
      </c>
      <c r="C46" s="141">
        <f>AVERAGE('Costdrivere 2021'!C46,'Costdrivere 2022'!C46)</f>
        <v>30139733.415150002</v>
      </c>
      <c r="D46" s="119">
        <f>AVERAGE('Costdrivere 2021'!D46,'Costdrivere 2022'!D46)</f>
        <v>7515648.6894000005</v>
      </c>
      <c r="E46" s="119">
        <f>AVERAGE('Costdrivere 2021'!E46,'Costdrivere 2022'!E46)</f>
        <v>157170.91699999999</v>
      </c>
      <c r="F46" s="119">
        <f>AVERAGE('Costdrivere 2021'!F46,'Costdrivere 2022'!F46)</f>
        <v>1518008</v>
      </c>
      <c r="G46" s="119">
        <f>AVERAGE('Costdrivere 2021'!G46,'Costdrivere 2022'!G46)</f>
        <v>0</v>
      </c>
      <c r="H46" s="119">
        <f>AVERAGE('Costdrivere 2021'!H46,'Costdrivere 2022'!H46)</f>
        <v>2863.2069999999999</v>
      </c>
      <c r="I46" s="119">
        <f>AVERAGE('Costdrivere 2021'!I46,'Costdrivere 2022'!I46)</f>
        <v>0</v>
      </c>
      <c r="J46" s="119">
        <f>AVERAGE('Costdrivere 2021'!J46,'Costdrivere 2022'!J46)</f>
        <v>0</v>
      </c>
      <c r="K46" s="119">
        <f>AVERAGE('Costdrivere 2021'!K46,'Costdrivere 2022'!K46)</f>
        <v>2075293.2448608363</v>
      </c>
      <c r="L46" s="159">
        <f>AVERAGE('Costdrivere 2021'!L46,'Costdrivere 2022'!L46)</f>
        <v>49012848.048645556</v>
      </c>
      <c r="M46" s="292">
        <f>AVERAGE('Costdrivere 2021'!M46,'Costdrivere 2022'!M46)</f>
        <v>0.33228264751766545</v>
      </c>
      <c r="N46" s="141">
        <f>AVERAGE('Costdrivere 2021'!N46,'Costdrivere 2022'!N46)</f>
        <v>11</v>
      </c>
      <c r="O46" s="119">
        <f>AVERAGE('Costdrivere 2021'!O46,'Costdrivere 2022'!O46)</f>
        <v>541</v>
      </c>
      <c r="P46" s="119">
        <f>AVERAGE('Costdrivere 2021'!P46,'Costdrivere 2022'!P46)</f>
        <v>569</v>
      </c>
      <c r="Q46" s="119">
        <f>AVERAGE('Costdrivere 2021'!Q46,'Costdrivere 2022'!Q46)</f>
        <v>245.5</v>
      </c>
      <c r="R46" s="159">
        <f>AVERAGE('Costdrivere 2021'!R46,'Costdrivere 2022'!R46)</f>
        <v>55</v>
      </c>
      <c r="S46" s="141">
        <f>AVERAGE('Costdrivere 2021'!S46,'Costdrivere 2022'!S46)</f>
        <v>0</v>
      </c>
      <c r="T46" s="119">
        <f>AVERAGE('Costdrivere 2021'!T46,'Costdrivere 2022'!T46)</f>
        <v>26</v>
      </c>
      <c r="U46" s="119">
        <f>AVERAGE('Costdrivere 2021'!U46,'Costdrivere 2022'!U46)</f>
        <v>43</v>
      </c>
      <c r="V46" s="119">
        <f>AVERAGE('Costdrivere 2021'!V46,'Costdrivere 2022'!V46)</f>
        <v>6312</v>
      </c>
      <c r="W46" s="159">
        <f>AVERAGE('Costdrivere 2021'!W46,'Costdrivere 2022'!W46)</f>
        <v>19731</v>
      </c>
      <c r="X46" s="58">
        <f>AVERAGE('Costdrivere 2021'!X46,'Costdrivere 2022'!X46)</f>
        <v>0</v>
      </c>
      <c r="Y46" s="159">
        <f>AVERAGE('Costdrivere 2021'!Y46,'Costdrivere 2022'!Y46)</f>
        <v>61910</v>
      </c>
      <c r="Z46" s="58">
        <f>AVERAGE('Costdrivere 2021'!Z46,'Costdrivere 2022'!Z46)</f>
        <v>248000</v>
      </c>
      <c r="AA46" s="88">
        <f>AVERAGE('Costdrivere 2021'!AA46,'Costdrivere 2022'!AA46)</f>
        <v>0</v>
      </c>
      <c r="AB46" s="88">
        <f>AVERAGE('Costdrivere 2021'!AB46,'Costdrivere 2022'!AB46)</f>
        <v>1</v>
      </c>
      <c r="AC46" s="58">
        <f>AVERAGE('Costdrivere 2021'!AC46,'Costdrivere 2022'!AC46)</f>
        <v>0</v>
      </c>
      <c r="AD46" s="290">
        <f>AVERAGE('Costdrivere 2021'!AD46,'Costdrivere 2022'!AD46)</f>
        <v>0</v>
      </c>
      <c r="AE46" s="145">
        <f>AVERAGE('Costdrivere 2021'!AE46,'Costdrivere 2022'!AE46)</f>
        <v>0</v>
      </c>
      <c r="AF46" s="58">
        <f>AVERAGE('Costdrivere 2021'!AF46,'Costdrivere 2022'!AF46)</f>
        <v>0</v>
      </c>
      <c r="AG46" s="290">
        <f>AVERAGE('Costdrivere 2021'!AG46,'Costdrivere 2022'!AG46)</f>
        <v>0</v>
      </c>
      <c r="AH46" s="145">
        <f>AVERAGE('Costdrivere 2021'!AH46,'Costdrivere 2022'!AH46)</f>
        <v>0</v>
      </c>
      <c r="AI46" s="88">
        <f>AVERAGE('Costdrivere 2021'!AI46,'Costdrivere 2022'!AI46)</f>
        <v>36703</v>
      </c>
      <c r="AJ46" s="88">
        <f>AVERAGE('Costdrivere 2021'!AJ46,'Costdrivere 2022'!AJ46)</f>
        <v>30249561</v>
      </c>
      <c r="AK46" s="99" t="str">
        <f>'Costdrivere 2022'!AK46</f>
        <v>t</v>
      </c>
      <c r="AL46" s="150">
        <f>AVERAGE('Costdrivere 2021'!AL46,'Costdrivere 2022'!AL46)</f>
        <v>424824</v>
      </c>
      <c r="AM46" s="48"/>
      <c r="AN46" s="121">
        <f>AVERAGE('Costdrivere 2021'!AN46,'Costdrivere 2022'!AN46)</f>
        <v>474551.91594955791</v>
      </c>
      <c r="AO46" s="166">
        <f>AVERAGE('Costdrivere 2021'!AO46,'Costdrivere 2022'!AO46)</f>
        <v>271294923.81799197</v>
      </c>
      <c r="AP46" s="118">
        <f>AVERAGE('Costdrivere 2021'!AP46,'Costdrivere 2022'!AP46)</f>
        <v>970518.18666666676</v>
      </c>
      <c r="AQ46" s="203"/>
    </row>
    <row r="47" spans="1:43" x14ac:dyDescent="0.25">
      <c r="A47" s="202" t="s">
        <v>105</v>
      </c>
      <c r="B47" s="202" t="s">
        <v>106</v>
      </c>
      <c r="C47" s="141">
        <f>AVERAGE('Costdrivere 2021'!C47,'Costdrivere 2022'!C47)</f>
        <v>1596567.39699</v>
      </c>
      <c r="D47" s="119">
        <f>AVERAGE('Costdrivere 2021'!D47,'Costdrivere 2022'!D47)</f>
        <v>614972.08010000002</v>
      </c>
      <c r="E47" s="119">
        <f>AVERAGE('Costdrivere 2021'!E47,'Costdrivere 2022'!E47)</f>
        <v>281689.07459999999</v>
      </c>
      <c r="F47" s="119">
        <f>AVERAGE('Costdrivere 2021'!F47,'Costdrivere 2022'!F47)</f>
        <v>49396.47</v>
      </c>
      <c r="G47" s="119">
        <f>AVERAGE('Costdrivere 2021'!G47,'Costdrivere 2022'!G47)</f>
        <v>0</v>
      </c>
      <c r="H47" s="119">
        <f>AVERAGE('Costdrivere 2021'!H47,'Costdrivere 2022'!H47)</f>
        <v>0</v>
      </c>
      <c r="I47" s="119">
        <f>AVERAGE('Costdrivere 2021'!I47,'Costdrivere 2022'!I47)</f>
        <v>0</v>
      </c>
      <c r="J47" s="119">
        <f>AVERAGE('Costdrivere 2021'!J47,'Costdrivere 2022'!J47)</f>
        <v>0</v>
      </c>
      <c r="K47" s="119">
        <f>AVERAGE('Costdrivere 2021'!K47,'Costdrivere 2022'!K47)</f>
        <v>1088733.9860089824</v>
      </c>
      <c r="L47" s="159">
        <f>AVERAGE('Costdrivere 2021'!L47,'Costdrivere 2022'!L47)</f>
        <v>2377878.8745356337</v>
      </c>
      <c r="M47" s="292">
        <f>AVERAGE('Costdrivere 2021'!M47,'Costdrivere 2022'!M47)</f>
        <v>0.14649929730420336</v>
      </c>
      <c r="N47" s="141">
        <f>AVERAGE('Costdrivere 2021'!N47,'Costdrivere 2022'!N47)</f>
        <v>0.18</v>
      </c>
      <c r="O47" s="119">
        <f>AVERAGE('Costdrivere 2021'!O47,'Costdrivere 2022'!O47)</f>
        <v>178</v>
      </c>
      <c r="P47" s="119">
        <f>AVERAGE('Costdrivere 2021'!P47,'Costdrivere 2022'!P47)</f>
        <v>37</v>
      </c>
      <c r="Q47" s="119">
        <f>AVERAGE('Costdrivere 2021'!Q47,'Costdrivere 2022'!Q47)</f>
        <v>0.06</v>
      </c>
      <c r="R47" s="159">
        <f>AVERAGE('Costdrivere 2021'!R47,'Costdrivere 2022'!R47)</f>
        <v>1.3</v>
      </c>
      <c r="S47" s="141">
        <f>AVERAGE('Costdrivere 2021'!S47,'Costdrivere 2022'!S47)</f>
        <v>0</v>
      </c>
      <c r="T47" s="119">
        <f>AVERAGE('Costdrivere 2021'!T47,'Costdrivere 2022'!T47)</f>
        <v>1</v>
      </c>
      <c r="U47" s="119">
        <f>AVERAGE('Costdrivere 2021'!U47,'Costdrivere 2022'!U47)</f>
        <v>10</v>
      </c>
      <c r="V47" s="119">
        <f>AVERAGE('Costdrivere 2021'!V47,'Costdrivere 2022'!V47)</f>
        <v>700</v>
      </c>
      <c r="W47" s="159">
        <f>AVERAGE('Costdrivere 2021'!W47,'Costdrivere 2022'!W47)</f>
        <v>700</v>
      </c>
      <c r="X47" s="58">
        <f>AVERAGE('Costdrivere 2021'!X47,'Costdrivere 2022'!X47)</f>
        <v>0</v>
      </c>
      <c r="Y47" s="159">
        <f>AVERAGE('Costdrivere 2021'!Y47,'Costdrivere 2022'!Y47)</f>
        <v>110958</v>
      </c>
      <c r="Z47" s="58">
        <f>AVERAGE('Costdrivere 2021'!Z47,'Costdrivere 2022'!Z47)</f>
        <v>8070</v>
      </c>
      <c r="AA47" s="88">
        <f>AVERAGE('Costdrivere 2021'!AA47,'Costdrivere 2022'!AA47)</f>
        <v>0</v>
      </c>
      <c r="AB47" s="88">
        <f>AVERAGE('Costdrivere 2021'!AB47,'Costdrivere 2022'!AB47)</f>
        <v>0</v>
      </c>
      <c r="AC47" s="58">
        <f>AVERAGE('Costdrivere 2021'!AC47,'Costdrivere 2022'!AC47)</f>
        <v>0</v>
      </c>
      <c r="AD47" s="290">
        <f>AVERAGE('Costdrivere 2021'!AD47,'Costdrivere 2022'!AD47)</f>
        <v>0</v>
      </c>
      <c r="AE47" s="145">
        <f>AVERAGE('Costdrivere 2021'!AE47,'Costdrivere 2022'!AE47)</f>
        <v>0</v>
      </c>
      <c r="AF47" s="58">
        <f>AVERAGE('Costdrivere 2021'!AF47,'Costdrivere 2022'!AF47)</f>
        <v>0</v>
      </c>
      <c r="AG47" s="290">
        <f>AVERAGE('Costdrivere 2021'!AG47,'Costdrivere 2022'!AG47)</f>
        <v>0</v>
      </c>
      <c r="AH47" s="145">
        <f>AVERAGE('Costdrivere 2021'!AH47,'Costdrivere 2022'!AH47)</f>
        <v>0</v>
      </c>
      <c r="AI47" s="88">
        <f>AVERAGE('Costdrivere 2021'!AI47,'Costdrivere 2022'!AI47)</f>
        <v>7145</v>
      </c>
      <c r="AJ47" s="88">
        <f>AVERAGE('Costdrivere 2021'!AJ47,'Costdrivere 2022'!AJ47)</f>
        <v>1740315.5</v>
      </c>
      <c r="AK47" s="99" t="str">
        <f>'Costdrivere 2022'!AK47</f>
        <v>t</v>
      </c>
      <c r="AL47" s="150">
        <f>AVERAGE('Costdrivere 2021'!AL47,'Costdrivere 2022'!AL47)</f>
        <v>22933</v>
      </c>
      <c r="AM47" s="48"/>
      <c r="AN47" s="121">
        <f>AVERAGE('Costdrivere 2021'!AN47,'Costdrivere 2022'!AN47)</f>
        <v>0</v>
      </c>
      <c r="AO47" s="166">
        <f>AVERAGE('Costdrivere 2021'!AO47,'Costdrivere 2022'!AO47)</f>
        <v>31398907.891001657</v>
      </c>
      <c r="AP47" s="118">
        <f>AVERAGE('Costdrivere 2021'!AP47,'Costdrivere 2022'!AP47)</f>
        <v>78027.520000000004</v>
      </c>
      <c r="AQ47" s="203"/>
    </row>
    <row r="48" spans="1:43" x14ac:dyDescent="0.25">
      <c r="A48" s="202" t="s">
        <v>107</v>
      </c>
      <c r="B48" s="202" t="s">
        <v>108</v>
      </c>
      <c r="C48" s="141">
        <f>AVERAGE('Costdrivere 2021'!C48,'Costdrivere 2022'!C48)</f>
        <v>5347078.7967849998</v>
      </c>
      <c r="D48" s="119">
        <f>AVERAGE('Costdrivere 2021'!D48,'Costdrivere 2022'!D48)</f>
        <v>6833089.8670000006</v>
      </c>
      <c r="E48" s="119">
        <f>AVERAGE('Costdrivere 2021'!E48,'Costdrivere 2022'!E48)</f>
        <v>903157.76285000006</v>
      </c>
      <c r="F48" s="119">
        <f>AVERAGE('Costdrivere 2021'!F48,'Costdrivere 2022'!F48)</f>
        <v>156697.60000000001</v>
      </c>
      <c r="G48" s="119">
        <f>AVERAGE('Costdrivere 2021'!G48,'Costdrivere 2022'!G48)</f>
        <v>11993795.16077267</v>
      </c>
      <c r="H48" s="119">
        <f>AVERAGE('Costdrivere 2021'!H48,'Costdrivere 2022'!H48)</f>
        <v>2863.2069999999999</v>
      </c>
      <c r="I48" s="119">
        <f>AVERAGE('Costdrivere 2021'!I48,'Costdrivere 2022'!I48)</f>
        <v>2712524.9239999996</v>
      </c>
      <c r="J48" s="119">
        <f>AVERAGE('Costdrivere 2021'!J48,'Costdrivere 2022'!J48)</f>
        <v>1034558.0536</v>
      </c>
      <c r="K48" s="119">
        <f>AVERAGE('Costdrivere 2021'!K48,'Costdrivere 2022'!K48)</f>
        <v>1759820.6440481809</v>
      </c>
      <c r="L48" s="159">
        <f>AVERAGE('Costdrivere 2021'!L48,'Costdrivere 2022'!L48)</f>
        <v>5651741.7480716119</v>
      </c>
      <c r="M48" s="292">
        <f>AVERAGE('Costdrivere 2021'!M48,'Costdrivere 2022'!M48)</f>
        <v>3.5386941601644059E-2</v>
      </c>
      <c r="N48" s="141">
        <f>AVERAGE('Costdrivere 2021'!N48,'Costdrivere 2022'!N48)</f>
        <v>401.5</v>
      </c>
      <c r="O48" s="119">
        <f>AVERAGE('Costdrivere 2021'!O48,'Costdrivere 2022'!O48)</f>
        <v>870.2</v>
      </c>
      <c r="P48" s="119">
        <f>AVERAGE('Costdrivere 2021'!P48,'Costdrivere 2022'!P48)</f>
        <v>54.849999999999994</v>
      </c>
      <c r="Q48" s="119">
        <f>AVERAGE('Costdrivere 2021'!Q48,'Costdrivere 2022'!Q48)</f>
        <v>0</v>
      </c>
      <c r="R48" s="159">
        <f>AVERAGE('Costdrivere 2021'!R48,'Costdrivere 2022'!R48)</f>
        <v>1.3</v>
      </c>
      <c r="S48" s="141">
        <f>AVERAGE('Costdrivere 2021'!S48,'Costdrivere 2022'!S48)</f>
        <v>135</v>
      </c>
      <c r="T48" s="119">
        <f>AVERAGE('Costdrivere 2021'!T48,'Costdrivere 2022'!T48)</f>
        <v>258</v>
      </c>
      <c r="U48" s="119">
        <f>AVERAGE('Costdrivere 2021'!U48,'Costdrivere 2022'!U48)</f>
        <v>114</v>
      </c>
      <c r="V48" s="119">
        <f>AVERAGE('Costdrivere 2021'!V48,'Costdrivere 2022'!V48)</f>
        <v>2950</v>
      </c>
      <c r="W48" s="159">
        <f>AVERAGE('Costdrivere 2021'!W48,'Costdrivere 2022'!W48)</f>
        <v>0</v>
      </c>
      <c r="X48" s="58">
        <f>AVERAGE('Costdrivere 2021'!X48,'Costdrivere 2022'!X48)</f>
        <v>128700.5</v>
      </c>
      <c r="Y48" s="159">
        <f>AVERAGE('Costdrivere 2021'!Y48,'Costdrivere 2022'!Y48)</f>
        <v>280270.5</v>
      </c>
      <c r="Z48" s="58">
        <f>AVERAGE('Costdrivere 2021'!Z48,'Costdrivere 2022'!Z48)</f>
        <v>25600</v>
      </c>
      <c r="AA48" s="88">
        <f>AVERAGE('Costdrivere 2021'!AA48,'Costdrivere 2022'!AA48)</f>
        <v>11993795.16077267</v>
      </c>
      <c r="AB48" s="88">
        <f>AVERAGE('Costdrivere 2021'!AB48,'Costdrivere 2022'!AB48)</f>
        <v>1</v>
      </c>
      <c r="AC48" s="58">
        <f>AVERAGE('Costdrivere 2021'!AC48,'Costdrivere 2022'!AC48)</f>
        <v>76.5</v>
      </c>
      <c r="AD48" s="290">
        <f>AVERAGE('Costdrivere 2021'!AD48,'Costdrivere 2022'!AD48)</f>
        <v>1983</v>
      </c>
      <c r="AE48" s="145">
        <f>AVERAGE('Costdrivere 2021'!AE48,'Costdrivere 2022'!AE48)</f>
        <v>259.5</v>
      </c>
      <c r="AF48" s="58">
        <f>AVERAGE('Costdrivere 2021'!AF48,'Costdrivere 2022'!AF48)</f>
        <v>700</v>
      </c>
      <c r="AG48" s="290">
        <f>AVERAGE('Costdrivere 2021'!AG48,'Costdrivere 2022'!AG48)</f>
        <v>0</v>
      </c>
      <c r="AH48" s="145">
        <f>AVERAGE('Costdrivere 2021'!AH48,'Costdrivere 2022'!AH48)</f>
        <v>0</v>
      </c>
      <c r="AI48" s="88">
        <f>AVERAGE('Costdrivere 2021'!AI48,'Costdrivere 2022'!AI48)</f>
        <v>24157</v>
      </c>
      <c r="AJ48" s="88">
        <f>AVERAGE('Costdrivere 2021'!AJ48,'Costdrivere 2022'!AJ48)</f>
        <v>3052841.5</v>
      </c>
      <c r="AK48" s="99" t="str">
        <f>'Costdrivere 2022'!AK48</f>
        <v>t+r</v>
      </c>
      <c r="AL48" s="150">
        <f>AVERAGE('Costdrivere 2021'!AL48,'Costdrivere 2022'!AL48)</f>
        <v>33243</v>
      </c>
      <c r="AM48" s="48"/>
      <c r="AN48" s="121">
        <f>AVERAGE('Costdrivere 2021'!AN48,'Costdrivere 2022'!AN48)</f>
        <v>11088163.091309134</v>
      </c>
      <c r="AO48" s="166">
        <f>AVERAGE('Costdrivere 2021'!AO48,'Costdrivere 2022'!AO48)</f>
        <v>105433897.00478002</v>
      </c>
      <c r="AP48" s="118">
        <f>AVERAGE('Costdrivere 2021'!AP48,'Costdrivere 2022'!AP48)</f>
        <v>2617962.4266666668</v>
      </c>
      <c r="AQ48" s="203"/>
    </row>
    <row r="49" spans="1:43" x14ac:dyDescent="0.25">
      <c r="A49" s="202" t="s">
        <v>109</v>
      </c>
      <c r="B49" s="202" t="s">
        <v>110</v>
      </c>
      <c r="C49" s="141">
        <f>AVERAGE('Costdrivere 2021'!C49,'Costdrivere 2022'!C49)</f>
        <v>8656382.9912200011</v>
      </c>
      <c r="D49" s="119">
        <f>AVERAGE('Costdrivere 2021'!D49,'Costdrivere 2022'!D49)</f>
        <v>4552449.4287999999</v>
      </c>
      <c r="E49" s="119">
        <f>AVERAGE('Costdrivere 2021'!E49,'Costdrivere 2022'!E49)</f>
        <v>1745655.9004500001</v>
      </c>
      <c r="F49" s="119">
        <f>AVERAGE('Costdrivere 2021'!F49,'Costdrivere 2022'!F49)</f>
        <v>115491.02800000001</v>
      </c>
      <c r="G49" s="119">
        <f>AVERAGE('Costdrivere 2021'!G49,'Costdrivere 2022'!G49)</f>
        <v>24743177.516088329</v>
      </c>
      <c r="H49" s="119">
        <f>AVERAGE('Costdrivere 2021'!H49,'Costdrivere 2022'!H49)</f>
        <v>83033.002999999997</v>
      </c>
      <c r="I49" s="119">
        <f>AVERAGE('Costdrivere 2021'!I49,'Costdrivere 2022'!I49)</f>
        <v>4293386.8674500007</v>
      </c>
      <c r="J49" s="119">
        <f>AVERAGE('Costdrivere 2021'!J49,'Costdrivere 2022'!J49)</f>
        <v>2461709.3791000005</v>
      </c>
      <c r="K49" s="119">
        <f>AVERAGE('Costdrivere 2021'!K49,'Costdrivere 2022'!K49)</f>
        <v>1936569.7923921749</v>
      </c>
      <c r="L49" s="159">
        <f>AVERAGE('Costdrivere 2021'!L49,'Costdrivere 2022'!L49)</f>
        <v>9206735.7117261477</v>
      </c>
      <c r="M49" s="292">
        <f>AVERAGE('Costdrivere 2021'!M49,'Costdrivere 2022'!M49)</f>
        <v>4.035041742137209E-2</v>
      </c>
      <c r="N49" s="141">
        <f>AVERAGE('Costdrivere 2021'!N49,'Costdrivere 2022'!N49)</f>
        <v>493.83000000000004</v>
      </c>
      <c r="O49" s="119">
        <f>AVERAGE('Costdrivere 2021'!O49,'Costdrivere 2022'!O49)</f>
        <v>1155.72</v>
      </c>
      <c r="P49" s="119">
        <f>AVERAGE('Costdrivere 2021'!P49,'Costdrivere 2022'!P49)</f>
        <v>137.26</v>
      </c>
      <c r="Q49" s="119">
        <f>AVERAGE('Costdrivere 2021'!Q49,'Costdrivere 2022'!Q49)</f>
        <v>0</v>
      </c>
      <c r="R49" s="159">
        <f>AVERAGE('Costdrivere 2021'!R49,'Costdrivere 2022'!R49)</f>
        <v>4.01</v>
      </c>
      <c r="S49" s="141">
        <f>AVERAGE('Costdrivere 2021'!S49,'Costdrivere 2022'!S49)</f>
        <v>576</v>
      </c>
      <c r="T49" s="119">
        <f>AVERAGE('Costdrivere 2021'!T49,'Costdrivere 2022'!T49)</f>
        <v>46</v>
      </c>
      <c r="U49" s="119">
        <f>AVERAGE('Costdrivere 2021'!U49,'Costdrivere 2022'!U49)</f>
        <v>67</v>
      </c>
      <c r="V49" s="119">
        <f>AVERAGE('Costdrivere 2021'!V49,'Costdrivere 2022'!V49)</f>
        <v>2093</v>
      </c>
      <c r="W49" s="159">
        <f>AVERAGE('Costdrivere 2021'!W49,'Costdrivere 2022'!W49)</f>
        <v>828</v>
      </c>
      <c r="X49" s="58">
        <f>AVERAGE('Costdrivere 2021'!X49,'Costdrivere 2022'!X49)</f>
        <v>211773.5</v>
      </c>
      <c r="Y49" s="159">
        <f>AVERAGE('Costdrivere 2021'!Y49,'Costdrivere 2022'!Y49)</f>
        <v>563408.5</v>
      </c>
      <c r="Z49" s="58">
        <f>AVERAGE('Costdrivere 2021'!Z49,'Costdrivere 2022'!Z49)</f>
        <v>18868</v>
      </c>
      <c r="AA49" s="88">
        <f>AVERAGE('Costdrivere 2021'!AA49,'Costdrivere 2022'!AA49)</f>
        <v>24743177.516088329</v>
      </c>
      <c r="AB49" s="88">
        <f>AVERAGE('Costdrivere 2021'!AB49,'Costdrivere 2022'!AB49)</f>
        <v>29</v>
      </c>
      <c r="AC49" s="58">
        <f>AVERAGE('Costdrivere 2021'!AC49,'Costdrivere 2022'!AC49)</f>
        <v>265.5</v>
      </c>
      <c r="AD49" s="290">
        <f>AVERAGE('Costdrivere 2021'!AD49,'Costdrivere 2022'!AD49)</f>
        <v>4536.5</v>
      </c>
      <c r="AE49" s="145">
        <f>AVERAGE('Costdrivere 2021'!AE49,'Costdrivere 2022'!AE49)</f>
        <v>0</v>
      </c>
      <c r="AF49" s="58">
        <f>AVERAGE('Costdrivere 2021'!AF49,'Costdrivere 2022'!AF49)</f>
        <v>2131</v>
      </c>
      <c r="AG49" s="290">
        <f>AVERAGE('Costdrivere 2021'!AG49,'Costdrivere 2022'!AG49)</f>
        <v>0</v>
      </c>
      <c r="AH49" s="145">
        <f>AVERAGE('Costdrivere 2021'!AH49,'Costdrivere 2022'!AH49)</f>
        <v>0</v>
      </c>
      <c r="AI49" s="88">
        <f>AVERAGE('Costdrivere 2021'!AI49,'Costdrivere 2022'!AI49)</f>
        <v>30804.5</v>
      </c>
      <c r="AJ49" s="88">
        <f>AVERAGE('Costdrivere 2021'!AJ49,'Costdrivere 2022'!AJ49)</f>
        <v>5009929</v>
      </c>
      <c r="AK49" s="99" t="str">
        <f>'Costdrivere 2022'!AK49</f>
        <v>t+r</v>
      </c>
      <c r="AL49" s="150">
        <f>AVERAGE('Costdrivere 2021'!AL49,'Costdrivere 2022'!AL49)</f>
        <v>47880</v>
      </c>
      <c r="AM49" s="48"/>
      <c r="AN49" s="121">
        <f>AVERAGE('Costdrivere 2021'!AN49,'Costdrivere 2022'!AN49)</f>
        <v>17098074.059662186</v>
      </c>
      <c r="AO49" s="166">
        <f>AVERAGE('Costdrivere 2021'!AO49,'Costdrivere 2022'!AO49)</f>
        <v>122532805.13333333</v>
      </c>
      <c r="AP49" s="118">
        <f>AVERAGE('Costdrivere 2021'!AP49,'Costdrivere 2022'!AP49)</f>
        <v>5275766.666666666</v>
      </c>
      <c r="AQ49" s="203"/>
    </row>
    <row r="50" spans="1:43" x14ac:dyDescent="0.25">
      <c r="A50" s="202" t="s">
        <v>111</v>
      </c>
      <c r="B50" s="202" t="s">
        <v>112</v>
      </c>
      <c r="C50" s="141">
        <f>AVERAGE('Costdrivere 2021'!C50,'Costdrivere 2022'!C50)</f>
        <v>3004168.6389530003</v>
      </c>
      <c r="D50" s="119">
        <f>AVERAGE('Costdrivere 2021'!D50,'Costdrivere 2022'!D50)</f>
        <v>2270033.9456000002</v>
      </c>
      <c r="E50" s="119">
        <f>AVERAGE('Costdrivere 2021'!E50,'Costdrivere 2022'!E50)</f>
        <v>1315436.1115000001</v>
      </c>
      <c r="F50" s="119">
        <f>AVERAGE('Costdrivere 2021'!F50,'Costdrivere 2022'!F50)</f>
        <v>51416.4</v>
      </c>
      <c r="G50" s="119">
        <f>AVERAGE('Costdrivere 2021'!G50,'Costdrivere 2022'!G50)</f>
        <v>1210454.5211305835</v>
      </c>
      <c r="H50" s="119">
        <f>AVERAGE('Costdrivere 2021'!H50,'Costdrivere 2022'!H50)</f>
        <v>0</v>
      </c>
      <c r="I50" s="119">
        <f>AVERAGE('Costdrivere 2021'!I50,'Costdrivere 2022'!I50)</f>
        <v>990617.99568750011</v>
      </c>
      <c r="J50" s="119">
        <f>AVERAGE('Costdrivere 2021'!J50,'Costdrivere 2022'!J50)</f>
        <v>1093399.3731</v>
      </c>
      <c r="K50" s="119">
        <f>AVERAGE('Costdrivere 2021'!K50,'Costdrivere 2022'!K50)</f>
        <v>1317141.4304961222</v>
      </c>
      <c r="L50" s="159">
        <f>AVERAGE('Costdrivere 2021'!L50,'Costdrivere 2022'!L50)</f>
        <v>4678702.9705409426</v>
      </c>
      <c r="M50" s="292">
        <f>AVERAGE('Costdrivere 2021'!M50,'Costdrivere 2022'!M50)</f>
        <v>6.6499929032611232E-2</v>
      </c>
      <c r="N50" s="141">
        <f>AVERAGE('Costdrivere 2021'!N50,'Costdrivere 2022'!N50)</f>
        <v>171.965</v>
      </c>
      <c r="O50" s="119">
        <f>AVERAGE('Costdrivere 2021'!O50,'Costdrivere 2022'!O50)</f>
        <v>423.37</v>
      </c>
      <c r="P50" s="119">
        <f>AVERAGE('Costdrivere 2021'!P50,'Costdrivere 2022'!P50)</f>
        <v>63.1</v>
      </c>
      <c r="Q50" s="119">
        <f>AVERAGE('Costdrivere 2021'!Q50,'Costdrivere 2022'!Q50)</f>
        <v>0</v>
      </c>
      <c r="R50" s="159">
        <f>AVERAGE('Costdrivere 2021'!R50,'Costdrivere 2022'!R50)</f>
        <v>0.23</v>
      </c>
      <c r="S50" s="141">
        <f>AVERAGE('Costdrivere 2021'!S50,'Costdrivere 2022'!S50)</f>
        <v>285.5</v>
      </c>
      <c r="T50" s="119">
        <f>AVERAGE('Costdrivere 2021'!T50,'Costdrivere 2022'!T50)</f>
        <v>4</v>
      </c>
      <c r="U50" s="119">
        <f>AVERAGE('Costdrivere 2021'!U50,'Costdrivere 2022'!U50)</f>
        <v>37</v>
      </c>
      <c r="V50" s="119">
        <f>AVERAGE('Costdrivere 2021'!V50,'Costdrivere 2022'!V50)</f>
        <v>1279</v>
      </c>
      <c r="W50" s="159">
        <f>AVERAGE('Costdrivere 2021'!W50,'Costdrivere 2022'!W50)</f>
        <v>680</v>
      </c>
      <c r="X50" s="58">
        <f>AVERAGE('Costdrivere 2021'!X50,'Costdrivere 2022'!X50)</f>
        <v>204355</v>
      </c>
      <c r="Y50" s="159">
        <f>AVERAGE('Costdrivere 2021'!Y50,'Costdrivere 2022'!Y50)</f>
        <v>398295</v>
      </c>
      <c r="Z50" s="58">
        <f>AVERAGE('Costdrivere 2021'!Z50,'Costdrivere 2022'!Z50)</f>
        <v>8400</v>
      </c>
      <c r="AA50" s="88">
        <f>AVERAGE('Costdrivere 2021'!AA50,'Costdrivere 2022'!AA50)</f>
        <v>1210454.5211305835</v>
      </c>
      <c r="AB50" s="88">
        <f>AVERAGE('Costdrivere 2021'!AB50,'Costdrivere 2022'!AB50)</f>
        <v>0</v>
      </c>
      <c r="AC50" s="58">
        <f>AVERAGE('Costdrivere 2021'!AC50,'Costdrivere 2022'!AC50)</f>
        <v>0</v>
      </c>
      <c r="AD50" s="290">
        <f>AVERAGE('Costdrivere 2021'!AD50,'Costdrivere 2022'!AD50)</f>
        <v>0</v>
      </c>
      <c r="AE50" s="145">
        <f>AVERAGE('Costdrivere 2021'!AE50,'Costdrivere 2022'!AE50)</f>
        <v>151.625</v>
      </c>
      <c r="AF50" s="58">
        <f>AVERAGE('Costdrivere 2021'!AF50,'Costdrivere 2022'!AF50)</f>
        <v>759</v>
      </c>
      <c r="AG50" s="290">
        <f>AVERAGE('Costdrivere 2021'!AG50,'Costdrivere 2022'!AG50)</f>
        <v>0</v>
      </c>
      <c r="AH50" s="145">
        <f>AVERAGE('Costdrivere 2021'!AH50,'Costdrivere 2022'!AH50)</f>
        <v>0</v>
      </c>
      <c r="AI50" s="88">
        <f>AVERAGE('Costdrivere 2021'!AI50,'Costdrivere 2022'!AI50)</f>
        <v>11587</v>
      </c>
      <c r="AJ50" s="88">
        <f>AVERAGE('Costdrivere 2021'!AJ50,'Costdrivere 2022'!AJ50)</f>
        <v>2520050.5</v>
      </c>
      <c r="AK50" s="99" t="str">
        <f>'Costdrivere 2022'!AK50</f>
        <v>t+r</v>
      </c>
      <c r="AL50" s="150">
        <f>AVERAGE('Costdrivere 2021'!AL50,'Costdrivere 2022'!AL50)</f>
        <v>29622</v>
      </c>
      <c r="AM50" s="48"/>
      <c r="AN50" s="121">
        <f>AVERAGE('Costdrivere 2021'!AN50,'Costdrivere 2022'!AN50)</f>
        <v>1175116.8132638789</v>
      </c>
      <c r="AO50" s="166">
        <f>AVERAGE('Costdrivere 2021'!AO50,'Costdrivere 2022'!AO50)</f>
        <v>65503866.096000001</v>
      </c>
      <c r="AP50" s="118">
        <f>AVERAGE('Costdrivere 2021'!AP50,'Costdrivere 2022'!AP50)</f>
        <v>1363456.6</v>
      </c>
      <c r="AQ50" s="203"/>
    </row>
    <row r="51" spans="1:43" x14ac:dyDescent="0.25">
      <c r="A51" s="202" t="s">
        <v>113</v>
      </c>
      <c r="B51" s="202" t="s">
        <v>114</v>
      </c>
      <c r="C51" s="141">
        <f>AVERAGE('Costdrivere 2021'!C51,'Costdrivere 2022'!C51)</f>
        <v>1515849.3470410001</v>
      </c>
      <c r="D51" s="119">
        <f>AVERAGE('Costdrivere 2021'!D51,'Costdrivere 2022'!D51)</f>
        <v>1726759.62295</v>
      </c>
      <c r="E51" s="119">
        <f>AVERAGE('Costdrivere 2021'!E51,'Costdrivere 2022'!E51)</f>
        <v>29448.92</v>
      </c>
      <c r="F51" s="119">
        <f>AVERAGE('Costdrivere 2021'!F51,'Costdrivere 2022'!F51)</f>
        <v>98652.157000000007</v>
      </c>
      <c r="G51" s="119">
        <f>AVERAGE('Costdrivere 2021'!G51,'Costdrivere 2022'!G51)</f>
        <v>4841476.6575843832</v>
      </c>
      <c r="H51" s="119">
        <f>AVERAGE('Costdrivere 2021'!H51,'Costdrivere 2022'!H51)</f>
        <v>0</v>
      </c>
      <c r="I51" s="119">
        <f>AVERAGE('Costdrivere 2021'!I51,'Costdrivere 2022'!I51)</f>
        <v>1448722.1009150001</v>
      </c>
      <c r="J51" s="119">
        <f>AVERAGE('Costdrivere 2021'!J51,'Costdrivere 2022'!J51)</f>
        <v>1319728.2142449999</v>
      </c>
      <c r="K51" s="119">
        <f>AVERAGE('Costdrivere 2021'!K51,'Costdrivere 2022'!K51)</f>
        <v>1128296.1961149431</v>
      </c>
      <c r="L51" s="159">
        <f>AVERAGE('Costdrivere 2021'!L51,'Costdrivere 2022'!L51)</f>
        <v>3285104.7941326303</v>
      </c>
      <c r="M51" s="292">
        <f>AVERAGE('Costdrivere 2021'!M51,'Costdrivere 2022'!M51)</f>
        <v>7.6778501672233018E-2</v>
      </c>
      <c r="N51" s="141">
        <f>AVERAGE('Costdrivere 2021'!N51,'Costdrivere 2022'!N51)</f>
        <v>17.104999999999997</v>
      </c>
      <c r="O51" s="119">
        <f>AVERAGE('Costdrivere 2021'!O51,'Costdrivere 2022'!O51)</f>
        <v>195.42500000000001</v>
      </c>
      <c r="P51" s="119">
        <f>AVERAGE('Costdrivere 2021'!P51,'Costdrivere 2022'!P51)</f>
        <v>18.324999999999999</v>
      </c>
      <c r="Q51" s="119">
        <f>AVERAGE('Costdrivere 2021'!Q51,'Costdrivere 2022'!Q51)</f>
        <v>0</v>
      </c>
      <c r="R51" s="159">
        <f>AVERAGE('Costdrivere 2021'!R51,'Costdrivere 2022'!R51)</f>
        <v>1.69</v>
      </c>
      <c r="S51" s="141">
        <f>AVERAGE('Costdrivere 2021'!S51,'Costdrivere 2022'!S51)</f>
        <v>14</v>
      </c>
      <c r="T51" s="119">
        <f>AVERAGE('Costdrivere 2021'!T51,'Costdrivere 2022'!T51)</f>
        <v>8</v>
      </c>
      <c r="U51" s="119">
        <f>AVERAGE('Costdrivere 2021'!U51,'Costdrivere 2022'!U51)</f>
        <v>15.5</v>
      </c>
      <c r="V51" s="119">
        <f>AVERAGE('Costdrivere 2021'!V51,'Costdrivere 2022'!V51)</f>
        <v>2512</v>
      </c>
      <c r="W51" s="159">
        <f>AVERAGE('Costdrivere 2021'!W51,'Costdrivere 2022'!W51)</f>
        <v>2069</v>
      </c>
      <c r="X51" s="58">
        <f>AVERAGE('Costdrivere 2021'!X51,'Costdrivere 2022'!X51)</f>
        <v>0</v>
      </c>
      <c r="Y51" s="159">
        <f>AVERAGE('Costdrivere 2021'!Y51,'Costdrivere 2022'!Y51)</f>
        <v>11600</v>
      </c>
      <c r="Z51" s="58">
        <f>AVERAGE('Costdrivere 2021'!Z51,'Costdrivere 2022'!Z51)</f>
        <v>16117</v>
      </c>
      <c r="AA51" s="88">
        <f>AVERAGE('Costdrivere 2021'!AA51,'Costdrivere 2022'!AA51)</f>
        <v>4841476.6575843832</v>
      </c>
      <c r="AB51" s="88">
        <f>AVERAGE('Costdrivere 2021'!AB51,'Costdrivere 2022'!AB51)</f>
        <v>0</v>
      </c>
      <c r="AC51" s="58">
        <f>AVERAGE('Costdrivere 2021'!AC51,'Costdrivere 2022'!AC51)</f>
        <v>23.95</v>
      </c>
      <c r="AD51" s="290">
        <f>AVERAGE('Costdrivere 2021'!AD51,'Costdrivere 2022'!AD51)</f>
        <v>916.5</v>
      </c>
      <c r="AE51" s="145">
        <f>AVERAGE('Costdrivere 2021'!AE51,'Costdrivere 2022'!AE51)</f>
        <v>0</v>
      </c>
      <c r="AF51" s="58">
        <f>AVERAGE('Costdrivere 2021'!AF51,'Costdrivere 2022'!AF51)</f>
        <v>163.95</v>
      </c>
      <c r="AG51" s="290">
        <f>AVERAGE('Costdrivere 2021'!AG51,'Costdrivere 2022'!AG51)</f>
        <v>0</v>
      </c>
      <c r="AH51" s="145">
        <f>AVERAGE('Costdrivere 2021'!AH51,'Costdrivere 2022'!AH51)</f>
        <v>419.90000000000003</v>
      </c>
      <c r="AI51" s="88">
        <f>AVERAGE('Costdrivere 2021'!AI51,'Costdrivere 2022'!AI51)</f>
        <v>7824</v>
      </c>
      <c r="AJ51" s="88">
        <f>AVERAGE('Costdrivere 2021'!AJ51,'Costdrivere 2022'!AJ51)</f>
        <v>1759987.5</v>
      </c>
      <c r="AK51" s="99" t="str">
        <f>'Costdrivere 2022'!AK51</f>
        <v>t+r</v>
      </c>
      <c r="AL51" s="150">
        <f>AVERAGE('Costdrivere 2021'!AL51,'Costdrivere 2022'!AL51)</f>
        <v>14238.5</v>
      </c>
      <c r="AM51" s="48"/>
      <c r="AN51" s="121">
        <f>AVERAGE('Costdrivere 2021'!AN51,'Costdrivere 2022'!AN51)</f>
        <v>5048680.9274341539</v>
      </c>
      <c r="AO51" s="166">
        <f>AVERAGE('Costdrivere 2021'!AO51,'Costdrivere 2022'!AO51)</f>
        <v>31521589.990835309</v>
      </c>
      <c r="AP51" s="118">
        <f>AVERAGE('Costdrivere 2021'!AP51,'Costdrivere 2022'!AP51)</f>
        <v>1057342.3928020587</v>
      </c>
      <c r="AQ51" s="203"/>
    </row>
    <row r="52" spans="1:43" x14ac:dyDescent="0.25">
      <c r="A52" s="202" t="s">
        <v>115</v>
      </c>
      <c r="B52" s="202" t="s">
        <v>116</v>
      </c>
      <c r="C52" s="141">
        <f>AVERAGE('Costdrivere 2021'!C52,'Costdrivere 2022'!C52)</f>
        <v>5481520.1165155005</v>
      </c>
      <c r="D52" s="119">
        <f>AVERAGE('Costdrivere 2021'!D52,'Costdrivere 2022'!D52)</f>
        <v>2231284.2428000001</v>
      </c>
      <c r="E52" s="119">
        <f>AVERAGE('Costdrivere 2021'!E52,'Costdrivere 2022'!E52)</f>
        <v>747721.62930000003</v>
      </c>
      <c r="F52" s="119">
        <f>AVERAGE('Costdrivere 2021'!F52,'Costdrivere 2022'!F52)</f>
        <v>108262.12700000001</v>
      </c>
      <c r="G52" s="119">
        <f>AVERAGE('Costdrivere 2021'!G52,'Costdrivere 2022'!G52)</f>
        <v>6744269.2388140056</v>
      </c>
      <c r="H52" s="119">
        <f>AVERAGE('Costdrivere 2021'!H52,'Costdrivere 2022'!H52)</f>
        <v>0</v>
      </c>
      <c r="I52" s="119">
        <f>AVERAGE('Costdrivere 2021'!I52,'Costdrivere 2022'!I52)</f>
        <v>1257016.9778999998</v>
      </c>
      <c r="J52" s="119">
        <f>AVERAGE('Costdrivere 2021'!J52,'Costdrivere 2022'!J52)</f>
        <v>924355.24335000012</v>
      </c>
      <c r="K52" s="119">
        <f>AVERAGE('Costdrivere 2021'!K52,'Costdrivere 2022'!K52)</f>
        <v>1475893.2360975351</v>
      </c>
      <c r="L52" s="159">
        <f>AVERAGE('Costdrivere 2021'!L52,'Costdrivere 2022'!L52)</f>
        <v>3422819.0009944364</v>
      </c>
      <c r="M52" s="292">
        <f>AVERAGE('Costdrivere 2021'!M52,'Costdrivere 2022'!M52)</f>
        <v>3.2501307486746109E-2</v>
      </c>
      <c r="N52" s="141">
        <f>AVERAGE('Costdrivere 2021'!N52,'Costdrivere 2022'!N52)</f>
        <v>204.39</v>
      </c>
      <c r="O52" s="119">
        <f>AVERAGE('Costdrivere 2021'!O52,'Costdrivere 2022'!O52)</f>
        <v>645.82999999999993</v>
      </c>
      <c r="P52" s="119">
        <f>AVERAGE('Costdrivere 2021'!P52,'Costdrivere 2022'!P52)</f>
        <v>19.285</v>
      </c>
      <c r="Q52" s="119">
        <f>AVERAGE('Costdrivere 2021'!Q52,'Costdrivere 2022'!Q52)</f>
        <v>0</v>
      </c>
      <c r="R52" s="159">
        <f>AVERAGE('Costdrivere 2021'!R52,'Costdrivere 2022'!R52)</f>
        <v>8.3500000000000014</v>
      </c>
      <c r="S52" s="141">
        <f>AVERAGE('Costdrivere 2021'!S52,'Costdrivere 2022'!S52)</f>
        <v>0</v>
      </c>
      <c r="T52" s="119">
        <f>AVERAGE('Costdrivere 2021'!T52,'Costdrivere 2022'!T52)</f>
        <v>21</v>
      </c>
      <c r="U52" s="119">
        <f>AVERAGE('Costdrivere 2021'!U52,'Costdrivere 2022'!U52)</f>
        <v>52</v>
      </c>
      <c r="V52" s="119">
        <f>AVERAGE('Costdrivere 2021'!V52,'Costdrivere 2022'!V52)</f>
        <v>2497</v>
      </c>
      <c r="W52" s="159">
        <f>AVERAGE('Costdrivere 2021'!W52,'Costdrivere 2022'!W52)</f>
        <v>0</v>
      </c>
      <c r="X52" s="58">
        <f>AVERAGE('Costdrivere 2021'!X52,'Costdrivere 2022'!X52)</f>
        <v>156585</v>
      </c>
      <c r="Y52" s="159">
        <f>AVERAGE('Costdrivere 2021'!Y52,'Costdrivere 2022'!Y52)</f>
        <v>202689</v>
      </c>
      <c r="Z52" s="58">
        <f>AVERAGE('Costdrivere 2021'!Z52,'Costdrivere 2022'!Z52)</f>
        <v>17687</v>
      </c>
      <c r="AA52" s="88">
        <f>AVERAGE('Costdrivere 2021'!AA52,'Costdrivere 2022'!AA52)</f>
        <v>6744269.2388140056</v>
      </c>
      <c r="AB52" s="88">
        <f>AVERAGE('Costdrivere 2021'!AB52,'Costdrivere 2022'!AB52)</f>
        <v>0</v>
      </c>
      <c r="AC52" s="58">
        <f>AVERAGE('Costdrivere 2021'!AC52,'Costdrivere 2022'!AC52)</f>
        <v>589.5</v>
      </c>
      <c r="AD52" s="290">
        <f>AVERAGE('Costdrivere 2021'!AD52,'Costdrivere 2022'!AD52)</f>
        <v>0</v>
      </c>
      <c r="AE52" s="145">
        <f>AVERAGE('Costdrivere 2021'!AE52,'Costdrivere 2022'!AE52)</f>
        <v>213.5</v>
      </c>
      <c r="AF52" s="58">
        <f>AVERAGE('Costdrivere 2021'!AF52,'Costdrivere 2022'!AF52)</f>
        <v>589.5</v>
      </c>
      <c r="AG52" s="290">
        <f>AVERAGE('Costdrivere 2021'!AG52,'Costdrivere 2022'!AG52)</f>
        <v>0</v>
      </c>
      <c r="AH52" s="145">
        <f>AVERAGE('Costdrivere 2021'!AH52,'Costdrivere 2022'!AH52)</f>
        <v>0</v>
      </c>
      <c r="AI52" s="88">
        <f>AVERAGE('Costdrivere 2021'!AI52,'Costdrivere 2022'!AI52)</f>
        <v>15460</v>
      </c>
      <c r="AJ52" s="88">
        <f>AVERAGE('Costdrivere 2021'!AJ52,'Costdrivere 2022'!AJ52)</f>
        <v>1834890</v>
      </c>
      <c r="AK52" s="99" t="str">
        <f>'Costdrivere 2022'!AK52</f>
        <v>t+r</v>
      </c>
      <c r="AL52" s="150">
        <f>AVERAGE('Costdrivere 2021'!AL52,'Costdrivere 2022'!AL52)</f>
        <v>18360</v>
      </c>
      <c r="AM52" s="48"/>
      <c r="AN52" s="121">
        <f>AVERAGE('Costdrivere 2021'!AN52,'Costdrivere 2022'!AN52)</f>
        <v>8527499.7103258017</v>
      </c>
      <c r="AO52" s="166">
        <f>AVERAGE('Costdrivere 2021'!AO52,'Costdrivere 2022'!AO52)</f>
        <v>70872447.099999994</v>
      </c>
      <c r="AP52" s="118">
        <f>AVERAGE('Costdrivere 2021'!AP52,'Costdrivere 2022'!AP52)</f>
        <v>3830600</v>
      </c>
      <c r="AQ52" s="203"/>
    </row>
    <row r="53" spans="1:43" x14ac:dyDescent="0.25">
      <c r="A53" s="202" t="s">
        <v>117</v>
      </c>
      <c r="B53" s="202" t="s">
        <v>118</v>
      </c>
      <c r="C53" s="141">
        <f>AVERAGE('Costdrivere 2021'!C53,'Costdrivere 2022'!C53)</f>
        <v>1009483.9140315</v>
      </c>
      <c r="D53" s="119">
        <f>AVERAGE('Costdrivere 2021'!D53,'Costdrivere 2022'!D53)</f>
        <v>1496261.9790000001</v>
      </c>
      <c r="E53" s="119">
        <f>AVERAGE('Costdrivere 2021'!E53,'Costdrivere 2022'!E53)</f>
        <v>251166.0043</v>
      </c>
      <c r="F53" s="119">
        <f>AVERAGE('Costdrivere 2021'!F53,'Costdrivere 2022'!F53)</f>
        <v>0</v>
      </c>
      <c r="G53" s="119">
        <f>AVERAGE('Costdrivere 2021'!G53,'Costdrivere 2022'!G53)</f>
        <v>0</v>
      </c>
      <c r="H53" s="119">
        <f>AVERAGE('Costdrivere 2021'!H53,'Costdrivere 2022'!H53)</f>
        <v>0</v>
      </c>
      <c r="I53" s="119">
        <f>AVERAGE('Costdrivere 2021'!I53,'Costdrivere 2022'!I53)</f>
        <v>0</v>
      </c>
      <c r="J53" s="119">
        <f>AVERAGE('Costdrivere 2021'!J53,'Costdrivere 2022'!J53)</f>
        <v>0</v>
      </c>
      <c r="K53" s="119">
        <f>AVERAGE('Costdrivere 2021'!K53,'Costdrivere 2022'!K53)</f>
        <v>854183.4996436591</v>
      </c>
      <c r="L53" s="159">
        <f>AVERAGE('Costdrivere 2021'!L53,'Costdrivere 2022'!L53)</f>
        <v>1425840.7336610514</v>
      </c>
      <c r="M53" s="292">
        <f>AVERAGE('Costdrivere 2021'!M53,'Costdrivere 2022'!M53)</f>
        <v>3.8943452194872052E-2</v>
      </c>
      <c r="N53" s="141">
        <f>AVERAGE('Costdrivere 2021'!N53,'Costdrivere 2022'!N53)</f>
        <v>42.64</v>
      </c>
      <c r="O53" s="119">
        <f>AVERAGE('Costdrivere 2021'!O53,'Costdrivere 2022'!O53)</f>
        <v>128.77500000000001</v>
      </c>
      <c r="P53" s="119">
        <f>AVERAGE('Costdrivere 2021'!P53,'Costdrivere 2022'!P53)</f>
        <v>28</v>
      </c>
      <c r="Q53" s="119">
        <f>AVERAGE('Costdrivere 2021'!Q53,'Costdrivere 2022'!Q53)</f>
        <v>0</v>
      </c>
      <c r="R53" s="159">
        <f>AVERAGE('Costdrivere 2021'!R53,'Costdrivere 2022'!R53)</f>
        <v>0</v>
      </c>
      <c r="S53" s="141">
        <f>AVERAGE('Costdrivere 2021'!S53,'Costdrivere 2022'!S53)</f>
        <v>33</v>
      </c>
      <c r="T53" s="119">
        <f>AVERAGE('Costdrivere 2021'!T53,'Costdrivere 2022'!T53)</f>
        <v>33</v>
      </c>
      <c r="U53" s="119">
        <f>AVERAGE('Costdrivere 2021'!U53,'Costdrivere 2022'!U53)</f>
        <v>18</v>
      </c>
      <c r="V53" s="119">
        <f>AVERAGE('Costdrivere 2021'!V53,'Costdrivere 2022'!V53)</f>
        <v>1953</v>
      </c>
      <c r="W53" s="159">
        <f>AVERAGE('Costdrivere 2021'!W53,'Costdrivere 2022'!W53)</f>
        <v>0</v>
      </c>
      <c r="X53" s="58">
        <f>AVERAGE('Costdrivere 2021'!X53,'Costdrivere 2022'!X53)</f>
        <v>41850</v>
      </c>
      <c r="Y53" s="159">
        <f>AVERAGE('Costdrivere 2021'!Y53,'Costdrivere 2022'!Y53)</f>
        <v>74389</v>
      </c>
      <c r="Z53" s="58">
        <f>AVERAGE('Costdrivere 2021'!Z53,'Costdrivere 2022'!Z53)</f>
        <v>0</v>
      </c>
      <c r="AA53" s="88">
        <f>AVERAGE('Costdrivere 2021'!AA53,'Costdrivere 2022'!AA53)</f>
        <v>0</v>
      </c>
      <c r="AB53" s="88">
        <f>AVERAGE('Costdrivere 2021'!AB53,'Costdrivere 2022'!AB53)</f>
        <v>0</v>
      </c>
      <c r="AC53" s="58">
        <f>AVERAGE('Costdrivere 2021'!AC53,'Costdrivere 2022'!AC53)</f>
        <v>0</v>
      </c>
      <c r="AD53" s="290">
        <f>AVERAGE('Costdrivere 2021'!AD53,'Costdrivere 2022'!AD53)</f>
        <v>0</v>
      </c>
      <c r="AE53" s="145">
        <f>AVERAGE('Costdrivere 2021'!AE53,'Costdrivere 2022'!AE53)</f>
        <v>0</v>
      </c>
      <c r="AF53" s="58">
        <f>AVERAGE('Costdrivere 2021'!AF53,'Costdrivere 2022'!AF53)</f>
        <v>0</v>
      </c>
      <c r="AG53" s="290">
        <f>AVERAGE('Costdrivere 2021'!AG53,'Costdrivere 2022'!AG53)</f>
        <v>0</v>
      </c>
      <c r="AH53" s="145">
        <f>AVERAGE('Costdrivere 2021'!AH53,'Costdrivere 2022'!AH53)</f>
        <v>0</v>
      </c>
      <c r="AI53" s="88">
        <f>AVERAGE('Costdrivere 2021'!AI53,'Costdrivere 2022'!AI53)</f>
        <v>3861</v>
      </c>
      <c r="AJ53" s="88">
        <f>AVERAGE('Costdrivere 2021'!AJ53,'Costdrivere 2022'!AJ53)</f>
        <v>1074004</v>
      </c>
      <c r="AK53" s="99" t="str">
        <f>'Costdrivere 2022'!AK53</f>
        <v>t</v>
      </c>
      <c r="AL53" s="150">
        <f>AVERAGE('Costdrivere 2021'!AL53,'Costdrivere 2022'!AL53)</f>
        <v>3881</v>
      </c>
      <c r="AM53" s="48"/>
      <c r="AN53" s="121">
        <f>AVERAGE('Costdrivere 2021'!AN53,'Costdrivere 2022'!AN53)</f>
        <v>0</v>
      </c>
      <c r="AO53" s="166">
        <f>AVERAGE('Costdrivere 2021'!AO53,'Costdrivere 2022'!AO53)</f>
        <v>17777277.136</v>
      </c>
      <c r="AP53" s="118">
        <f>AVERAGE('Costdrivere 2021'!AP53,'Costdrivere 2022'!AP53)</f>
        <v>206010.66666666666</v>
      </c>
      <c r="AQ53" s="203"/>
    </row>
    <row r="54" spans="1:43" x14ac:dyDescent="0.25">
      <c r="A54" s="202" t="s">
        <v>119</v>
      </c>
      <c r="B54" s="202" t="s">
        <v>120</v>
      </c>
      <c r="C54" s="141">
        <f>AVERAGE('Costdrivere 2021'!C54,'Costdrivere 2022'!C54)</f>
        <v>3776715.1431155</v>
      </c>
      <c r="D54" s="119">
        <f>AVERAGE('Costdrivere 2021'!D54,'Costdrivere 2022'!D54)</f>
        <v>5604782.2334500002</v>
      </c>
      <c r="E54" s="119">
        <f>AVERAGE('Costdrivere 2021'!E54,'Costdrivere 2022'!E54)</f>
        <v>132638.44220000002</v>
      </c>
      <c r="F54" s="119">
        <f>AVERAGE('Costdrivere 2021'!F54,'Costdrivere 2022'!F54)</f>
        <v>106958.35400000001</v>
      </c>
      <c r="G54" s="119">
        <f>AVERAGE('Costdrivere 2021'!G54,'Costdrivere 2022'!G54)</f>
        <v>8877420.3539803047</v>
      </c>
      <c r="H54" s="119">
        <f>AVERAGE('Costdrivere 2021'!H54,'Costdrivere 2022'!H54)</f>
        <v>0</v>
      </c>
      <c r="I54" s="119">
        <f>AVERAGE('Costdrivere 2021'!I54,'Costdrivere 2022'!I54)</f>
        <v>1082695.0590335</v>
      </c>
      <c r="J54" s="119">
        <f>AVERAGE('Costdrivere 2021'!J54,'Costdrivere 2022'!J54)</f>
        <v>1571664.6099275001</v>
      </c>
      <c r="K54" s="119">
        <f>AVERAGE('Costdrivere 2021'!K54,'Costdrivere 2022'!K54)</f>
        <v>1674693.5484432839</v>
      </c>
      <c r="L54" s="159">
        <f>AVERAGE('Costdrivere 2021'!L54,'Costdrivere 2022'!L54)</f>
        <v>3353047.5940234754</v>
      </c>
      <c r="M54" s="292">
        <f>AVERAGE('Costdrivere 2021'!M54,'Costdrivere 2022'!M54)</f>
        <v>2.9410408481666126E-2</v>
      </c>
      <c r="N54" s="141">
        <f>AVERAGE('Costdrivere 2021'!N54,'Costdrivere 2022'!N54)</f>
        <v>459.35</v>
      </c>
      <c r="O54" s="119">
        <f>AVERAGE('Costdrivere 2021'!O54,'Costdrivere 2022'!O54)</f>
        <v>608.69499999999994</v>
      </c>
      <c r="P54" s="119">
        <f>AVERAGE('Costdrivere 2021'!P54,'Costdrivere 2022'!P54)</f>
        <v>0</v>
      </c>
      <c r="Q54" s="119">
        <f>AVERAGE('Costdrivere 2021'!Q54,'Costdrivere 2022'!Q54)</f>
        <v>0</v>
      </c>
      <c r="R54" s="159">
        <f>AVERAGE('Costdrivere 2021'!R54,'Costdrivere 2022'!R54)</f>
        <v>1.7</v>
      </c>
      <c r="S54" s="141">
        <f>AVERAGE('Costdrivere 2021'!S54,'Costdrivere 2022'!S54)</f>
        <v>20</v>
      </c>
      <c r="T54" s="119">
        <f>AVERAGE('Costdrivere 2021'!T54,'Costdrivere 2022'!T54)</f>
        <v>32</v>
      </c>
      <c r="U54" s="119">
        <f>AVERAGE('Costdrivere 2021'!U54,'Costdrivere 2022'!U54)</f>
        <v>181.5</v>
      </c>
      <c r="V54" s="119">
        <f>AVERAGE('Costdrivere 2021'!V54,'Costdrivere 2022'!V54)</f>
        <v>3076</v>
      </c>
      <c r="W54" s="159">
        <f>AVERAGE('Costdrivere 2021'!W54,'Costdrivere 2022'!W54)</f>
        <v>0</v>
      </c>
      <c r="X54" s="58">
        <f>AVERAGE('Costdrivere 2021'!X54,'Costdrivere 2022'!X54)</f>
        <v>43563</v>
      </c>
      <c r="Y54" s="159">
        <f>AVERAGE('Costdrivere 2021'!Y54,'Costdrivere 2022'!Y54)</f>
        <v>26696</v>
      </c>
      <c r="Z54" s="58">
        <f>AVERAGE('Costdrivere 2021'!Z54,'Costdrivere 2022'!Z54)</f>
        <v>17474</v>
      </c>
      <c r="AA54" s="88">
        <f>AVERAGE('Costdrivere 2021'!AA54,'Costdrivere 2022'!AA54)</f>
        <v>8877420.3539803047</v>
      </c>
      <c r="AB54" s="88">
        <f>AVERAGE('Costdrivere 2021'!AB54,'Costdrivere 2022'!AB54)</f>
        <v>0</v>
      </c>
      <c r="AC54" s="58">
        <f>AVERAGE('Costdrivere 2021'!AC54,'Costdrivere 2022'!AC54)</f>
        <v>1238.5550000000001</v>
      </c>
      <c r="AD54" s="290">
        <f>AVERAGE('Costdrivere 2021'!AD54,'Costdrivere 2022'!AD54)</f>
        <v>0</v>
      </c>
      <c r="AE54" s="145">
        <f>AVERAGE('Costdrivere 2021'!AE54,'Costdrivere 2022'!AE54)</f>
        <v>0</v>
      </c>
      <c r="AF54" s="58">
        <f>AVERAGE('Costdrivere 2021'!AF54,'Costdrivere 2022'!AF54)</f>
        <v>1238.5550000000001</v>
      </c>
      <c r="AG54" s="290">
        <f>AVERAGE('Costdrivere 2021'!AG54,'Costdrivere 2022'!AG54)</f>
        <v>0</v>
      </c>
      <c r="AH54" s="145">
        <f>AVERAGE('Costdrivere 2021'!AH54,'Costdrivere 2022'!AH54)</f>
        <v>0</v>
      </c>
      <c r="AI54" s="88">
        <f>AVERAGE('Costdrivere 2021'!AI54,'Costdrivere 2022'!AI54)</f>
        <v>21302</v>
      </c>
      <c r="AJ54" s="88">
        <f>AVERAGE('Costdrivere 2021'!AJ54,'Costdrivere 2022'!AJ54)</f>
        <v>1796924.5</v>
      </c>
      <c r="AK54" s="99" t="str">
        <f>'Costdrivere 2022'!AK54</f>
        <v>t+r</v>
      </c>
      <c r="AL54" s="150">
        <f>AVERAGE('Costdrivere 2021'!AL54,'Costdrivere 2022'!AL54)</f>
        <v>23648</v>
      </c>
      <c r="AM54" s="48"/>
      <c r="AN54" s="121">
        <f>AVERAGE('Costdrivere 2021'!AN54,'Costdrivere 2022'!AN54)</f>
        <v>6864107.2773255762</v>
      </c>
      <c r="AO54" s="166">
        <f>AVERAGE('Costdrivere 2021'!AO54,'Costdrivere 2022'!AO54)</f>
        <v>78521443.116666675</v>
      </c>
      <c r="AP54" s="118">
        <f>AVERAGE('Costdrivere 2021'!AP54,'Costdrivere 2022'!AP54)</f>
        <v>1843973.3333333335</v>
      </c>
      <c r="AQ54" s="203"/>
    </row>
    <row r="55" spans="1:43" x14ac:dyDescent="0.25">
      <c r="A55" s="202" t="s">
        <v>121</v>
      </c>
      <c r="B55" s="202" t="s">
        <v>122</v>
      </c>
      <c r="C55" s="141">
        <f>AVERAGE('Costdrivere 2021'!C55,'Costdrivere 2022'!C55)</f>
        <v>35384.843439999997</v>
      </c>
      <c r="D55" s="119">
        <f>AVERAGE('Costdrivere 2021'!D55,'Costdrivere 2022'!D55)</f>
        <v>667811.03289999999</v>
      </c>
      <c r="E55" s="119">
        <f>AVERAGE('Costdrivere 2021'!E55,'Costdrivere 2022'!E55)</f>
        <v>0</v>
      </c>
      <c r="F55" s="119">
        <f>AVERAGE('Costdrivere 2021'!F55,'Costdrivere 2022'!F55)</f>
        <v>0</v>
      </c>
      <c r="G55" s="119">
        <f>AVERAGE('Costdrivere 2021'!G55,'Costdrivere 2022'!G55)</f>
        <v>8023460.8907711189</v>
      </c>
      <c r="H55" s="119">
        <f>AVERAGE('Costdrivere 2021'!H55,'Costdrivere 2022'!H55)</f>
        <v>0</v>
      </c>
      <c r="I55" s="119">
        <f>AVERAGE('Costdrivere 2021'!I55,'Costdrivere 2022'!I55)</f>
        <v>1344409.5734000001</v>
      </c>
      <c r="J55" s="119">
        <f>AVERAGE('Costdrivere 2021'!J55,'Costdrivere 2022'!J55)</f>
        <v>1330759.2721000002</v>
      </c>
      <c r="K55" s="119">
        <f>AVERAGE('Costdrivere 2021'!K55,'Costdrivere 2022'!K55)</f>
        <v>62116.659428912084</v>
      </c>
      <c r="L55" s="159">
        <f>AVERAGE('Costdrivere 2021'!L55,'Costdrivere 2022'!L55)</f>
        <v>3934844.9653437152</v>
      </c>
      <c r="M55" s="292">
        <f>AVERAGE('Costdrivere 2021'!M55,'Costdrivere 2022'!M55)</f>
        <v>3.875968992248062E-4</v>
      </c>
      <c r="N55" s="141">
        <f>AVERAGE('Costdrivere 2021'!N55,'Costdrivere 2022'!N55)</f>
        <v>8.9</v>
      </c>
      <c r="O55" s="119">
        <f>AVERAGE('Costdrivere 2021'!O55,'Costdrivere 2022'!O55)</f>
        <v>4</v>
      </c>
      <c r="P55" s="119">
        <f>AVERAGE('Costdrivere 2021'!P55,'Costdrivere 2022'!P55)</f>
        <v>0</v>
      </c>
      <c r="Q55" s="119">
        <f>AVERAGE('Costdrivere 2021'!Q55,'Costdrivere 2022'!Q55)</f>
        <v>0</v>
      </c>
      <c r="R55" s="159">
        <f>AVERAGE('Costdrivere 2021'!R55,'Costdrivere 2022'!R55)</f>
        <v>0</v>
      </c>
      <c r="S55" s="141">
        <f>AVERAGE('Costdrivere 2021'!S55,'Costdrivere 2022'!S55)</f>
        <v>0</v>
      </c>
      <c r="T55" s="119">
        <f>AVERAGE('Costdrivere 2021'!T55,'Costdrivere 2022'!T55)</f>
        <v>0</v>
      </c>
      <c r="U55" s="119">
        <f>AVERAGE('Costdrivere 2021'!U55,'Costdrivere 2022'!U55)</f>
        <v>0</v>
      </c>
      <c r="V55" s="119">
        <f>AVERAGE('Costdrivere 2021'!V55,'Costdrivere 2022'!V55)</f>
        <v>0</v>
      </c>
      <c r="W55" s="159">
        <f>AVERAGE('Costdrivere 2021'!W55,'Costdrivere 2022'!W55)</f>
        <v>3113</v>
      </c>
      <c r="X55" s="58">
        <f>AVERAGE('Costdrivere 2021'!X55,'Costdrivere 2022'!X55)</f>
        <v>0</v>
      </c>
      <c r="Y55" s="159">
        <f>AVERAGE('Costdrivere 2021'!Y55,'Costdrivere 2022'!Y55)</f>
        <v>0</v>
      </c>
      <c r="Z55" s="58">
        <f>AVERAGE('Costdrivere 2021'!Z55,'Costdrivere 2022'!Z55)</f>
        <v>0</v>
      </c>
      <c r="AA55" s="88">
        <f>AVERAGE('Costdrivere 2021'!AA55,'Costdrivere 2022'!AA55)</f>
        <v>8023460.8907711189</v>
      </c>
      <c r="AB55" s="88">
        <f>AVERAGE('Costdrivere 2021'!AB55,'Costdrivere 2022'!AB55)</f>
        <v>0</v>
      </c>
      <c r="AC55" s="58">
        <f>AVERAGE('Costdrivere 2021'!AC55,'Costdrivere 2022'!AC55)</f>
        <v>997</v>
      </c>
      <c r="AD55" s="290">
        <f>AVERAGE('Costdrivere 2021'!AD55,'Costdrivere 2022'!AD55)</f>
        <v>0</v>
      </c>
      <c r="AE55" s="145">
        <f>AVERAGE('Costdrivere 2021'!AE55,'Costdrivere 2022'!AE55)</f>
        <v>198</v>
      </c>
      <c r="AF55" s="58">
        <f>AVERAGE('Costdrivere 2021'!AF55,'Costdrivere 2022'!AF55)</f>
        <v>997</v>
      </c>
      <c r="AG55" s="290">
        <f>AVERAGE('Costdrivere 2021'!AG55,'Costdrivere 2022'!AG55)</f>
        <v>0</v>
      </c>
      <c r="AH55" s="145">
        <f>AVERAGE('Costdrivere 2021'!AH55,'Costdrivere 2022'!AH55)</f>
        <v>0</v>
      </c>
      <c r="AI55" s="88">
        <f>AVERAGE('Costdrivere 2021'!AI55,'Costdrivere 2022'!AI55)</f>
        <v>5</v>
      </c>
      <c r="AJ55" s="88">
        <f>AVERAGE('Costdrivere 2021'!AJ55,'Costdrivere 2022'!AJ55)</f>
        <v>6015815.5</v>
      </c>
      <c r="AK55" s="99" t="str">
        <f>'Costdrivere 2022'!AK55</f>
        <v>r</v>
      </c>
      <c r="AL55" s="150">
        <f>AVERAGE('Costdrivere 2021'!AL55,'Costdrivere 2022'!AL55)</f>
        <v>5</v>
      </c>
      <c r="AM55" s="48"/>
      <c r="AN55" s="121">
        <f>AVERAGE('Costdrivere 2021'!AN55,'Costdrivere 2022'!AN55)</f>
        <v>12228482.385060871</v>
      </c>
      <c r="AO55" s="166">
        <f>AVERAGE('Costdrivere 2021'!AO55,'Costdrivere 2022'!AO55)</f>
        <v>2827111.6733333329</v>
      </c>
      <c r="AP55" s="118">
        <f>AVERAGE('Costdrivere 2021'!AP55,'Costdrivere 2022'!AP55)</f>
        <v>3635154.3733333335</v>
      </c>
      <c r="AQ55" s="203"/>
    </row>
    <row r="56" spans="1:43" x14ac:dyDescent="0.25">
      <c r="A56" s="202" t="s">
        <v>123</v>
      </c>
      <c r="B56" s="202" t="s">
        <v>124</v>
      </c>
      <c r="C56" s="141">
        <f>AVERAGE('Costdrivere 2021'!C56,'Costdrivere 2022'!C56)</f>
        <v>3709184.8478449997</v>
      </c>
      <c r="D56" s="119">
        <f>AVERAGE('Costdrivere 2021'!D56,'Costdrivere 2022'!D56)</f>
        <v>5491503.5330500007</v>
      </c>
      <c r="E56" s="119">
        <f>AVERAGE('Costdrivere 2021'!E56,'Costdrivere 2022'!E56)</f>
        <v>8071791.3715000004</v>
      </c>
      <c r="F56" s="119">
        <f>AVERAGE('Costdrivere 2021'!F56,'Costdrivere 2022'!F56)</f>
        <v>150772.47200000001</v>
      </c>
      <c r="G56" s="119">
        <f>AVERAGE('Costdrivere 2021'!G56,'Costdrivere 2022'!G56)</f>
        <v>0</v>
      </c>
      <c r="H56" s="119">
        <f>AVERAGE('Costdrivere 2021'!H56,'Costdrivere 2022'!H56)</f>
        <v>2863.2069999999999</v>
      </c>
      <c r="I56" s="119">
        <f>AVERAGE('Costdrivere 2021'!I56,'Costdrivere 2022'!I56)</f>
        <v>0</v>
      </c>
      <c r="J56" s="119">
        <f>AVERAGE('Costdrivere 2021'!J56,'Costdrivere 2022'!J56)</f>
        <v>0</v>
      </c>
      <c r="K56" s="119">
        <f>AVERAGE('Costdrivere 2021'!K56,'Costdrivere 2022'!K56)</f>
        <v>1497863.9743802047</v>
      </c>
      <c r="L56" s="159">
        <f>AVERAGE('Costdrivere 2021'!L56,'Costdrivere 2022'!L56)</f>
        <v>2362300.1412403597</v>
      </c>
      <c r="M56" s="292">
        <f>AVERAGE('Costdrivere 2021'!M56,'Costdrivere 2022'!M56)</f>
        <v>2.4546640352818234E-2</v>
      </c>
      <c r="N56" s="141">
        <f>AVERAGE('Costdrivere 2021'!N56,'Costdrivere 2022'!N56)</f>
        <v>303.39999999999998</v>
      </c>
      <c r="O56" s="119">
        <f>AVERAGE('Costdrivere 2021'!O56,'Costdrivere 2022'!O56)</f>
        <v>672.15</v>
      </c>
      <c r="P56" s="119">
        <f>AVERAGE('Costdrivere 2021'!P56,'Costdrivere 2022'!P56)</f>
        <v>21.9</v>
      </c>
      <c r="Q56" s="119">
        <f>AVERAGE('Costdrivere 2021'!Q56,'Costdrivere 2022'!Q56)</f>
        <v>0</v>
      </c>
      <c r="R56" s="159">
        <f>AVERAGE('Costdrivere 2021'!R56,'Costdrivere 2022'!R56)</f>
        <v>0.7</v>
      </c>
      <c r="S56" s="141">
        <f>AVERAGE('Costdrivere 2021'!S56,'Costdrivere 2022'!S56)</f>
        <v>26</v>
      </c>
      <c r="T56" s="119">
        <f>AVERAGE('Costdrivere 2021'!T56,'Costdrivere 2022'!T56)</f>
        <v>105</v>
      </c>
      <c r="U56" s="119">
        <f>AVERAGE('Costdrivere 2021'!U56,'Costdrivere 2022'!U56)</f>
        <v>149.5</v>
      </c>
      <c r="V56" s="119">
        <f>AVERAGE('Costdrivere 2021'!V56,'Costdrivere 2022'!V56)</f>
        <v>2453</v>
      </c>
      <c r="W56" s="159">
        <f>AVERAGE('Costdrivere 2021'!W56,'Costdrivere 2022'!W56)</f>
        <v>0</v>
      </c>
      <c r="X56" s="58">
        <f>AVERAGE('Costdrivere 2021'!X56,'Costdrivere 2022'!X56)</f>
        <v>371211</v>
      </c>
      <c r="Y56" s="159">
        <f>AVERAGE('Costdrivere 2021'!Y56,'Costdrivere 2022'!Y56)</f>
        <v>2961775</v>
      </c>
      <c r="Z56" s="58">
        <f>AVERAGE('Costdrivere 2021'!Z56,'Costdrivere 2022'!Z56)</f>
        <v>24632</v>
      </c>
      <c r="AA56" s="88">
        <f>AVERAGE('Costdrivere 2021'!AA56,'Costdrivere 2022'!AA56)</f>
        <v>0</v>
      </c>
      <c r="AB56" s="88">
        <f>AVERAGE('Costdrivere 2021'!AB56,'Costdrivere 2022'!AB56)</f>
        <v>1</v>
      </c>
      <c r="AC56" s="58">
        <f>AVERAGE('Costdrivere 2021'!AC56,'Costdrivere 2022'!AC56)</f>
        <v>0</v>
      </c>
      <c r="AD56" s="290">
        <f>AVERAGE('Costdrivere 2021'!AD56,'Costdrivere 2022'!AD56)</f>
        <v>0</v>
      </c>
      <c r="AE56" s="145">
        <f>AVERAGE('Costdrivere 2021'!AE56,'Costdrivere 2022'!AE56)</f>
        <v>0</v>
      </c>
      <c r="AF56" s="58">
        <f>AVERAGE('Costdrivere 2021'!AF56,'Costdrivere 2022'!AF56)</f>
        <v>0</v>
      </c>
      <c r="AG56" s="290">
        <f>AVERAGE('Costdrivere 2021'!AG56,'Costdrivere 2022'!AG56)</f>
        <v>0</v>
      </c>
      <c r="AH56" s="145">
        <f>AVERAGE('Costdrivere 2021'!AH56,'Costdrivere 2022'!AH56)</f>
        <v>0</v>
      </c>
      <c r="AI56" s="88">
        <f>AVERAGE('Costdrivere 2021'!AI56,'Costdrivere 2022'!AI56)</f>
        <v>16050</v>
      </c>
      <c r="AJ56" s="88">
        <f>AVERAGE('Costdrivere 2021'!AJ56,'Costdrivere 2022'!AJ56)</f>
        <v>1729555.5</v>
      </c>
      <c r="AK56" s="99" t="str">
        <f>'Costdrivere 2022'!AK56</f>
        <v>t</v>
      </c>
      <c r="AL56" s="150">
        <f>AVERAGE('Costdrivere 2021'!AL56,'Costdrivere 2022'!AL56)</f>
        <v>17002</v>
      </c>
      <c r="AM56" s="48"/>
      <c r="AN56" s="121">
        <f>AVERAGE('Costdrivere 2021'!AN56,'Costdrivere 2022'!AN56)</f>
        <v>1841.2662786691872</v>
      </c>
      <c r="AO56" s="166">
        <f>AVERAGE('Costdrivere 2021'!AO56,'Costdrivere 2022'!AO56)</f>
        <v>88242011.249703825</v>
      </c>
      <c r="AP56" s="118">
        <f>AVERAGE('Costdrivere 2021'!AP56,'Costdrivere 2022'!AP56)</f>
        <v>3578519.8800000004</v>
      </c>
      <c r="AQ56" s="203"/>
    </row>
    <row r="57" spans="1:43" x14ac:dyDescent="0.25">
      <c r="A57" s="202" t="s">
        <v>125</v>
      </c>
      <c r="B57" s="202" t="s">
        <v>126</v>
      </c>
      <c r="C57" s="141">
        <f>AVERAGE('Costdrivere 2021'!C57,'Costdrivere 2022'!C57)</f>
        <v>1920176.5005380001</v>
      </c>
      <c r="D57" s="119">
        <f>AVERAGE('Costdrivere 2021'!D57,'Costdrivere 2022'!D57)</f>
        <v>6356872.5024500005</v>
      </c>
      <c r="E57" s="119">
        <f>AVERAGE('Costdrivere 2021'!E57,'Costdrivere 2022'!E57)</f>
        <v>173927.24710000001</v>
      </c>
      <c r="F57" s="119">
        <f>AVERAGE('Costdrivere 2021'!F57,'Costdrivere 2022'!F57)</f>
        <v>25634.748000000003</v>
      </c>
      <c r="G57" s="119">
        <f>AVERAGE('Costdrivere 2021'!G57,'Costdrivere 2022'!G57)</f>
        <v>3519959.3639998762</v>
      </c>
      <c r="H57" s="119">
        <f>AVERAGE('Costdrivere 2021'!H57,'Costdrivere 2022'!H57)</f>
        <v>8589.6209999999992</v>
      </c>
      <c r="I57" s="119">
        <f>AVERAGE('Costdrivere 2021'!I57,'Costdrivere 2022'!I57)</f>
        <v>845759.13797000004</v>
      </c>
      <c r="J57" s="119">
        <f>AVERAGE('Costdrivere 2021'!J57,'Costdrivere 2022'!J57)</f>
        <v>808159.88724500011</v>
      </c>
      <c r="K57" s="119">
        <f>AVERAGE('Costdrivere 2021'!K57,'Costdrivere 2022'!K57)</f>
        <v>1290549.3054708503</v>
      </c>
      <c r="L57" s="159">
        <f>AVERAGE('Costdrivere 2021'!L57,'Costdrivere 2022'!L57)</f>
        <v>2015059.4272823138</v>
      </c>
      <c r="M57" s="292">
        <f>AVERAGE('Costdrivere 2021'!M57,'Costdrivere 2022'!M57)</f>
        <v>3.083817592238591E-2</v>
      </c>
      <c r="N57" s="141">
        <f>AVERAGE('Costdrivere 2021'!N57,'Costdrivere 2022'!N57)</f>
        <v>236.5</v>
      </c>
      <c r="O57" s="119">
        <f>AVERAGE('Costdrivere 2021'!O57,'Costdrivere 2022'!O57)</f>
        <v>370.5</v>
      </c>
      <c r="P57" s="119">
        <f>AVERAGE('Costdrivere 2021'!P57,'Costdrivere 2022'!P57)</f>
        <v>0</v>
      </c>
      <c r="Q57" s="119">
        <f>AVERAGE('Costdrivere 2021'!Q57,'Costdrivere 2022'!Q57)</f>
        <v>0</v>
      </c>
      <c r="R57" s="159">
        <f>AVERAGE('Costdrivere 2021'!R57,'Costdrivere 2022'!R57)</f>
        <v>0.04</v>
      </c>
      <c r="S57" s="141">
        <f>AVERAGE('Costdrivere 2021'!S57,'Costdrivere 2022'!S57)</f>
        <v>0</v>
      </c>
      <c r="T57" s="119">
        <f>AVERAGE('Costdrivere 2021'!T57,'Costdrivere 2022'!T57)</f>
        <v>324.5</v>
      </c>
      <c r="U57" s="119">
        <f>AVERAGE('Costdrivere 2021'!U57,'Costdrivere 2022'!U57)</f>
        <v>62</v>
      </c>
      <c r="V57" s="119">
        <f>AVERAGE('Costdrivere 2021'!V57,'Costdrivere 2022'!V57)</f>
        <v>4153</v>
      </c>
      <c r="W57" s="159">
        <f>AVERAGE('Costdrivere 2021'!W57,'Costdrivere 2022'!W57)</f>
        <v>0</v>
      </c>
      <c r="X57" s="58">
        <f>AVERAGE('Costdrivere 2021'!X57,'Costdrivere 2022'!X57)</f>
        <v>39278</v>
      </c>
      <c r="Y57" s="159">
        <f>AVERAGE('Costdrivere 2021'!Y57,'Costdrivere 2022'!Y57)</f>
        <v>45473</v>
      </c>
      <c r="Z57" s="58">
        <f>AVERAGE('Costdrivere 2021'!Z57,'Costdrivere 2022'!Z57)</f>
        <v>4188</v>
      </c>
      <c r="AA57" s="88">
        <f>AVERAGE('Costdrivere 2021'!AA57,'Costdrivere 2022'!AA57)</f>
        <v>3519959.3639998762</v>
      </c>
      <c r="AB57" s="88">
        <f>AVERAGE('Costdrivere 2021'!AB57,'Costdrivere 2022'!AB57)</f>
        <v>3</v>
      </c>
      <c r="AC57" s="58">
        <f>AVERAGE('Costdrivere 2021'!AC57,'Costdrivere 2022'!AC57)</f>
        <v>385.1</v>
      </c>
      <c r="AD57" s="290">
        <f>AVERAGE('Costdrivere 2021'!AD57,'Costdrivere 2022'!AD57)</f>
        <v>0</v>
      </c>
      <c r="AE57" s="145">
        <f>AVERAGE('Costdrivere 2021'!AE57,'Costdrivere 2022'!AE57)</f>
        <v>0</v>
      </c>
      <c r="AF57" s="58">
        <f>AVERAGE('Costdrivere 2021'!AF57,'Costdrivere 2022'!AF57)</f>
        <v>292.60000000000002</v>
      </c>
      <c r="AG57" s="290">
        <f>AVERAGE('Costdrivere 2021'!AG57,'Costdrivere 2022'!AG57)</f>
        <v>0</v>
      </c>
      <c r="AH57" s="145">
        <f>AVERAGE('Costdrivere 2021'!AH57,'Costdrivere 2022'!AH57)</f>
        <v>92.15</v>
      </c>
      <c r="AI57" s="88">
        <f>AVERAGE('Costdrivere 2021'!AI57,'Costdrivere 2022'!AI57)</f>
        <v>10999</v>
      </c>
      <c r="AJ57" s="88">
        <f>AVERAGE('Costdrivere 2021'!AJ57,'Costdrivere 2022'!AJ57)</f>
        <v>1071602</v>
      </c>
      <c r="AK57" s="99" t="str">
        <f>'Costdrivere 2022'!AK57</f>
        <v>t+r</v>
      </c>
      <c r="AL57" s="150">
        <f>AVERAGE('Costdrivere 2021'!AL57,'Costdrivere 2022'!AL57)</f>
        <v>13900</v>
      </c>
      <c r="AM57" s="48"/>
      <c r="AN57" s="121">
        <f>AVERAGE('Costdrivere 2021'!AN57,'Costdrivere 2022'!AN57)</f>
        <v>2315214.532207631</v>
      </c>
      <c r="AO57" s="166">
        <f>AVERAGE('Costdrivere 2021'!AO57,'Costdrivere 2022'!AO57)</f>
        <v>40790171.33458928</v>
      </c>
      <c r="AP57" s="118">
        <f>AVERAGE('Costdrivere 2021'!AP57,'Costdrivere 2022'!AP57)</f>
        <v>523494.95983827685</v>
      </c>
      <c r="AQ57" s="203"/>
    </row>
    <row r="58" spans="1:43" x14ac:dyDescent="0.25">
      <c r="A58" s="202" t="s">
        <v>127</v>
      </c>
      <c r="B58" s="202" t="s">
        <v>128</v>
      </c>
      <c r="C58" s="141">
        <f>AVERAGE('Costdrivere 2021'!C58,'Costdrivere 2022'!C58)</f>
        <v>8017235.064367</v>
      </c>
      <c r="D58" s="119">
        <f>AVERAGE('Costdrivere 2021'!D58,'Costdrivere 2022'!D58)</f>
        <v>15368201.295700001</v>
      </c>
      <c r="E58" s="119">
        <f>AVERAGE('Costdrivere 2021'!E58,'Costdrivere 2022'!E58)</f>
        <v>988512.69570000004</v>
      </c>
      <c r="F58" s="119">
        <f>AVERAGE('Costdrivere 2021'!F58,'Costdrivere 2022'!F58)</f>
        <v>284338.81300000002</v>
      </c>
      <c r="G58" s="119">
        <f>AVERAGE('Costdrivere 2021'!G58,'Costdrivere 2022'!G58)</f>
        <v>15994111.19793205</v>
      </c>
      <c r="H58" s="119">
        <f>AVERAGE('Costdrivere 2021'!H58,'Costdrivere 2022'!H58)</f>
        <v>100212.245</v>
      </c>
      <c r="I58" s="119">
        <f>AVERAGE('Costdrivere 2021'!I58,'Costdrivere 2022'!I58)</f>
        <v>3317070.0241</v>
      </c>
      <c r="J58" s="119">
        <f>AVERAGE('Costdrivere 2021'!J58,'Costdrivere 2022'!J58)</f>
        <v>584771.01809999999</v>
      </c>
      <c r="K58" s="119">
        <f>AVERAGE('Costdrivere 2021'!K58,'Costdrivere 2022'!K58)</f>
        <v>2030826.838694185</v>
      </c>
      <c r="L58" s="159">
        <f>AVERAGE('Costdrivere 2021'!L58,'Costdrivere 2022'!L58)</f>
        <v>8065686.7929813545</v>
      </c>
      <c r="M58" s="292">
        <f>AVERAGE('Costdrivere 2021'!M58,'Costdrivere 2022'!M58)</f>
        <v>3.3747055265732892E-2</v>
      </c>
      <c r="N58" s="141">
        <f>AVERAGE('Costdrivere 2021'!N58,'Costdrivere 2022'!N58)</f>
        <v>816.28500000000008</v>
      </c>
      <c r="O58" s="119">
        <f>AVERAGE('Costdrivere 2021'!O58,'Costdrivere 2022'!O58)</f>
        <v>1239.9050000000002</v>
      </c>
      <c r="P58" s="119">
        <f>AVERAGE('Costdrivere 2021'!P58,'Costdrivere 2022'!P58)</f>
        <v>88.424999999999997</v>
      </c>
      <c r="Q58" s="119">
        <f>AVERAGE('Costdrivere 2021'!Q58,'Costdrivere 2022'!Q58)</f>
        <v>0</v>
      </c>
      <c r="R58" s="159">
        <f>AVERAGE('Costdrivere 2021'!R58,'Costdrivere 2022'!R58)</f>
        <v>0.67</v>
      </c>
      <c r="S58" s="141">
        <f>AVERAGE('Costdrivere 2021'!S58,'Costdrivere 2022'!S58)</f>
        <v>1696</v>
      </c>
      <c r="T58" s="119">
        <f>AVERAGE('Costdrivere 2021'!T58,'Costdrivere 2022'!T58)</f>
        <v>162</v>
      </c>
      <c r="U58" s="119">
        <f>AVERAGE('Costdrivere 2021'!U58,'Costdrivere 2022'!U58)</f>
        <v>195</v>
      </c>
      <c r="V58" s="119">
        <f>AVERAGE('Costdrivere 2021'!V58,'Costdrivere 2022'!V58)</f>
        <v>9194</v>
      </c>
      <c r="W58" s="159">
        <f>AVERAGE('Costdrivere 2021'!W58,'Costdrivere 2022'!W58)</f>
        <v>6000</v>
      </c>
      <c r="X58" s="58">
        <f>AVERAGE('Costdrivere 2021'!X58,'Costdrivere 2022'!X58)</f>
        <v>124508</v>
      </c>
      <c r="Y58" s="159">
        <f>AVERAGE('Costdrivere 2021'!Y58,'Costdrivere 2022'!Y58)</f>
        <v>316351</v>
      </c>
      <c r="Z58" s="58">
        <f>AVERAGE('Costdrivere 2021'!Z58,'Costdrivere 2022'!Z58)</f>
        <v>46453</v>
      </c>
      <c r="AA58" s="88">
        <f>AVERAGE('Costdrivere 2021'!AA58,'Costdrivere 2022'!AA58)</f>
        <v>15994111.19793205</v>
      </c>
      <c r="AB58" s="88">
        <f>AVERAGE('Costdrivere 2021'!AB58,'Costdrivere 2022'!AB58)</f>
        <v>35</v>
      </c>
      <c r="AC58" s="58">
        <f>AVERAGE('Costdrivere 2021'!AC58,'Costdrivere 2022'!AC58)</f>
        <v>249</v>
      </c>
      <c r="AD58" s="290">
        <f>AVERAGE('Costdrivere 2021'!AD58,'Costdrivere 2022'!AD58)</f>
        <v>3177</v>
      </c>
      <c r="AE58" s="145">
        <f>AVERAGE('Costdrivere 2021'!AE58,'Costdrivere 2022'!AE58)</f>
        <v>43</v>
      </c>
      <c r="AF58" s="58">
        <f>AVERAGE('Costdrivere 2021'!AF58,'Costdrivere 2022'!AF58)</f>
        <v>249</v>
      </c>
      <c r="AG58" s="290">
        <f>AVERAGE('Costdrivere 2021'!AG58,'Costdrivere 2022'!AG58)</f>
        <v>0</v>
      </c>
      <c r="AH58" s="145">
        <f>AVERAGE('Costdrivere 2021'!AH58,'Costdrivere 2022'!AH58)</f>
        <v>0</v>
      </c>
      <c r="AI58" s="88">
        <f>AVERAGE('Costdrivere 2021'!AI58,'Costdrivere 2022'!AI58)</f>
        <v>34741.5</v>
      </c>
      <c r="AJ58" s="88">
        <f>AVERAGE('Costdrivere 2021'!AJ58,'Costdrivere 2022'!AJ58)</f>
        <v>4380234.5</v>
      </c>
      <c r="AK58" s="99" t="str">
        <f>'Costdrivere 2022'!AK58</f>
        <v>t+r</v>
      </c>
      <c r="AL58" s="150">
        <f>AVERAGE('Costdrivere 2021'!AL58,'Costdrivere 2022'!AL58)</f>
        <v>54426</v>
      </c>
      <c r="AM58" s="48"/>
      <c r="AN58" s="121">
        <f>AVERAGE('Costdrivere 2021'!AN58,'Costdrivere 2022'!AN58)</f>
        <v>12491653.5252138</v>
      </c>
      <c r="AO58" s="166">
        <f>AVERAGE('Costdrivere 2021'!AO58,'Costdrivere 2022'!AO58)</f>
        <v>178105735.63583332</v>
      </c>
      <c r="AP58" s="118">
        <f>AVERAGE('Costdrivere 2021'!AP58,'Costdrivere 2022'!AP58)</f>
        <v>2190840</v>
      </c>
      <c r="AQ58" s="203"/>
    </row>
    <row r="59" spans="1:43" x14ac:dyDescent="0.25">
      <c r="A59" s="202" t="s">
        <v>129</v>
      </c>
      <c r="B59" s="202" t="s">
        <v>130</v>
      </c>
      <c r="C59" s="141">
        <f>AVERAGE('Costdrivere 2021'!C59,'Costdrivere 2022'!C59)</f>
        <v>4005169.4082999998</v>
      </c>
      <c r="D59" s="119">
        <f>AVERAGE('Costdrivere 2021'!D59,'Costdrivere 2022'!D59)</f>
        <v>6771093.4891499998</v>
      </c>
      <c r="E59" s="119">
        <f>AVERAGE('Costdrivere 2021'!E59,'Costdrivere 2022'!E59)</f>
        <v>1001764.8483500001</v>
      </c>
      <c r="F59" s="119">
        <f>AVERAGE('Costdrivere 2021'!F59,'Costdrivere 2022'!F59)</f>
        <v>49886.15</v>
      </c>
      <c r="G59" s="119">
        <f>AVERAGE('Costdrivere 2021'!G59,'Costdrivere 2022'!G59)</f>
        <v>10772148.366267022</v>
      </c>
      <c r="H59" s="119">
        <f>AVERAGE('Costdrivere 2021'!H59,'Costdrivere 2022'!H59)</f>
        <v>71580.175000000003</v>
      </c>
      <c r="I59" s="119">
        <f>AVERAGE('Costdrivere 2021'!I59,'Costdrivere 2022'!I59)</f>
        <v>1533764.7899</v>
      </c>
      <c r="J59" s="119">
        <f>AVERAGE('Costdrivere 2021'!J59,'Costdrivere 2022'!J59)</f>
        <v>3076386.4683999997</v>
      </c>
      <c r="K59" s="119">
        <f>AVERAGE('Costdrivere 2021'!K59,'Costdrivere 2022'!K59)</f>
        <v>1565402.7448426282</v>
      </c>
      <c r="L59" s="159">
        <f>AVERAGE('Costdrivere 2021'!L59,'Costdrivere 2022'!L59)</f>
        <v>7398996.273956975</v>
      </c>
      <c r="M59" s="292">
        <f>AVERAGE('Costdrivere 2021'!M59,'Costdrivere 2022'!M59)</f>
        <v>3.936851736049074E-2</v>
      </c>
      <c r="N59" s="141">
        <f>AVERAGE('Costdrivere 2021'!N59,'Costdrivere 2022'!N59)</f>
        <v>244</v>
      </c>
      <c r="O59" s="119">
        <f>AVERAGE('Costdrivere 2021'!O59,'Costdrivere 2022'!O59)</f>
        <v>667.5</v>
      </c>
      <c r="P59" s="119">
        <f>AVERAGE('Costdrivere 2021'!P59,'Costdrivere 2022'!P59)</f>
        <v>27.5</v>
      </c>
      <c r="Q59" s="119">
        <f>AVERAGE('Costdrivere 2021'!Q59,'Costdrivere 2022'!Q59)</f>
        <v>0</v>
      </c>
      <c r="R59" s="159">
        <f>AVERAGE('Costdrivere 2021'!R59,'Costdrivere 2022'!R59)</f>
        <v>2</v>
      </c>
      <c r="S59" s="141">
        <f>AVERAGE('Costdrivere 2021'!S59,'Costdrivere 2022'!S59)</f>
        <v>191</v>
      </c>
      <c r="T59" s="119">
        <f>AVERAGE('Costdrivere 2021'!T59,'Costdrivere 2022'!T59)</f>
        <v>16</v>
      </c>
      <c r="U59" s="119">
        <f>AVERAGE('Costdrivere 2021'!U59,'Costdrivere 2022'!U59)</f>
        <v>194.5</v>
      </c>
      <c r="V59" s="119">
        <f>AVERAGE('Costdrivere 2021'!V59,'Costdrivere 2022'!V59)</f>
        <v>1548</v>
      </c>
      <c r="W59" s="159">
        <f>AVERAGE('Costdrivere 2021'!W59,'Costdrivere 2022'!W59)</f>
        <v>4830</v>
      </c>
      <c r="X59" s="58">
        <f>AVERAGE('Costdrivere 2021'!X59,'Costdrivere 2022'!X59)</f>
        <v>121440</v>
      </c>
      <c r="Y59" s="159">
        <f>AVERAGE('Costdrivere 2021'!Y59,'Costdrivere 2022'!Y59)</f>
        <v>323370.5</v>
      </c>
      <c r="Z59" s="58">
        <f>AVERAGE('Costdrivere 2021'!Z59,'Costdrivere 2022'!Z59)</f>
        <v>8150</v>
      </c>
      <c r="AA59" s="88">
        <f>AVERAGE('Costdrivere 2021'!AA59,'Costdrivere 2022'!AA59)</f>
        <v>10772148.366267022</v>
      </c>
      <c r="AB59" s="88">
        <f>AVERAGE('Costdrivere 2021'!AB59,'Costdrivere 2022'!AB59)</f>
        <v>25</v>
      </c>
      <c r="AC59" s="58">
        <f>AVERAGE('Costdrivere 2021'!AC59,'Costdrivere 2022'!AC59)</f>
        <v>0</v>
      </c>
      <c r="AD59" s="290">
        <f>AVERAGE('Costdrivere 2021'!AD59,'Costdrivere 2022'!AD59)</f>
        <v>1036</v>
      </c>
      <c r="AE59" s="145">
        <f>AVERAGE('Costdrivere 2021'!AE59,'Costdrivere 2022'!AE59)</f>
        <v>0</v>
      </c>
      <c r="AF59" s="58">
        <f>AVERAGE('Costdrivere 2021'!AF59,'Costdrivere 2022'!AF59)</f>
        <v>160</v>
      </c>
      <c r="AG59" s="290">
        <f>AVERAGE('Costdrivere 2021'!AG59,'Costdrivere 2022'!AG59)</f>
        <v>876</v>
      </c>
      <c r="AH59" s="145">
        <f>AVERAGE('Costdrivere 2021'!AH59,'Costdrivere 2022'!AH59)</f>
        <v>0</v>
      </c>
      <c r="AI59" s="88">
        <f>AVERAGE('Costdrivere 2021'!AI59,'Costdrivere 2022'!AI59)</f>
        <v>17950</v>
      </c>
      <c r="AJ59" s="88">
        <f>AVERAGE('Costdrivere 2021'!AJ59,'Costdrivere 2022'!AJ59)</f>
        <v>4012939.5</v>
      </c>
      <c r="AK59" s="99" t="str">
        <f>'Costdrivere 2022'!AK59</f>
        <v>t+r</v>
      </c>
      <c r="AL59" s="150">
        <f>AVERAGE('Costdrivere 2021'!AL59,'Costdrivere 2022'!AL59)</f>
        <v>22814</v>
      </c>
      <c r="AM59" s="48"/>
      <c r="AN59" s="121">
        <f>AVERAGE('Costdrivere 2021'!AN59,'Costdrivere 2022'!AN59)</f>
        <v>10264348.06202307</v>
      </c>
      <c r="AO59" s="166">
        <f>AVERAGE('Costdrivere 2021'!AO59,'Costdrivere 2022'!AO59)</f>
        <v>82537805.390000001</v>
      </c>
      <c r="AP59" s="118">
        <f>AVERAGE('Costdrivere 2021'!AP59,'Costdrivere 2022'!AP59)</f>
        <v>1481538.9866666666</v>
      </c>
      <c r="AQ59" s="203"/>
    </row>
    <row r="60" spans="1:43" x14ac:dyDescent="0.25">
      <c r="A60" s="202" t="s">
        <v>131</v>
      </c>
      <c r="B60" s="202" t="s">
        <v>132</v>
      </c>
      <c r="C60" s="141">
        <f>AVERAGE('Costdrivere 2021'!C60,'Costdrivere 2022'!C60)</f>
        <v>2252058.818345</v>
      </c>
      <c r="D60" s="119">
        <f>AVERAGE('Costdrivere 2021'!D60,'Costdrivere 2022'!D60)</f>
        <v>3347066.0168000003</v>
      </c>
      <c r="E60" s="119">
        <f>AVERAGE('Costdrivere 2021'!E60,'Costdrivere 2022'!E60)</f>
        <v>87271.925199999998</v>
      </c>
      <c r="F60" s="119">
        <f>AVERAGE('Costdrivere 2021'!F60,'Costdrivere 2022'!F60)</f>
        <v>97268.811000000002</v>
      </c>
      <c r="G60" s="119">
        <f>AVERAGE('Costdrivere 2021'!G60,'Costdrivere 2022'!G60)</f>
        <v>5856829.525286491</v>
      </c>
      <c r="H60" s="119">
        <f>AVERAGE('Costdrivere 2021'!H60,'Costdrivere 2022'!H60)</f>
        <v>8589.6209999999992</v>
      </c>
      <c r="I60" s="119">
        <f>AVERAGE('Costdrivere 2021'!I60,'Costdrivere 2022'!I60)</f>
        <v>938872.78535000002</v>
      </c>
      <c r="J60" s="119">
        <f>AVERAGE('Costdrivere 2021'!J60,'Costdrivere 2022'!J60)</f>
        <v>955511.55374999996</v>
      </c>
      <c r="K60" s="119">
        <f>AVERAGE('Costdrivere 2021'!K60,'Costdrivere 2022'!K60)</f>
        <v>1292489.8198517065</v>
      </c>
      <c r="L60" s="159">
        <f>AVERAGE('Costdrivere 2021'!L60,'Costdrivere 2022'!L60)</f>
        <v>2026972.3174741082</v>
      </c>
      <c r="M60" s="292">
        <f>AVERAGE('Costdrivere 2021'!M60,'Costdrivere 2022'!M60)</f>
        <v>2.5283474919093853E-2</v>
      </c>
      <c r="N60" s="141">
        <f>AVERAGE('Costdrivere 2021'!N60,'Costdrivere 2022'!N60)</f>
        <v>303</v>
      </c>
      <c r="O60" s="119">
        <f>AVERAGE('Costdrivere 2021'!O60,'Costdrivere 2022'!O60)</f>
        <v>322.64999999999998</v>
      </c>
      <c r="P60" s="119">
        <f>AVERAGE('Costdrivere 2021'!P60,'Costdrivere 2022'!P60)</f>
        <v>0</v>
      </c>
      <c r="Q60" s="119">
        <f>AVERAGE('Costdrivere 2021'!Q60,'Costdrivere 2022'!Q60)</f>
        <v>0</v>
      </c>
      <c r="R60" s="159">
        <f>AVERAGE('Costdrivere 2021'!R60,'Costdrivere 2022'!R60)</f>
        <v>1.3</v>
      </c>
      <c r="S60" s="141">
        <f>AVERAGE('Costdrivere 2021'!S60,'Costdrivere 2022'!S60)</f>
        <v>63</v>
      </c>
      <c r="T60" s="119">
        <f>AVERAGE('Costdrivere 2021'!T60,'Costdrivere 2022'!T60)</f>
        <v>32</v>
      </c>
      <c r="U60" s="119">
        <f>AVERAGE('Costdrivere 2021'!U60,'Costdrivere 2022'!U60)</f>
        <v>83</v>
      </c>
      <c r="V60" s="119">
        <f>AVERAGE('Costdrivere 2021'!V60,'Costdrivere 2022'!V60)</f>
        <v>2791</v>
      </c>
      <c r="W60" s="159">
        <f>AVERAGE('Costdrivere 2021'!W60,'Costdrivere 2022'!W60)</f>
        <v>0</v>
      </c>
      <c r="X60" s="58">
        <f>AVERAGE('Costdrivere 2021'!X60,'Costdrivere 2022'!X60)</f>
        <v>22967</v>
      </c>
      <c r="Y60" s="159">
        <f>AVERAGE('Costdrivere 2021'!Y60,'Costdrivere 2022'!Y60)</f>
        <v>20906</v>
      </c>
      <c r="Z60" s="58">
        <f>AVERAGE('Costdrivere 2021'!Z60,'Costdrivere 2022'!Z60)</f>
        <v>15891</v>
      </c>
      <c r="AA60" s="88">
        <f>AVERAGE('Costdrivere 2021'!AA60,'Costdrivere 2022'!AA60)</f>
        <v>5856829.525286491</v>
      </c>
      <c r="AB60" s="88">
        <f>AVERAGE('Costdrivere 2021'!AB60,'Costdrivere 2022'!AB60)</f>
        <v>3</v>
      </c>
      <c r="AC60" s="58">
        <f>AVERAGE('Costdrivere 2021'!AC60,'Costdrivere 2022'!AC60)</f>
        <v>720.5</v>
      </c>
      <c r="AD60" s="290">
        <f>AVERAGE('Costdrivere 2021'!AD60,'Costdrivere 2022'!AD60)</f>
        <v>0</v>
      </c>
      <c r="AE60" s="145">
        <f>AVERAGE('Costdrivere 2021'!AE60,'Costdrivere 2022'!AE60)</f>
        <v>0</v>
      </c>
      <c r="AF60" s="58">
        <f>AVERAGE('Costdrivere 2021'!AF60,'Costdrivere 2022'!AF60)</f>
        <v>556.5</v>
      </c>
      <c r="AG60" s="290">
        <f>AVERAGE('Costdrivere 2021'!AG60,'Costdrivere 2022'!AG60)</f>
        <v>21.75</v>
      </c>
      <c r="AH60" s="145">
        <f>AVERAGE('Costdrivere 2021'!AH60,'Costdrivere 2022'!AH60)</f>
        <v>0</v>
      </c>
      <c r="AI60" s="88">
        <f>AVERAGE('Costdrivere 2021'!AI60,'Costdrivere 2022'!AI60)</f>
        <v>11041</v>
      </c>
      <c r="AJ60" s="88">
        <f>AVERAGE('Costdrivere 2021'!AJ60,'Costdrivere 2022'!AJ60)</f>
        <v>1078036</v>
      </c>
      <c r="AK60" s="99" t="str">
        <f>'Costdrivere 2022'!AK60</f>
        <v>t+r</v>
      </c>
      <c r="AL60" s="150">
        <f>AVERAGE('Costdrivere 2021'!AL60,'Costdrivere 2022'!AL60)</f>
        <v>11685</v>
      </c>
      <c r="AM60" s="48"/>
      <c r="AN60" s="121">
        <f>AVERAGE('Costdrivere 2021'!AN60,'Costdrivere 2022'!AN60)</f>
        <v>4707296.6791277658</v>
      </c>
      <c r="AO60" s="166">
        <f>AVERAGE('Costdrivere 2021'!AO60,'Costdrivere 2022'!AO60)</f>
        <v>43552966.318060003</v>
      </c>
      <c r="AP60" s="118">
        <f>AVERAGE('Costdrivere 2021'!AP60,'Costdrivere 2022'!AP60)</f>
        <v>2122595.7733333334</v>
      </c>
      <c r="AQ60" s="203"/>
    </row>
    <row r="61" spans="1:43" x14ac:dyDescent="0.25">
      <c r="A61" s="202" t="s">
        <v>133</v>
      </c>
      <c r="B61" s="202" t="s">
        <v>134</v>
      </c>
      <c r="C61" s="141">
        <f>AVERAGE('Costdrivere 2021'!C61,'Costdrivere 2022'!C61)</f>
        <v>1982527.6764549999</v>
      </c>
      <c r="D61" s="119">
        <f>AVERAGE('Costdrivere 2021'!D61,'Costdrivere 2022'!D61)</f>
        <v>5681488.5529000005</v>
      </c>
      <c r="E61" s="119">
        <f>AVERAGE('Costdrivere 2021'!E61,'Costdrivere 2022'!E61)</f>
        <v>206090.921</v>
      </c>
      <c r="F61" s="119">
        <f>AVERAGE('Costdrivere 2021'!F61,'Costdrivere 2022'!F61)</f>
        <v>4376.5150000000003</v>
      </c>
      <c r="G61" s="119">
        <f>AVERAGE('Costdrivere 2021'!G61,'Costdrivere 2022'!G61)</f>
        <v>10278431.602570254</v>
      </c>
      <c r="H61" s="119">
        <f>AVERAGE('Costdrivere 2021'!H61,'Costdrivere 2022'!H61)</f>
        <v>51537.725999999995</v>
      </c>
      <c r="I61" s="119">
        <f>AVERAGE('Costdrivere 2021'!I61,'Costdrivere 2022'!I61)</f>
        <v>937207.06715000002</v>
      </c>
      <c r="J61" s="119">
        <f>AVERAGE('Costdrivere 2021'!J61,'Costdrivere 2022'!J61)</f>
        <v>1049019.0558500001</v>
      </c>
      <c r="K61" s="119">
        <f>AVERAGE('Costdrivere 2021'!K61,'Costdrivere 2022'!K61)</f>
        <v>1327921.2031691929</v>
      </c>
      <c r="L61" s="159">
        <f>AVERAGE('Costdrivere 2021'!L61,'Costdrivere 2022'!L61)</f>
        <v>2398915.6978363576</v>
      </c>
      <c r="M61" s="292">
        <f>AVERAGE('Costdrivere 2021'!M61,'Costdrivere 2022'!M61)</f>
        <v>2.7858168506460106E-2</v>
      </c>
      <c r="N61" s="141">
        <f>AVERAGE('Costdrivere 2021'!N61,'Costdrivere 2022'!N61)</f>
        <v>340.27</v>
      </c>
      <c r="O61" s="119">
        <f>AVERAGE('Costdrivere 2021'!O61,'Costdrivere 2022'!O61)</f>
        <v>324.67</v>
      </c>
      <c r="P61" s="119">
        <f>AVERAGE('Costdrivere 2021'!P61,'Costdrivere 2022'!P61)</f>
        <v>0</v>
      </c>
      <c r="Q61" s="119">
        <f>AVERAGE('Costdrivere 2021'!Q61,'Costdrivere 2022'!Q61)</f>
        <v>0</v>
      </c>
      <c r="R61" s="159">
        <f>AVERAGE('Costdrivere 2021'!R61,'Costdrivere 2022'!R61)</f>
        <v>0</v>
      </c>
      <c r="S61" s="141">
        <f>AVERAGE('Costdrivere 2021'!S61,'Costdrivere 2022'!S61)</f>
        <v>154</v>
      </c>
      <c r="T61" s="119">
        <f>AVERAGE('Costdrivere 2021'!T61,'Costdrivere 2022'!T61)</f>
        <v>65</v>
      </c>
      <c r="U61" s="119">
        <f>AVERAGE('Costdrivere 2021'!U61,'Costdrivere 2022'!U61)</f>
        <v>174</v>
      </c>
      <c r="V61" s="119">
        <f>AVERAGE('Costdrivere 2021'!V61,'Costdrivere 2022'!V61)</f>
        <v>1500</v>
      </c>
      <c r="W61" s="159">
        <f>AVERAGE('Costdrivere 2021'!W61,'Costdrivere 2022'!W61)</f>
        <v>0</v>
      </c>
      <c r="X61" s="58">
        <f>AVERAGE('Costdrivere 2021'!X61,'Costdrivere 2022'!X61)</f>
        <v>70500</v>
      </c>
      <c r="Y61" s="159">
        <f>AVERAGE('Costdrivere 2021'!Y61,'Costdrivere 2022'!Y61)</f>
        <v>39830</v>
      </c>
      <c r="Z61" s="58">
        <f>AVERAGE('Costdrivere 2021'!Z61,'Costdrivere 2022'!Z61)</f>
        <v>715</v>
      </c>
      <c r="AA61" s="88">
        <f>AVERAGE('Costdrivere 2021'!AA61,'Costdrivere 2022'!AA61)</f>
        <v>10278431.602570254</v>
      </c>
      <c r="AB61" s="88">
        <f>AVERAGE('Costdrivere 2021'!AB61,'Costdrivere 2022'!AB61)</f>
        <v>18</v>
      </c>
      <c r="AC61" s="58">
        <f>AVERAGE('Costdrivere 2021'!AC61,'Costdrivere 2022'!AC61)</f>
        <v>714.5</v>
      </c>
      <c r="AD61" s="290">
        <f>AVERAGE('Costdrivere 2021'!AD61,'Costdrivere 2022'!AD61)</f>
        <v>0</v>
      </c>
      <c r="AE61" s="145">
        <f>AVERAGE('Costdrivere 2021'!AE61,'Costdrivere 2022'!AE61)</f>
        <v>0</v>
      </c>
      <c r="AF61" s="58">
        <f>AVERAGE('Costdrivere 2021'!AF61,'Costdrivere 2022'!AF61)</f>
        <v>714.5</v>
      </c>
      <c r="AG61" s="290">
        <f>AVERAGE('Costdrivere 2021'!AG61,'Costdrivere 2022'!AG61)</f>
        <v>0</v>
      </c>
      <c r="AH61" s="145">
        <f>AVERAGE('Costdrivere 2021'!AH61,'Costdrivere 2022'!AH61)</f>
        <v>0</v>
      </c>
      <c r="AI61" s="88">
        <f>AVERAGE('Costdrivere 2021'!AI61,'Costdrivere 2022'!AI61)</f>
        <v>11825</v>
      </c>
      <c r="AJ61" s="88">
        <f>AVERAGE('Costdrivere 2021'!AJ61,'Costdrivere 2022'!AJ61)</f>
        <v>1279128</v>
      </c>
      <c r="AK61" s="99" t="str">
        <f>'Costdrivere 2022'!AK61</f>
        <v>t+r</v>
      </c>
      <c r="AL61" s="150">
        <f>AVERAGE('Costdrivere 2021'!AL61,'Costdrivere 2022'!AL61)</f>
        <v>13000</v>
      </c>
      <c r="AM61" s="48"/>
      <c r="AN61" s="121">
        <f>AVERAGE('Costdrivere 2021'!AN61,'Costdrivere 2022'!AN61)</f>
        <v>9103396.00211454</v>
      </c>
      <c r="AO61" s="166">
        <f>AVERAGE('Costdrivere 2021'!AO61,'Costdrivere 2022'!AO61)</f>
        <v>41459873.666666672</v>
      </c>
      <c r="AP61" s="118">
        <f>AVERAGE('Costdrivere 2021'!AP61,'Costdrivere 2022'!AP61)</f>
        <v>992468.00000000012</v>
      </c>
      <c r="AQ61" s="203"/>
    </row>
    <row r="62" spans="1:43" x14ac:dyDescent="0.25">
      <c r="A62" s="202" t="s">
        <v>135</v>
      </c>
      <c r="B62" s="202" t="s">
        <v>136</v>
      </c>
      <c r="C62" s="141">
        <f>AVERAGE('Costdrivere 2021'!C62,'Costdrivere 2022'!C62)</f>
        <v>4060701.8855170002</v>
      </c>
      <c r="D62" s="119">
        <f>AVERAGE('Costdrivere 2021'!D62,'Costdrivere 2022'!D62)</f>
        <v>13976325.50685</v>
      </c>
      <c r="E62" s="119">
        <f>AVERAGE('Costdrivere 2021'!E62,'Costdrivere 2022'!E62)</f>
        <v>102604.13264999999</v>
      </c>
      <c r="F62" s="119">
        <f>AVERAGE('Costdrivere 2021'!F62,'Costdrivere 2022'!F62)</f>
        <v>205065.74200000003</v>
      </c>
      <c r="G62" s="119">
        <f>AVERAGE('Costdrivere 2021'!G62,'Costdrivere 2022'!G62)</f>
        <v>11206551.200670883</v>
      </c>
      <c r="H62" s="119">
        <f>AVERAGE('Costdrivere 2021'!H62,'Costdrivere 2022'!H62)</f>
        <v>8589.6209999999992</v>
      </c>
      <c r="I62" s="119">
        <f>AVERAGE('Costdrivere 2021'!I62,'Costdrivere 2022'!I62)</f>
        <v>1425076.9414145001</v>
      </c>
      <c r="J62" s="119">
        <f>AVERAGE('Costdrivere 2021'!J62,'Costdrivere 2022'!J62)</f>
        <v>1506580.7028699999</v>
      </c>
      <c r="K62" s="119">
        <f>AVERAGE('Costdrivere 2021'!K62,'Costdrivere 2022'!K62)</f>
        <v>1618678.8385656043</v>
      </c>
      <c r="L62" s="159">
        <f>AVERAGE('Costdrivere 2021'!L62,'Costdrivere 2022'!L62)</f>
        <v>4832915.0122924391</v>
      </c>
      <c r="M62" s="292">
        <f>AVERAGE('Costdrivere 2021'!M62,'Costdrivere 2022'!M62)</f>
        <v>2.089201285393618E-2</v>
      </c>
      <c r="N62" s="141">
        <f>AVERAGE('Costdrivere 2021'!N62,'Costdrivere 2022'!N62)</f>
        <v>702.0150000000001</v>
      </c>
      <c r="O62" s="119">
        <f>AVERAGE('Costdrivere 2021'!O62,'Costdrivere 2022'!O62)</f>
        <v>491.63</v>
      </c>
      <c r="P62" s="119">
        <f>AVERAGE('Costdrivere 2021'!P62,'Costdrivere 2022'!P62)</f>
        <v>0</v>
      </c>
      <c r="Q62" s="119">
        <f>AVERAGE('Costdrivere 2021'!Q62,'Costdrivere 2022'!Q62)</f>
        <v>0</v>
      </c>
      <c r="R62" s="159">
        <f>AVERAGE('Costdrivere 2021'!R62,'Costdrivere 2022'!R62)</f>
        <v>2.23</v>
      </c>
      <c r="S62" s="141">
        <f>AVERAGE('Costdrivere 2021'!S62,'Costdrivere 2022'!S62)</f>
        <v>439</v>
      </c>
      <c r="T62" s="119">
        <f>AVERAGE('Costdrivere 2021'!T62,'Costdrivere 2022'!T62)</f>
        <v>299</v>
      </c>
      <c r="U62" s="119">
        <f>AVERAGE('Costdrivere 2021'!U62,'Costdrivere 2022'!U62)</f>
        <v>336</v>
      </c>
      <c r="V62" s="119">
        <f>AVERAGE('Costdrivere 2021'!V62,'Costdrivere 2022'!V62)</f>
        <v>5031.5</v>
      </c>
      <c r="W62" s="159">
        <f>AVERAGE('Costdrivere 2021'!W62,'Costdrivere 2022'!W62)</f>
        <v>0</v>
      </c>
      <c r="X62" s="58">
        <f>AVERAGE('Costdrivere 2021'!X62,'Costdrivere 2022'!X62)</f>
        <v>14384</v>
      </c>
      <c r="Y62" s="159">
        <f>AVERAGE('Costdrivere 2021'!Y62,'Costdrivere 2022'!Y62)</f>
        <v>31979.5</v>
      </c>
      <c r="Z62" s="58">
        <f>AVERAGE('Costdrivere 2021'!Z62,'Costdrivere 2022'!Z62)</f>
        <v>33502</v>
      </c>
      <c r="AA62" s="88">
        <f>AVERAGE('Costdrivere 2021'!AA62,'Costdrivere 2022'!AA62)</f>
        <v>11206551.200670883</v>
      </c>
      <c r="AB62" s="88">
        <f>AVERAGE('Costdrivere 2021'!AB62,'Costdrivere 2022'!AB62)</f>
        <v>3</v>
      </c>
      <c r="AC62" s="58">
        <f>AVERAGE('Costdrivere 2021'!AC62,'Costdrivere 2022'!AC62)</f>
        <v>901.78500000000008</v>
      </c>
      <c r="AD62" s="290">
        <f>AVERAGE('Costdrivere 2021'!AD62,'Costdrivere 2022'!AD62)</f>
        <v>0</v>
      </c>
      <c r="AE62" s="145">
        <f>AVERAGE('Costdrivere 2021'!AE62,'Costdrivere 2022'!AE62)</f>
        <v>262.5</v>
      </c>
      <c r="AF62" s="58">
        <f>AVERAGE('Costdrivere 2021'!AF62,'Costdrivere 2022'!AF62)</f>
        <v>479.5</v>
      </c>
      <c r="AG62" s="290">
        <f>AVERAGE('Costdrivere 2021'!AG62,'Costdrivere 2022'!AG62)</f>
        <v>234.89999999999998</v>
      </c>
      <c r="AH62" s="145">
        <f>AVERAGE('Costdrivere 2021'!AH62,'Costdrivere 2022'!AH62)</f>
        <v>0</v>
      </c>
      <c r="AI62" s="88">
        <f>AVERAGE('Costdrivere 2021'!AI62,'Costdrivere 2022'!AI62)</f>
        <v>19540.5</v>
      </c>
      <c r="AJ62" s="88">
        <f>AVERAGE('Costdrivere 2021'!AJ62,'Costdrivere 2022'!AJ62)</f>
        <v>2604362</v>
      </c>
      <c r="AK62" s="99" t="str">
        <f>'Costdrivere 2022'!AK62</f>
        <v>t+r</v>
      </c>
      <c r="AL62" s="150">
        <f>AVERAGE('Costdrivere 2021'!AL62,'Costdrivere 2022'!AL62)</f>
        <v>19348.5</v>
      </c>
      <c r="AM62" s="48"/>
      <c r="AN62" s="121">
        <f>AVERAGE('Costdrivere 2021'!AN62,'Costdrivere 2022'!AN62)</f>
        <v>11027757.134013038</v>
      </c>
      <c r="AO62" s="166">
        <f>AVERAGE('Costdrivere 2021'!AO62,'Costdrivere 2022'!AO62)</f>
        <v>92002488.149999991</v>
      </c>
      <c r="AP62" s="118">
        <f>AVERAGE('Costdrivere 2021'!AP62,'Costdrivere 2022'!AP62)</f>
        <v>699173.33333333326</v>
      </c>
      <c r="AQ62" s="203"/>
    </row>
    <row r="63" spans="1:43" x14ac:dyDescent="0.25">
      <c r="A63" s="202" t="s">
        <v>137</v>
      </c>
      <c r="B63" s="202" t="s">
        <v>138</v>
      </c>
      <c r="C63" s="141">
        <f>AVERAGE('Costdrivere 2021'!C63,'Costdrivere 2022'!C63)</f>
        <v>3019017.6069294997</v>
      </c>
      <c r="D63" s="119">
        <f>AVERAGE('Costdrivere 2021'!D63,'Costdrivere 2022'!D63)</f>
        <v>1073376.4150999999</v>
      </c>
      <c r="E63" s="119">
        <f>AVERAGE('Costdrivere 2021'!E63,'Costdrivere 2022'!E63)</f>
        <v>32622.294999999998</v>
      </c>
      <c r="F63" s="119">
        <f>AVERAGE('Costdrivere 2021'!F63,'Costdrivere 2022'!F63)</f>
        <v>153392.26</v>
      </c>
      <c r="G63" s="119">
        <f>AVERAGE('Costdrivere 2021'!G63,'Costdrivere 2022'!G63)</f>
        <v>0</v>
      </c>
      <c r="H63" s="119">
        <f>AVERAGE('Costdrivere 2021'!H63,'Costdrivere 2022'!H63)</f>
        <v>0</v>
      </c>
      <c r="I63" s="119">
        <f>AVERAGE('Costdrivere 2021'!I63,'Costdrivere 2022'!I63)</f>
        <v>0</v>
      </c>
      <c r="J63" s="119">
        <f>AVERAGE('Costdrivere 2021'!J63,'Costdrivere 2022'!J63)</f>
        <v>0</v>
      </c>
      <c r="K63" s="119">
        <f>AVERAGE('Costdrivere 2021'!K63,'Costdrivere 2022'!K63)</f>
        <v>1316984.3984920015</v>
      </c>
      <c r="L63" s="159">
        <f>AVERAGE('Costdrivere 2021'!L63,'Costdrivere 2022'!L63)</f>
        <v>3866499.5531034479</v>
      </c>
      <c r="M63" s="292">
        <f>AVERAGE('Costdrivere 2021'!M63,'Costdrivere 2022'!M63)</f>
        <v>0.10998630560176872</v>
      </c>
      <c r="N63" s="141">
        <f>AVERAGE('Costdrivere 2021'!N63,'Costdrivere 2022'!N63)</f>
        <v>22.37</v>
      </c>
      <c r="O63" s="119">
        <f>AVERAGE('Costdrivere 2021'!O63,'Costdrivere 2022'!O63)</f>
        <v>333.14499999999998</v>
      </c>
      <c r="P63" s="119">
        <f>AVERAGE('Costdrivere 2021'!P63,'Costdrivere 2022'!P63)</f>
        <v>98.69</v>
      </c>
      <c r="Q63" s="119">
        <f>AVERAGE('Costdrivere 2021'!Q63,'Costdrivere 2022'!Q63)</f>
        <v>0</v>
      </c>
      <c r="R63" s="159">
        <f>AVERAGE('Costdrivere 2021'!R63,'Costdrivere 2022'!R63)</f>
        <v>0.72</v>
      </c>
      <c r="S63" s="141">
        <f>AVERAGE('Costdrivere 2021'!S63,'Costdrivere 2022'!S63)</f>
        <v>2</v>
      </c>
      <c r="T63" s="119">
        <f>AVERAGE('Costdrivere 2021'!T63,'Costdrivere 2022'!T63)</f>
        <v>6</v>
      </c>
      <c r="U63" s="119">
        <f>AVERAGE('Costdrivere 2021'!U63,'Costdrivere 2022'!U63)</f>
        <v>29</v>
      </c>
      <c r="V63" s="119">
        <f>AVERAGE('Costdrivere 2021'!V63,'Costdrivere 2022'!V63)</f>
        <v>1034</v>
      </c>
      <c r="W63" s="159">
        <f>AVERAGE('Costdrivere 2021'!W63,'Costdrivere 2022'!W63)</f>
        <v>0</v>
      </c>
      <c r="X63" s="58">
        <f>AVERAGE('Costdrivere 2021'!X63,'Costdrivere 2022'!X63)</f>
        <v>0</v>
      </c>
      <c r="Y63" s="159">
        <f>AVERAGE('Costdrivere 2021'!Y63,'Costdrivere 2022'!Y63)</f>
        <v>12850</v>
      </c>
      <c r="Z63" s="58">
        <f>AVERAGE('Costdrivere 2021'!Z63,'Costdrivere 2022'!Z63)</f>
        <v>25060</v>
      </c>
      <c r="AA63" s="88">
        <f>AVERAGE('Costdrivere 2021'!AA63,'Costdrivere 2022'!AA63)</f>
        <v>0</v>
      </c>
      <c r="AB63" s="88">
        <f>AVERAGE('Costdrivere 2021'!AB63,'Costdrivere 2022'!AB63)</f>
        <v>0</v>
      </c>
      <c r="AC63" s="58">
        <f>AVERAGE('Costdrivere 2021'!AC63,'Costdrivere 2022'!AC63)</f>
        <v>0</v>
      </c>
      <c r="AD63" s="290">
        <f>AVERAGE('Costdrivere 2021'!AD63,'Costdrivere 2022'!AD63)</f>
        <v>0</v>
      </c>
      <c r="AE63" s="145">
        <f>AVERAGE('Costdrivere 2021'!AE63,'Costdrivere 2022'!AE63)</f>
        <v>0</v>
      </c>
      <c r="AF63" s="58">
        <f>AVERAGE('Costdrivere 2021'!AF63,'Costdrivere 2022'!AF63)</f>
        <v>0</v>
      </c>
      <c r="AG63" s="290">
        <f>AVERAGE('Costdrivere 2021'!AG63,'Costdrivere 2022'!AG63)</f>
        <v>0</v>
      </c>
      <c r="AH63" s="145">
        <f>AVERAGE('Costdrivere 2021'!AH63,'Costdrivere 2022'!AH63)</f>
        <v>0</v>
      </c>
      <c r="AI63" s="88">
        <f>AVERAGE('Costdrivere 2021'!AI63,'Costdrivere 2022'!AI63)</f>
        <v>11579.5</v>
      </c>
      <c r="AJ63" s="88">
        <f>AVERAGE('Costdrivere 2021'!AJ63,'Costdrivere 2022'!AJ63)</f>
        <v>2753294.5</v>
      </c>
      <c r="AK63" s="99" t="str">
        <f>'Costdrivere 2022'!AK63</f>
        <v>t</v>
      </c>
      <c r="AL63" s="150">
        <f>AVERAGE('Costdrivere 2021'!AL63,'Costdrivere 2022'!AL63)</f>
        <v>35277.5</v>
      </c>
      <c r="AM63" s="48"/>
      <c r="AN63" s="121">
        <f>AVERAGE('Costdrivere 2021'!AN63,'Costdrivere 2022'!AN63)</f>
        <v>0</v>
      </c>
      <c r="AO63" s="166">
        <f>AVERAGE('Costdrivere 2021'!AO63,'Costdrivere 2022'!AO63)</f>
        <v>49637199.106192477</v>
      </c>
      <c r="AP63" s="118">
        <f>AVERAGE('Costdrivere 2021'!AP63,'Costdrivere 2022'!AP63)</f>
        <v>1579009.1066666665</v>
      </c>
      <c r="AQ63" s="203"/>
    </row>
    <row r="64" spans="1:43" x14ac:dyDescent="0.25">
      <c r="A64" s="202" t="s">
        <v>139</v>
      </c>
      <c r="B64" s="202" t="s">
        <v>140</v>
      </c>
      <c r="C64" s="141">
        <f>AVERAGE('Costdrivere 2021'!C64,'Costdrivere 2022'!C64)</f>
        <v>4448089.1330065001</v>
      </c>
      <c r="D64" s="119">
        <f>AVERAGE('Costdrivere 2021'!D64,'Costdrivere 2022'!D64)</f>
        <v>5550565.5555000007</v>
      </c>
      <c r="E64" s="119">
        <f>AVERAGE('Costdrivere 2021'!E64,'Costdrivere 2022'!E64)</f>
        <v>621330.66850000003</v>
      </c>
      <c r="F64" s="119">
        <f>AVERAGE('Costdrivere 2021'!F64,'Costdrivere 2022'!F64)</f>
        <v>85804.178</v>
      </c>
      <c r="G64" s="119">
        <f>AVERAGE('Costdrivere 2021'!G64,'Costdrivere 2022'!G64)</f>
        <v>9552647.5976524167</v>
      </c>
      <c r="H64" s="119">
        <f>AVERAGE('Costdrivere 2021'!H64,'Costdrivere 2022'!H64)</f>
        <v>0</v>
      </c>
      <c r="I64" s="119">
        <f>AVERAGE('Costdrivere 2021'!I64,'Costdrivere 2022'!I64)</f>
        <v>2511297.8555000001</v>
      </c>
      <c r="J64" s="119">
        <f>AVERAGE('Costdrivere 2021'!J64,'Costdrivere 2022'!J64)</f>
        <v>1167200.3501000002</v>
      </c>
      <c r="K64" s="119">
        <f>AVERAGE('Costdrivere 2021'!K64,'Costdrivere 2022'!K64)</f>
        <v>1646172.9183813734</v>
      </c>
      <c r="L64" s="159">
        <f>AVERAGE('Costdrivere 2021'!L64,'Costdrivere 2022'!L64)</f>
        <v>4033818.692309414</v>
      </c>
      <c r="M64" s="292">
        <f>AVERAGE('Costdrivere 2021'!M64,'Costdrivere 2022'!M64)</f>
        <v>2.451321093360145E-2</v>
      </c>
      <c r="N64" s="141">
        <f>AVERAGE('Costdrivere 2021'!N64,'Costdrivere 2022'!N64)</f>
        <v>494.6</v>
      </c>
      <c r="O64" s="119">
        <f>AVERAGE('Costdrivere 2021'!O64,'Costdrivere 2022'!O64)</f>
        <v>676.82999999999993</v>
      </c>
      <c r="P64" s="119">
        <f>AVERAGE('Costdrivere 2021'!P64,'Costdrivere 2022'!P64)</f>
        <v>16.335000000000001</v>
      </c>
      <c r="Q64" s="119">
        <f>AVERAGE('Costdrivere 2021'!Q64,'Costdrivere 2022'!Q64)</f>
        <v>0</v>
      </c>
      <c r="R64" s="159">
        <f>AVERAGE('Costdrivere 2021'!R64,'Costdrivere 2022'!R64)</f>
        <v>2</v>
      </c>
      <c r="S64" s="141">
        <f>AVERAGE('Costdrivere 2021'!S64,'Costdrivere 2022'!S64)</f>
        <v>22</v>
      </c>
      <c r="T64" s="119">
        <f>AVERAGE('Costdrivere 2021'!T64,'Costdrivere 2022'!T64)</f>
        <v>256</v>
      </c>
      <c r="U64" s="119">
        <f>AVERAGE('Costdrivere 2021'!U64,'Costdrivere 2022'!U64)</f>
        <v>81</v>
      </c>
      <c r="V64" s="119">
        <f>AVERAGE('Costdrivere 2021'!V64,'Costdrivere 2022'!V64)</f>
        <v>1800</v>
      </c>
      <c r="W64" s="159">
        <f>AVERAGE('Costdrivere 2021'!W64,'Costdrivere 2022'!W64)</f>
        <v>900</v>
      </c>
      <c r="X64" s="58">
        <f>AVERAGE('Costdrivere 2021'!X64,'Costdrivere 2022'!X64)</f>
        <v>94453</v>
      </c>
      <c r="Y64" s="159">
        <f>AVERAGE('Costdrivere 2021'!Y64,'Costdrivere 2022'!Y64)</f>
        <v>189345</v>
      </c>
      <c r="Z64" s="58">
        <f>AVERAGE('Costdrivere 2021'!Z64,'Costdrivere 2022'!Z64)</f>
        <v>14018</v>
      </c>
      <c r="AA64" s="88">
        <f>AVERAGE('Costdrivere 2021'!AA64,'Costdrivere 2022'!AA64)</f>
        <v>9552647.5976524167</v>
      </c>
      <c r="AB64" s="88">
        <f>AVERAGE('Costdrivere 2021'!AB64,'Costdrivere 2022'!AB64)</f>
        <v>0</v>
      </c>
      <c r="AC64" s="58">
        <f>AVERAGE('Costdrivere 2021'!AC64,'Costdrivere 2022'!AC64)</f>
        <v>0</v>
      </c>
      <c r="AD64" s="290">
        <f>AVERAGE('Costdrivere 2021'!AD64,'Costdrivere 2022'!AD64)</f>
        <v>2310</v>
      </c>
      <c r="AE64" s="145">
        <f>AVERAGE('Costdrivere 2021'!AE64,'Costdrivere 2022'!AE64)</f>
        <v>0</v>
      </c>
      <c r="AF64" s="58">
        <f>AVERAGE('Costdrivere 2021'!AF64,'Costdrivere 2022'!AF64)</f>
        <v>833</v>
      </c>
      <c r="AG64" s="290">
        <f>AVERAGE('Costdrivere 2021'!AG64,'Costdrivere 2022'!AG64)</f>
        <v>0</v>
      </c>
      <c r="AH64" s="145">
        <f>AVERAGE('Costdrivere 2021'!AH64,'Costdrivere 2022'!AH64)</f>
        <v>0</v>
      </c>
      <c r="AI64" s="88">
        <f>AVERAGE('Costdrivere 2021'!AI64,'Costdrivere 2022'!AI64)</f>
        <v>20393.5</v>
      </c>
      <c r="AJ64" s="88">
        <f>AVERAGE('Costdrivere 2021'!AJ64,'Costdrivere 2022'!AJ64)</f>
        <v>2167810.5</v>
      </c>
      <c r="AK64" s="99" t="str">
        <f>'Costdrivere 2022'!AK64</f>
        <v>t+r</v>
      </c>
      <c r="AL64" s="150">
        <f>AVERAGE('Costdrivere 2021'!AL64,'Costdrivere 2022'!AL64)</f>
        <v>21725</v>
      </c>
      <c r="AM64" s="48"/>
      <c r="AN64" s="121">
        <f>AVERAGE('Costdrivere 2021'!AN64,'Costdrivere 2022'!AN64)</f>
        <v>15103871.003474366</v>
      </c>
      <c r="AO64" s="166">
        <f>AVERAGE('Costdrivere 2021'!AO64,'Costdrivere 2022'!AO64)</f>
        <v>101864531.77466664</v>
      </c>
      <c r="AP64" s="118">
        <f>AVERAGE('Costdrivere 2021'!AP64,'Costdrivere 2022'!AP64)</f>
        <v>1873160</v>
      </c>
      <c r="AQ64" s="203"/>
    </row>
    <row r="65" spans="1:43" x14ac:dyDescent="0.25">
      <c r="A65" s="202" t="s">
        <v>141</v>
      </c>
      <c r="B65" s="202" t="s">
        <v>142</v>
      </c>
      <c r="C65" s="141">
        <f>AVERAGE('Costdrivere 2021'!C65,'Costdrivere 2022'!C65)</f>
        <v>4369607.437820999</v>
      </c>
      <c r="D65" s="119">
        <f>AVERAGE('Costdrivere 2021'!D65,'Costdrivere 2022'!D65)</f>
        <v>5919559.1935000001</v>
      </c>
      <c r="E65" s="119">
        <f>AVERAGE('Costdrivere 2021'!E65,'Costdrivere 2022'!E65)</f>
        <v>440408.89529999997</v>
      </c>
      <c r="F65" s="119">
        <f>AVERAGE('Costdrivere 2021'!F65,'Costdrivere 2022'!F65)</f>
        <v>58100.532000000007</v>
      </c>
      <c r="G65" s="119">
        <f>AVERAGE('Costdrivere 2021'!G65,'Costdrivere 2022'!G65)</f>
        <v>7665599.5594363082</v>
      </c>
      <c r="H65" s="119">
        <f>AVERAGE('Costdrivere 2021'!H65,'Costdrivere 2022'!H65)</f>
        <v>146023.557</v>
      </c>
      <c r="I65" s="119">
        <f>AVERAGE('Costdrivere 2021'!I65,'Costdrivere 2022'!I65)</f>
        <v>1349714.9542555001</v>
      </c>
      <c r="J65" s="119">
        <f>AVERAGE('Costdrivere 2021'!J65,'Costdrivere 2022'!J65)</f>
        <v>1076927.8611399999</v>
      </c>
      <c r="K65" s="119">
        <f>AVERAGE('Costdrivere 2021'!K65,'Costdrivere 2022'!K65)</f>
        <v>1571812.0635484541</v>
      </c>
      <c r="L65" s="159">
        <f>AVERAGE('Costdrivere 2021'!L65,'Costdrivere 2022'!L65)</f>
        <v>2986111.125112664</v>
      </c>
      <c r="M65" s="292">
        <f>AVERAGE('Costdrivere 2021'!M65,'Costdrivere 2022'!M65)</f>
        <v>2.0174498110542557E-2</v>
      </c>
      <c r="N65" s="141">
        <f>AVERAGE('Costdrivere 2021'!N65,'Costdrivere 2022'!N65)</f>
        <v>374.52</v>
      </c>
      <c r="O65" s="119">
        <f>AVERAGE('Costdrivere 2021'!O65,'Costdrivere 2022'!O65)</f>
        <v>588.91999999999996</v>
      </c>
      <c r="P65" s="119">
        <f>AVERAGE('Costdrivere 2021'!P65,'Costdrivere 2022'!P65)</f>
        <v>22.16</v>
      </c>
      <c r="Q65" s="119">
        <f>AVERAGE('Costdrivere 2021'!Q65,'Costdrivere 2022'!Q65)</f>
        <v>0</v>
      </c>
      <c r="R65" s="159">
        <f>AVERAGE('Costdrivere 2021'!R65,'Costdrivere 2022'!R65)</f>
        <v>3.5449999999999999</v>
      </c>
      <c r="S65" s="141">
        <f>AVERAGE('Costdrivere 2021'!S65,'Costdrivere 2022'!S65)</f>
        <v>385</v>
      </c>
      <c r="T65" s="119">
        <f>AVERAGE('Costdrivere 2021'!T65,'Costdrivere 2022'!T65)</f>
        <v>67</v>
      </c>
      <c r="U65" s="119">
        <f>AVERAGE('Costdrivere 2021'!U65,'Costdrivere 2022'!U65)</f>
        <v>142</v>
      </c>
      <c r="V65" s="119">
        <f>AVERAGE('Costdrivere 2021'!V65,'Costdrivere 2022'!V65)</f>
        <v>984</v>
      </c>
      <c r="W65" s="159">
        <f>AVERAGE('Costdrivere 2021'!W65,'Costdrivere 2022'!W65)</f>
        <v>2160</v>
      </c>
      <c r="X65" s="58">
        <f>AVERAGE('Costdrivere 2021'!X65,'Costdrivere 2022'!X65)</f>
        <v>56092</v>
      </c>
      <c r="Y65" s="159">
        <f>AVERAGE('Costdrivere 2021'!Y65,'Costdrivere 2022'!Y65)</f>
        <v>140579</v>
      </c>
      <c r="Z65" s="58">
        <f>AVERAGE('Costdrivere 2021'!Z65,'Costdrivere 2022'!Z65)</f>
        <v>9492</v>
      </c>
      <c r="AA65" s="88">
        <f>AVERAGE('Costdrivere 2021'!AA65,'Costdrivere 2022'!AA65)</f>
        <v>7665599.5594363082</v>
      </c>
      <c r="AB65" s="88">
        <f>AVERAGE('Costdrivere 2021'!AB65,'Costdrivere 2022'!AB65)</f>
        <v>51</v>
      </c>
      <c r="AC65" s="58">
        <f>AVERAGE('Costdrivere 2021'!AC65,'Costdrivere 2022'!AC65)</f>
        <v>304.51499999999999</v>
      </c>
      <c r="AD65" s="290">
        <f>AVERAGE('Costdrivere 2021'!AD65,'Costdrivere 2022'!AD65)</f>
        <v>549.40000000000009</v>
      </c>
      <c r="AE65" s="145">
        <f>AVERAGE('Costdrivere 2021'!AE65,'Costdrivere 2022'!AE65)</f>
        <v>63.1</v>
      </c>
      <c r="AF65" s="58">
        <f>AVERAGE('Costdrivere 2021'!AF65,'Costdrivere 2022'!AF65)</f>
        <v>629.14</v>
      </c>
      <c r="AG65" s="290">
        <f>AVERAGE('Costdrivere 2021'!AG65,'Costdrivere 2022'!AG65)</f>
        <v>0</v>
      </c>
      <c r="AH65" s="145">
        <f>AVERAGE('Costdrivere 2021'!AH65,'Costdrivere 2022'!AH65)</f>
        <v>57.9</v>
      </c>
      <c r="AI65" s="88">
        <f>AVERAGE('Costdrivere 2021'!AI65,'Costdrivere 2022'!AI65)</f>
        <v>18137</v>
      </c>
      <c r="AJ65" s="88">
        <f>AVERAGE('Costdrivere 2021'!AJ65,'Costdrivere 2022'!AJ65)</f>
        <v>1597478</v>
      </c>
      <c r="AK65" s="99" t="str">
        <f>'Costdrivere 2022'!AK65</f>
        <v>t+r</v>
      </c>
      <c r="AL65" s="150">
        <f>AVERAGE('Costdrivere 2021'!AL65,'Costdrivere 2022'!AL65)</f>
        <v>17400</v>
      </c>
      <c r="AM65" s="48"/>
      <c r="AN65" s="121">
        <f>AVERAGE('Costdrivere 2021'!AN65,'Costdrivere 2022'!AN65)</f>
        <v>6219576.2095836159</v>
      </c>
      <c r="AO65" s="166">
        <f>AVERAGE('Costdrivere 2021'!AO65,'Costdrivere 2022'!AO65)</f>
        <v>97820866.666666657</v>
      </c>
      <c r="AP65" s="118">
        <f>AVERAGE('Costdrivere 2021'!AP65,'Costdrivere 2022'!AP65)</f>
        <v>2065653.3333333333</v>
      </c>
      <c r="AQ65" s="203"/>
    </row>
    <row r="66" spans="1:43" x14ac:dyDescent="0.25">
      <c r="A66" s="202" t="s">
        <v>143</v>
      </c>
      <c r="B66" s="202" t="s">
        <v>144</v>
      </c>
      <c r="C66" s="141">
        <f>AVERAGE('Costdrivere 2021'!C66,'Costdrivere 2022'!C66)</f>
        <v>2593041.1616399996</v>
      </c>
      <c r="D66" s="119">
        <f>AVERAGE('Costdrivere 2021'!D66,'Costdrivere 2022'!D66)</f>
        <v>5937637.8590500001</v>
      </c>
      <c r="E66" s="119">
        <f>AVERAGE('Costdrivere 2021'!E66,'Costdrivere 2022'!E66)</f>
        <v>111492.9436</v>
      </c>
      <c r="F66" s="119">
        <f>AVERAGE('Costdrivere 2021'!F66,'Costdrivere 2022'!F66)</f>
        <v>38849.987000000001</v>
      </c>
      <c r="G66" s="119">
        <f>AVERAGE('Costdrivere 2021'!G66,'Costdrivere 2022'!G66)</f>
        <v>9200854.6663418896</v>
      </c>
      <c r="H66" s="119">
        <f>AVERAGE('Costdrivere 2021'!H66,'Costdrivere 2022'!H66)</f>
        <v>0</v>
      </c>
      <c r="I66" s="119">
        <f>AVERAGE('Costdrivere 2021'!I66,'Costdrivere 2022'!I66)</f>
        <v>896674.5909500001</v>
      </c>
      <c r="J66" s="119">
        <f>AVERAGE('Costdrivere 2021'!J66,'Costdrivere 2022'!J66)</f>
        <v>2011034.0874000001</v>
      </c>
      <c r="K66" s="119">
        <f>AVERAGE('Costdrivere 2021'!K66,'Costdrivere 2022'!K66)</f>
        <v>1159164.0660152098</v>
      </c>
      <c r="L66" s="159">
        <f>AVERAGE('Costdrivere 2021'!L66,'Costdrivere 2022'!L66)</f>
        <v>1567318.8771222816</v>
      </c>
      <c r="M66" s="292">
        <f>AVERAGE('Costdrivere 2021'!M66,'Costdrivere 2022'!M66)</f>
        <v>1.6756142865204902E-2</v>
      </c>
      <c r="N66" s="141">
        <f>AVERAGE('Costdrivere 2021'!N66,'Costdrivere 2022'!N66)</f>
        <v>372.5</v>
      </c>
      <c r="O66" s="119">
        <f>AVERAGE('Costdrivere 2021'!O66,'Costdrivere 2022'!O66)</f>
        <v>341</v>
      </c>
      <c r="P66" s="119">
        <f>AVERAGE('Costdrivere 2021'!P66,'Costdrivere 2022'!P66)</f>
        <v>0</v>
      </c>
      <c r="Q66" s="119">
        <f>AVERAGE('Costdrivere 2021'!Q66,'Costdrivere 2022'!Q66)</f>
        <v>0</v>
      </c>
      <c r="R66" s="159">
        <f>AVERAGE('Costdrivere 2021'!R66,'Costdrivere 2022'!R66)</f>
        <v>1.7</v>
      </c>
      <c r="S66" s="141">
        <f>AVERAGE('Costdrivere 2021'!S66,'Costdrivere 2022'!S66)</f>
        <v>603</v>
      </c>
      <c r="T66" s="119">
        <f>AVERAGE('Costdrivere 2021'!T66,'Costdrivere 2022'!T66)</f>
        <v>72.5</v>
      </c>
      <c r="U66" s="119">
        <f>AVERAGE('Costdrivere 2021'!U66,'Costdrivere 2022'!U66)</f>
        <v>124</v>
      </c>
      <c r="V66" s="119">
        <f>AVERAGE('Costdrivere 2021'!V66,'Costdrivere 2022'!V66)</f>
        <v>1669</v>
      </c>
      <c r="W66" s="159">
        <f>AVERAGE('Costdrivere 2021'!W66,'Costdrivere 2022'!W66)</f>
        <v>0</v>
      </c>
      <c r="X66" s="58">
        <f>AVERAGE('Costdrivere 2021'!X66,'Costdrivere 2022'!X66)</f>
        <v>25087.5</v>
      </c>
      <c r="Y66" s="159">
        <f>AVERAGE('Costdrivere 2021'!Y66,'Costdrivere 2022'!Y66)</f>
        <v>29203</v>
      </c>
      <c r="Z66" s="58">
        <f>AVERAGE('Costdrivere 2021'!Z66,'Costdrivere 2022'!Z66)</f>
        <v>6347</v>
      </c>
      <c r="AA66" s="88">
        <f>AVERAGE('Costdrivere 2021'!AA66,'Costdrivere 2022'!AA66)</f>
        <v>9200854.6663418896</v>
      </c>
      <c r="AB66" s="88">
        <f>AVERAGE('Costdrivere 2021'!AB66,'Costdrivere 2022'!AB66)</f>
        <v>0</v>
      </c>
      <c r="AC66" s="58">
        <f>AVERAGE('Costdrivere 2021'!AC66,'Costdrivere 2022'!AC66)</f>
        <v>568.5</v>
      </c>
      <c r="AD66" s="290">
        <f>AVERAGE('Costdrivere 2021'!AD66,'Costdrivere 2022'!AD66)</f>
        <v>0</v>
      </c>
      <c r="AE66" s="145">
        <f>AVERAGE('Costdrivere 2021'!AE66,'Costdrivere 2022'!AE66)</f>
        <v>0</v>
      </c>
      <c r="AF66" s="58">
        <f>AVERAGE('Costdrivere 2021'!AF66,'Costdrivere 2022'!AF66)</f>
        <v>0</v>
      </c>
      <c r="AG66" s="290">
        <f>AVERAGE('Costdrivere 2021'!AG66,'Costdrivere 2022'!AG66)</f>
        <v>568.5</v>
      </c>
      <c r="AH66" s="145">
        <f>AVERAGE('Costdrivere 2021'!AH66,'Costdrivere 2022'!AH66)</f>
        <v>0</v>
      </c>
      <c r="AI66" s="88">
        <f>AVERAGE('Costdrivere 2021'!AI66,'Costdrivere 2022'!AI66)</f>
        <v>8376.5</v>
      </c>
      <c r="AJ66" s="88">
        <f>AVERAGE('Costdrivere 2021'!AJ66,'Costdrivere 2022'!AJ66)</f>
        <v>830335</v>
      </c>
      <c r="AK66" s="99" t="str">
        <f>'Costdrivere 2022'!AK66</f>
        <v>t+r</v>
      </c>
      <c r="AL66" s="150">
        <f>AVERAGE('Costdrivere 2021'!AL66,'Costdrivere 2022'!AL66)</f>
        <v>8733</v>
      </c>
      <c r="AM66" s="48"/>
      <c r="AN66" s="121">
        <f>AVERAGE('Costdrivere 2021'!AN66,'Costdrivere 2022'!AN66)</f>
        <v>12400462.29068399</v>
      </c>
      <c r="AO66" s="166">
        <f>AVERAGE('Costdrivere 2021'!AO66,'Costdrivere 2022'!AO66)</f>
        <v>57525640.350000001</v>
      </c>
      <c r="AP66" s="118">
        <f>AVERAGE('Costdrivere 2021'!AP66,'Costdrivere 2022'!AP66)</f>
        <v>1383000</v>
      </c>
      <c r="AQ66" s="203"/>
    </row>
    <row r="67" spans="1:43" x14ac:dyDescent="0.25">
      <c r="A67" s="202" t="s">
        <v>145</v>
      </c>
      <c r="B67" s="202" t="s">
        <v>146</v>
      </c>
      <c r="C67" s="141">
        <f>AVERAGE('Costdrivere 2021'!C67,'Costdrivere 2022'!C67)</f>
        <v>35473.029214000002</v>
      </c>
      <c r="D67" s="119">
        <f>AVERAGE('Costdrivere 2021'!D67,'Costdrivere 2022'!D67)</f>
        <v>0</v>
      </c>
      <c r="E67" s="119">
        <f>AVERAGE('Costdrivere 2021'!E67,'Costdrivere 2022'!E67)</f>
        <v>0</v>
      </c>
      <c r="F67" s="119">
        <f>AVERAGE('Costdrivere 2021'!F67,'Costdrivere 2022'!F67)</f>
        <v>0</v>
      </c>
      <c r="G67" s="119">
        <f>AVERAGE('Costdrivere 2021'!G67,'Costdrivere 2022'!G67)</f>
        <v>12527563.613051577</v>
      </c>
      <c r="H67" s="119">
        <f>AVERAGE('Costdrivere 2021'!H67,'Costdrivere 2022'!H67)</f>
        <v>0</v>
      </c>
      <c r="I67" s="119">
        <f>AVERAGE('Costdrivere 2021'!I67,'Costdrivere 2022'!I67)</f>
        <v>3562107.5362999998</v>
      </c>
      <c r="J67" s="119">
        <f>AVERAGE('Costdrivere 2021'!J67,'Costdrivere 2022'!J67)</f>
        <v>3591271.35195</v>
      </c>
      <c r="K67" s="119">
        <f>AVERAGE('Costdrivere 2021'!K67,'Costdrivere 2022'!K67)</f>
        <v>56886.100554427154</v>
      </c>
      <c r="L67" s="159">
        <f>AVERAGE('Costdrivere 2021'!L67,'Costdrivere 2022'!L67)</f>
        <v>3523763.2941688737</v>
      </c>
      <c r="M67" s="292">
        <f>AVERAGE('Costdrivere 2021'!M67,'Costdrivere 2022'!M67)</f>
        <v>5.6179775280898881E-4</v>
      </c>
      <c r="N67" s="141">
        <f>AVERAGE('Costdrivere 2021'!N67,'Costdrivere 2022'!N67)</f>
        <v>4.51</v>
      </c>
      <c r="O67" s="119">
        <f>AVERAGE('Costdrivere 2021'!O67,'Costdrivere 2022'!O67)</f>
        <v>5.83</v>
      </c>
      <c r="P67" s="119">
        <f>AVERAGE('Costdrivere 2021'!P67,'Costdrivere 2022'!P67)</f>
        <v>0.23</v>
      </c>
      <c r="Q67" s="119">
        <f>AVERAGE('Costdrivere 2021'!Q67,'Costdrivere 2022'!Q67)</f>
        <v>0</v>
      </c>
      <c r="R67" s="159">
        <f>AVERAGE('Costdrivere 2021'!R67,'Costdrivere 2022'!R67)</f>
        <v>0</v>
      </c>
      <c r="S67" s="141">
        <f>AVERAGE('Costdrivere 2021'!S67,'Costdrivere 2022'!S67)</f>
        <v>0</v>
      </c>
      <c r="T67" s="119">
        <f>AVERAGE('Costdrivere 2021'!T67,'Costdrivere 2022'!T67)</f>
        <v>0</v>
      </c>
      <c r="U67" s="119">
        <f>AVERAGE('Costdrivere 2021'!U67,'Costdrivere 2022'!U67)</f>
        <v>0</v>
      </c>
      <c r="V67" s="119">
        <f>AVERAGE('Costdrivere 2021'!V67,'Costdrivere 2022'!V67)</f>
        <v>0</v>
      </c>
      <c r="W67" s="159">
        <f>AVERAGE('Costdrivere 2021'!W67,'Costdrivere 2022'!W67)</f>
        <v>0</v>
      </c>
      <c r="X67" s="58">
        <f>AVERAGE('Costdrivere 2021'!X67,'Costdrivere 2022'!X67)</f>
        <v>0</v>
      </c>
      <c r="Y67" s="159">
        <f>AVERAGE('Costdrivere 2021'!Y67,'Costdrivere 2022'!Y67)</f>
        <v>0</v>
      </c>
      <c r="Z67" s="58">
        <f>AVERAGE('Costdrivere 2021'!Z67,'Costdrivere 2022'!Z67)</f>
        <v>0</v>
      </c>
      <c r="AA67" s="88">
        <f>AVERAGE('Costdrivere 2021'!AA67,'Costdrivere 2022'!AA67)</f>
        <v>12527563.613051577</v>
      </c>
      <c r="AB67" s="88">
        <f>AVERAGE('Costdrivere 2021'!AB67,'Costdrivere 2022'!AB67)</f>
        <v>0</v>
      </c>
      <c r="AC67" s="58">
        <f>AVERAGE('Costdrivere 2021'!AC67,'Costdrivere 2022'!AC67)</f>
        <v>0</v>
      </c>
      <c r="AD67" s="290">
        <f>AVERAGE('Costdrivere 2021'!AD67,'Costdrivere 2022'!AD67)</f>
        <v>3679.5</v>
      </c>
      <c r="AE67" s="145">
        <f>AVERAGE('Costdrivere 2021'!AE67,'Costdrivere 2022'!AE67)</f>
        <v>0</v>
      </c>
      <c r="AF67" s="58">
        <f>AVERAGE('Costdrivere 2021'!AF67,'Costdrivere 2022'!AF67)</f>
        <v>338</v>
      </c>
      <c r="AG67" s="290">
        <f>AVERAGE('Costdrivere 2021'!AG67,'Costdrivere 2022'!AG67)</f>
        <v>0</v>
      </c>
      <c r="AH67" s="145">
        <f>AVERAGE('Costdrivere 2021'!AH67,'Costdrivere 2022'!AH67)</f>
        <v>1494.5</v>
      </c>
      <c r="AI67" s="88">
        <f>AVERAGE('Costdrivere 2021'!AI67,'Costdrivere 2022'!AI67)</f>
        <v>4</v>
      </c>
      <c r="AJ67" s="88">
        <f>AVERAGE('Costdrivere 2021'!AJ67,'Costdrivere 2022'!AJ67)</f>
        <v>5094453</v>
      </c>
      <c r="AK67" s="99" t="str">
        <f>'Costdrivere 2022'!AK67</f>
        <v>r</v>
      </c>
      <c r="AL67" s="150">
        <f>AVERAGE('Costdrivere 2021'!AL67,'Costdrivere 2022'!AL67)</f>
        <v>4</v>
      </c>
      <c r="AM67" s="48"/>
      <c r="AN67" s="121">
        <f>AVERAGE('Costdrivere 2021'!AN67,'Costdrivere 2022'!AN67)</f>
        <v>19286843.895829089</v>
      </c>
      <c r="AO67" s="166">
        <f>AVERAGE('Costdrivere 2021'!AO67,'Costdrivere 2022'!AO67)</f>
        <v>5082341.6525000008</v>
      </c>
      <c r="AP67" s="118">
        <f>AVERAGE('Costdrivere 2021'!AP67,'Costdrivere 2022'!AP67)</f>
        <v>1564233.7733333334</v>
      </c>
      <c r="AQ67" s="203"/>
    </row>
    <row r="68" spans="1:43" x14ac:dyDescent="0.25">
      <c r="A68" s="202" t="s">
        <v>147</v>
      </c>
      <c r="B68" s="202" t="s">
        <v>148</v>
      </c>
      <c r="C68" s="141">
        <f>AVERAGE('Costdrivere 2021'!C68,'Costdrivere 2022'!C68)</f>
        <v>3252.666311</v>
      </c>
      <c r="D68" s="119">
        <f>AVERAGE('Costdrivere 2021'!D68,'Costdrivere 2022'!D68)</f>
        <v>289155.79610000004</v>
      </c>
      <c r="E68" s="119">
        <f>AVERAGE('Costdrivere 2021'!E68,'Costdrivere 2022'!E68)</f>
        <v>0</v>
      </c>
      <c r="F68" s="119">
        <f>AVERAGE('Costdrivere 2021'!F68,'Costdrivere 2022'!F68)</f>
        <v>24484</v>
      </c>
      <c r="G68" s="119">
        <f>AVERAGE('Costdrivere 2021'!G68,'Costdrivere 2022'!G68)</f>
        <v>5813493.9452369455</v>
      </c>
      <c r="H68" s="119">
        <f>AVERAGE('Costdrivere 2021'!H68,'Costdrivere 2022'!H68)</f>
        <v>0</v>
      </c>
      <c r="I68" s="119">
        <f>AVERAGE('Costdrivere 2021'!I68,'Costdrivere 2022'!I68)</f>
        <v>1600135.7555</v>
      </c>
      <c r="J68" s="119">
        <f>AVERAGE('Costdrivere 2021'!J68,'Costdrivere 2022'!J68)</f>
        <v>4049427.6951000001</v>
      </c>
      <c r="K68" s="119">
        <f>AVERAGE('Costdrivere 2021'!K68,'Costdrivere 2022'!K68)</f>
        <v>56886.100554427154</v>
      </c>
      <c r="L68" s="159">
        <f>AVERAGE('Costdrivere 2021'!L68,'Costdrivere 2022'!L68)</f>
        <v>1956355.1617518691</v>
      </c>
      <c r="M68" s="292">
        <f>AVERAGE('Costdrivere 2021'!M68,'Costdrivere 2022'!M68)</f>
        <v>4.3478260869565227E-3</v>
      </c>
      <c r="N68" s="141">
        <f>AVERAGE('Costdrivere 2021'!N68,'Costdrivere 2022'!N68)</f>
        <v>0.09</v>
      </c>
      <c r="O68" s="119">
        <f>AVERAGE('Costdrivere 2021'!O68,'Costdrivere 2022'!O68)</f>
        <v>0.83</v>
      </c>
      <c r="P68" s="119">
        <f>AVERAGE('Costdrivere 2021'!P68,'Costdrivere 2022'!P68)</f>
        <v>0</v>
      </c>
      <c r="Q68" s="119">
        <f>AVERAGE('Costdrivere 2021'!Q68,'Costdrivere 2022'!Q68)</f>
        <v>0</v>
      </c>
      <c r="R68" s="159">
        <f>AVERAGE('Costdrivere 2021'!R68,'Costdrivere 2022'!R68)</f>
        <v>0</v>
      </c>
      <c r="S68" s="141">
        <f>AVERAGE('Costdrivere 2021'!S68,'Costdrivere 2022'!S68)</f>
        <v>0</v>
      </c>
      <c r="T68" s="119">
        <f>AVERAGE('Costdrivere 2021'!T68,'Costdrivere 2022'!T68)</f>
        <v>0</v>
      </c>
      <c r="U68" s="119">
        <f>AVERAGE('Costdrivere 2021'!U68,'Costdrivere 2022'!U68)</f>
        <v>7</v>
      </c>
      <c r="V68" s="119">
        <f>AVERAGE('Costdrivere 2021'!V68,'Costdrivere 2022'!V68)</f>
        <v>400</v>
      </c>
      <c r="W68" s="159">
        <f>AVERAGE('Costdrivere 2021'!W68,'Costdrivere 2022'!W68)</f>
        <v>0</v>
      </c>
      <c r="X68" s="58">
        <f>AVERAGE('Costdrivere 2021'!X68,'Costdrivere 2022'!X68)</f>
        <v>0</v>
      </c>
      <c r="Y68" s="159">
        <f>AVERAGE('Costdrivere 2021'!Y68,'Costdrivere 2022'!Y68)</f>
        <v>0</v>
      </c>
      <c r="Z68" s="58">
        <f>AVERAGE('Costdrivere 2021'!Z68,'Costdrivere 2022'!Z68)</f>
        <v>4000</v>
      </c>
      <c r="AA68" s="88">
        <f>AVERAGE('Costdrivere 2021'!AA68,'Costdrivere 2022'!AA68)</f>
        <v>5813493.9452369455</v>
      </c>
      <c r="AB68" s="88">
        <f>AVERAGE('Costdrivere 2021'!AB68,'Costdrivere 2022'!AB68)</f>
        <v>0</v>
      </c>
      <c r="AC68" s="58">
        <f>AVERAGE('Costdrivere 2021'!AC68,'Costdrivere 2022'!AC68)</f>
        <v>0</v>
      </c>
      <c r="AD68" s="290">
        <f>AVERAGE('Costdrivere 2021'!AD68,'Costdrivere 2022'!AD68)</f>
        <v>1122.5</v>
      </c>
      <c r="AE68" s="145">
        <f>AVERAGE('Costdrivere 2021'!AE68,'Costdrivere 2022'!AE68)</f>
        <v>0</v>
      </c>
      <c r="AF68" s="58">
        <f>AVERAGE('Costdrivere 2021'!AF68,'Costdrivere 2022'!AF68)</f>
        <v>3723</v>
      </c>
      <c r="AG68" s="290">
        <f>AVERAGE('Costdrivere 2021'!AG68,'Costdrivere 2022'!AG68)</f>
        <v>0</v>
      </c>
      <c r="AH68" s="145">
        <f>AVERAGE('Costdrivere 2021'!AH68,'Costdrivere 2022'!AH68)</f>
        <v>0</v>
      </c>
      <c r="AI68" s="88">
        <f>AVERAGE('Costdrivere 2021'!AI68,'Costdrivere 2022'!AI68)</f>
        <v>4</v>
      </c>
      <c r="AJ68" s="88">
        <f>AVERAGE('Costdrivere 2021'!AJ68,'Costdrivere 2022'!AJ68)</f>
        <v>2096509.5</v>
      </c>
      <c r="AK68" s="99" t="str">
        <f>'Costdrivere 2022'!AK68</f>
        <v>r</v>
      </c>
      <c r="AL68" s="150">
        <f>AVERAGE('Costdrivere 2021'!AL68,'Costdrivere 2022'!AL68)</f>
        <v>4</v>
      </c>
      <c r="AM68" s="48"/>
      <c r="AN68" s="121">
        <f>AVERAGE('Costdrivere 2021'!AN68,'Costdrivere 2022'!AN68)</f>
        <v>6462182.4042013753</v>
      </c>
      <c r="AO68" s="166">
        <f>AVERAGE('Costdrivere 2021'!AO68,'Costdrivere 2022'!AO68)</f>
        <v>1005768.0133333332</v>
      </c>
      <c r="AP68" s="118">
        <f>AVERAGE('Costdrivere 2021'!AP68,'Costdrivere 2022'!AP68)</f>
        <v>532015.20297912182</v>
      </c>
      <c r="AQ68" s="203"/>
    </row>
    <row r="69" spans="1:43" x14ac:dyDescent="0.25">
      <c r="A69" s="202" t="s">
        <v>149</v>
      </c>
      <c r="B69" s="202" t="s">
        <v>150</v>
      </c>
      <c r="C69" s="141">
        <f>AVERAGE('Costdrivere 2021'!C69,'Costdrivere 2022'!C69)</f>
        <v>3016806.7862569997</v>
      </c>
      <c r="D69" s="119">
        <f>AVERAGE('Costdrivere 2021'!D69,'Costdrivere 2022'!D69)</f>
        <v>6103835.9671000009</v>
      </c>
      <c r="E69" s="119">
        <f>AVERAGE('Costdrivere 2021'!E69,'Costdrivere 2022'!E69)</f>
        <v>169593.85800000001</v>
      </c>
      <c r="F69" s="119">
        <f>AVERAGE('Costdrivere 2021'!F69,'Costdrivere 2022'!F69)</f>
        <v>67955.342000000004</v>
      </c>
      <c r="G69" s="119">
        <f>AVERAGE('Costdrivere 2021'!G69,'Costdrivere 2022'!G69)</f>
        <v>9246562.7702023722</v>
      </c>
      <c r="H69" s="119">
        <f>AVERAGE('Costdrivere 2021'!H69,'Costdrivere 2022'!H69)</f>
        <v>70148.571499999991</v>
      </c>
      <c r="I69" s="119">
        <f>AVERAGE('Costdrivere 2021'!I69,'Costdrivere 2022'!I69)</f>
        <v>1786971.9419</v>
      </c>
      <c r="J69" s="119">
        <f>AVERAGE('Costdrivere 2021'!J69,'Costdrivere 2022'!J69)</f>
        <v>1597638.3254</v>
      </c>
      <c r="K69" s="119">
        <f>AVERAGE('Costdrivere 2021'!K69,'Costdrivere 2022'!K69)</f>
        <v>1415300.3404900613</v>
      </c>
      <c r="L69" s="159">
        <f>AVERAGE('Costdrivere 2021'!L69,'Costdrivere 2022'!L69)</f>
        <v>3127686.9943640381</v>
      </c>
      <c r="M69" s="292">
        <f>AVERAGE('Costdrivere 2021'!M69,'Costdrivere 2022'!M69)</f>
        <v>2.5254069098173258E-2</v>
      </c>
      <c r="N69" s="141">
        <f>AVERAGE('Costdrivere 2021'!N69,'Costdrivere 2022'!N69)</f>
        <v>340.89499999999998</v>
      </c>
      <c r="O69" s="119">
        <f>AVERAGE('Costdrivere 2021'!O69,'Costdrivere 2022'!O69)</f>
        <v>314.75</v>
      </c>
      <c r="P69" s="119">
        <f>AVERAGE('Costdrivere 2021'!P69,'Costdrivere 2022'!P69)</f>
        <v>31.86</v>
      </c>
      <c r="Q69" s="119">
        <f>AVERAGE('Costdrivere 2021'!Q69,'Costdrivere 2022'!Q69)</f>
        <v>0</v>
      </c>
      <c r="R69" s="159">
        <f>AVERAGE('Costdrivere 2021'!R69,'Costdrivere 2022'!R69)</f>
        <v>2.04</v>
      </c>
      <c r="S69" s="141">
        <f>AVERAGE('Costdrivere 2021'!S69,'Costdrivere 2022'!S69)</f>
        <v>725</v>
      </c>
      <c r="T69" s="119">
        <f>AVERAGE('Costdrivere 2021'!T69,'Costdrivere 2022'!T69)</f>
        <v>33</v>
      </c>
      <c r="U69" s="119">
        <f>AVERAGE('Costdrivere 2021'!U69,'Costdrivere 2022'!U69)</f>
        <v>80</v>
      </c>
      <c r="V69" s="119">
        <f>AVERAGE('Costdrivere 2021'!V69,'Costdrivere 2022'!V69)</f>
        <v>2806</v>
      </c>
      <c r="W69" s="159">
        <f>AVERAGE('Costdrivere 2021'!W69,'Costdrivere 2022'!W69)</f>
        <v>4290</v>
      </c>
      <c r="X69" s="58">
        <f>AVERAGE('Costdrivere 2021'!X69,'Costdrivere 2022'!X69)</f>
        <v>19272</v>
      </c>
      <c r="Y69" s="159">
        <f>AVERAGE('Costdrivere 2021'!Y69,'Costdrivere 2022'!Y69)</f>
        <v>55500</v>
      </c>
      <c r="Z69" s="58">
        <f>AVERAGE('Costdrivere 2021'!Z69,'Costdrivere 2022'!Z69)</f>
        <v>11102</v>
      </c>
      <c r="AA69" s="88">
        <f>AVERAGE('Costdrivere 2021'!AA69,'Costdrivere 2022'!AA69)</f>
        <v>9246562.7702023722</v>
      </c>
      <c r="AB69" s="88">
        <f>AVERAGE('Costdrivere 2021'!AB69,'Costdrivere 2022'!AB69)</f>
        <v>24.5</v>
      </c>
      <c r="AC69" s="58">
        <f>AVERAGE('Costdrivere 2021'!AC69,'Costdrivere 2022'!AC69)</f>
        <v>0</v>
      </c>
      <c r="AD69" s="290">
        <f>AVERAGE('Costdrivere 2021'!AD69,'Costdrivere 2022'!AD69)</f>
        <v>1366</v>
      </c>
      <c r="AE69" s="145">
        <f>AVERAGE('Costdrivere 2021'!AE69,'Costdrivere 2022'!AE69)</f>
        <v>0</v>
      </c>
      <c r="AF69" s="58">
        <f>AVERAGE('Costdrivere 2021'!AF69,'Costdrivere 2022'!AF69)</f>
        <v>0</v>
      </c>
      <c r="AG69" s="290">
        <f>AVERAGE('Costdrivere 2021'!AG69,'Costdrivere 2022'!AG69)</f>
        <v>0</v>
      </c>
      <c r="AH69" s="145">
        <f>AVERAGE('Costdrivere 2021'!AH69,'Costdrivere 2022'!AH69)</f>
        <v>646</v>
      </c>
      <c r="AI69" s="88">
        <f>AVERAGE('Costdrivere 2021'!AI69,'Costdrivere 2022'!AI69)</f>
        <v>13900</v>
      </c>
      <c r="AJ69" s="88">
        <f>AVERAGE('Costdrivere 2021'!AJ69,'Costdrivere 2022'!AJ69)</f>
        <v>1674524.5</v>
      </c>
      <c r="AK69" s="99" t="str">
        <f>'Costdrivere 2022'!AK69</f>
        <v>t+r</v>
      </c>
      <c r="AL69" s="150">
        <f>AVERAGE('Costdrivere 2021'!AL69,'Costdrivere 2022'!AL69)</f>
        <v>13710</v>
      </c>
      <c r="AM69" s="48"/>
      <c r="AN69" s="121">
        <f>AVERAGE('Costdrivere 2021'!AN69,'Costdrivere 2022'!AN69)</f>
        <v>7440610.2746457327</v>
      </c>
      <c r="AO69" s="166">
        <f>AVERAGE('Costdrivere 2021'!AO69,'Costdrivere 2022'!AO69)</f>
        <v>53492845.615313336</v>
      </c>
      <c r="AP69" s="118">
        <f>AVERAGE('Costdrivere 2021'!AP69,'Costdrivere 2022'!AP69)</f>
        <v>0</v>
      </c>
      <c r="AQ69" s="203"/>
    </row>
    <row r="70" spans="1:43" x14ac:dyDescent="0.25">
      <c r="A70" s="202" t="s">
        <v>151</v>
      </c>
      <c r="B70" s="202" t="s">
        <v>152</v>
      </c>
      <c r="C70" s="141">
        <f>AVERAGE('Costdrivere 2021'!C70,'Costdrivere 2022'!C70)</f>
        <v>7729189.4406000003</v>
      </c>
      <c r="D70" s="119">
        <f>AVERAGE('Costdrivere 2021'!D70,'Costdrivere 2022'!D70)</f>
        <v>13610663.37015</v>
      </c>
      <c r="E70" s="119">
        <f>AVERAGE('Costdrivere 2021'!E70,'Costdrivere 2022'!E70)</f>
        <v>800283.44665000006</v>
      </c>
      <c r="F70" s="119">
        <f>AVERAGE('Costdrivere 2021'!F70,'Costdrivere 2022'!F70)</f>
        <v>498488.11900000006</v>
      </c>
      <c r="G70" s="119">
        <f>AVERAGE('Costdrivere 2021'!G70,'Costdrivere 2022'!G70)</f>
        <v>11486494.429145046</v>
      </c>
      <c r="H70" s="119">
        <f>AVERAGE('Costdrivere 2021'!H70,'Costdrivere 2022'!H70)</f>
        <v>11452.828</v>
      </c>
      <c r="I70" s="119">
        <f>AVERAGE('Costdrivere 2021'!I70,'Costdrivere 2022'!I70)</f>
        <v>2220931.5282000001</v>
      </c>
      <c r="J70" s="119">
        <f>AVERAGE('Costdrivere 2021'!J70,'Costdrivere 2022'!J70)</f>
        <v>1349209.5163499999</v>
      </c>
      <c r="K70" s="119">
        <f>AVERAGE('Costdrivere 2021'!K70,'Costdrivere 2022'!K70)</f>
        <v>1649724.1234586551</v>
      </c>
      <c r="L70" s="159">
        <f>AVERAGE('Costdrivere 2021'!L70,'Costdrivere 2022'!L70)</f>
        <v>5851979.0425718874</v>
      </c>
      <c r="M70" s="292">
        <f>AVERAGE('Costdrivere 2021'!M70,'Costdrivere 2022'!M70)</f>
        <v>5.387129469641791E-2</v>
      </c>
      <c r="N70" s="141">
        <f>AVERAGE('Costdrivere 2021'!N70,'Costdrivere 2022'!N70)</f>
        <v>490.5</v>
      </c>
      <c r="O70" s="119">
        <f>AVERAGE('Costdrivere 2021'!O70,'Costdrivere 2022'!O70)</f>
        <v>888.5</v>
      </c>
      <c r="P70" s="119">
        <f>AVERAGE('Costdrivere 2021'!P70,'Costdrivere 2022'!P70)</f>
        <v>110</v>
      </c>
      <c r="Q70" s="119">
        <f>AVERAGE('Costdrivere 2021'!Q70,'Costdrivere 2022'!Q70)</f>
        <v>0</v>
      </c>
      <c r="R70" s="159">
        <f>AVERAGE('Costdrivere 2021'!R70,'Costdrivere 2022'!R70)</f>
        <v>5.75</v>
      </c>
      <c r="S70" s="141">
        <f>AVERAGE('Costdrivere 2021'!S70,'Costdrivere 2022'!S70)</f>
        <v>195</v>
      </c>
      <c r="T70" s="119">
        <f>AVERAGE('Costdrivere 2021'!T70,'Costdrivere 2022'!T70)</f>
        <v>495.5</v>
      </c>
      <c r="U70" s="119">
        <f>AVERAGE('Costdrivere 2021'!U70,'Costdrivere 2022'!U70)</f>
        <v>167</v>
      </c>
      <c r="V70" s="119">
        <f>AVERAGE('Costdrivere 2021'!V70,'Costdrivere 2022'!V70)</f>
        <v>7640</v>
      </c>
      <c r="W70" s="159">
        <f>AVERAGE('Costdrivere 2021'!W70,'Costdrivere 2022'!W70)</f>
        <v>5850</v>
      </c>
      <c r="X70" s="58">
        <f>AVERAGE('Costdrivere 2021'!X70,'Costdrivere 2022'!X70)</f>
        <v>46689</v>
      </c>
      <c r="Y70" s="159">
        <f>AVERAGE('Costdrivere 2021'!Y70,'Costdrivere 2022'!Y70)</f>
        <v>287849.5</v>
      </c>
      <c r="Z70" s="58">
        <f>AVERAGE('Costdrivere 2021'!Z70,'Costdrivere 2022'!Z70)</f>
        <v>81439</v>
      </c>
      <c r="AA70" s="88">
        <f>AVERAGE('Costdrivere 2021'!AA70,'Costdrivere 2022'!AA70)</f>
        <v>11486494.429145046</v>
      </c>
      <c r="AB70" s="88">
        <f>AVERAGE('Costdrivere 2021'!AB70,'Costdrivere 2022'!AB70)</f>
        <v>4</v>
      </c>
      <c r="AC70" s="58">
        <f>AVERAGE('Costdrivere 2021'!AC70,'Costdrivere 2022'!AC70)</f>
        <v>0</v>
      </c>
      <c r="AD70" s="290">
        <f>AVERAGE('Costdrivere 2021'!AD70,'Costdrivere 2022'!AD70)</f>
        <v>1713</v>
      </c>
      <c r="AE70" s="145">
        <f>AVERAGE('Costdrivere 2021'!AE70,'Costdrivere 2022'!AE70)</f>
        <v>101</v>
      </c>
      <c r="AF70" s="58">
        <f>AVERAGE('Costdrivere 2021'!AF70,'Costdrivere 2022'!AF70)</f>
        <v>1015.5</v>
      </c>
      <c r="AG70" s="290">
        <f>AVERAGE('Costdrivere 2021'!AG70,'Costdrivere 2022'!AG70)</f>
        <v>0</v>
      </c>
      <c r="AH70" s="145">
        <f>AVERAGE('Costdrivere 2021'!AH70,'Costdrivere 2022'!AH70)</f>
        <v>0</v>
      </c>
      <c r="AI70" s="88">
        <f>AVERAGE('Costdrivere 2021'!AI70,'Costdrivere 2022'!AI70)</f>
        <v>20900</v>
      </c>
      <c r="AJ70" s="88">
        <f>AVERAGE('Costdrivere 2021'!AJ70,'Costdrivere 2022'!AJ70)</f>
        <v>3162650</v>
      </c>
      <c r="AK70" s="99" t="str">
        <f>'Costdrivere 2022'!AK70</f>
        <v>t+r</v>
      </c>
      <c r="AL70" s="150">
        <f>AVERAGE('Costdrivere 2021'!AL70,'Costdrivere 2022'!AL70)</f>
        <v>63923</v>
      </c>
      <c r="AM70" s="48"/>
      <c r="AN70" s="121">
        <f>AVERAGE('Costdrivere 2021'!AN70,'Costdrivere 2022'!AN70)</f>
        <v>23035746.282516446</v>
      </c>
      <c r="AO70" s="166">
        <f>AVERAGE('Costdrivere 2021'!AO70,'Costdrivere 2022'!AO70)</f>
        <v>148268929.57587993</v>
      </c>
      <c r="AP70" s="118">
        <f>AVERAGE('Costdrivere 2021'!AP70,'Costdrivere 2022'!AP70)</f>
        <v>2895315.7066666665</v>
      </c>
      <c r="AQ70" s="203"/>
    </row>
    <row r="71" spans="1:43" x14ac:dyDescent="0.25">
      <c r="A71" s="202" t="s">
        <v>153</v>
      </c>
      <c r="B71" s="202" t="s">
        <v>154</v>
      </c>
      <c r="C71" s="141">
        <f>AVERAGE('Costdrivere 2021'!C71,'Costdrivere 2022'!C71)</f>
        <v>1953505.8416924998</v>
      </c>
      <c r="D71" s="119">
        <f>AVERAGE('Costdrivere 2021'!D71,'Costdrivere 2022'!D71)</f>
        <v>1736272.4460999998</v>
      </c>
      <c r="E71" s="119">
        <f>AVERAGE('Costdrivere 2021'!E71,'Costdrivere 2022'!E71)</f>
        <v>235320.57260000001</v>
      </c>
      <c r="F71" s="119">
        <f>AVERAGE('Costdrivere 2021'!F71,'Costdrivere 2022'!F71)</f>
        <v>12927.552000000001</v>
      </c>
      <c r="G71" s="119">
        <f>AVERAGE('Costdrivere 2021'!G71,'Costdrivere 2022'!G71)</f>
        <v>3621111.5675791036</v>
      </c>
      <c r="H71" s="119">
        <f>AVERAGE('Costdrivere 2021'!H71,'Costdrivere 2022'!H71)</f>
        <v>62990.553999999996</v>
      </c>
      <c r="I71" s="119">
        <f>AVERAGE('Costdrivere 2021'!I71,'Costdrivere 2022'!I71)</f>
        <v>932903.96180000005</v>
      </c>
      <c r="J71" s="119">
        <f>AVERAGE('Costdrivere 2021'!J71,'Costdrivere 2022'!J71)</f>
        <v>814651.08835000009</v>
      </c>
      <c r="K71" s="119">
        <f>AVERAGE('Costdrivere 2021'!K71,'Costdrivere 2022'!K71)</f>
        <v>1238592.4885728997</v>
      </c>
      <c r="L71" s="159">
        <f>AVERAGE('Costdrivere 2021'!L71,'Costdrivere 2022'!L71)</f>
        <v>1799895.2115082594</v>
      </c>
      <c r="M71" s="292">
        <f>AVERAGE('Costdrivere 2021'!M71,'Costdrivere 2022'!M71)</f>
        <v>3.4554660564650744E-2</v>
      </c>
      <c r="N71" s="141">
        <f>AVERAGE('Costdrivere 2021'!N71,'Costdrivere 2022'!N71)</f>
        <v>311.2</v>
      </c>
      <c r="O71" s="119">
        <f>AVERAGE('Costdrivere 2021'!O71,'Costdrivere 2022'!O71)</f>
        <v>259.89</v>
      </c>
      <c r="P71" s="119">
        <f>AVERAGE('Costdrivere 2021'!P71,'Costdrivere 2022'!P71)</f>
        <v>17.114999999999998</v>
      </c>
      <c r="Q71" s="119">
        <f>AVERAGE('Costdrivere 2021'!Q71,'Costdrivere 2022'!Q71)</f>
        <v>0</v>
      </c>
      <c r="R71" s="159">
        <f>AVERAGE('Costdrivere 2021'!R71,'Costdrivere 2022'!R71)</f>
        <v>0.03</v>
      </c>
      <c r="S71" s="141">
        <f>AVERAGE('Costdrivere 2021'!S71,'Costdrivere 2022'!S71)</f>
        <v>84</v>
      </c>
      <c r="T71" s="119">
        <f>AVERAGE('Costdrivere 2021'!T71,'Costdrivere 2022'!T71)</f>
        <v>9</v>
      </c>
      <c r="U71" s="119">
        <f>AVERAGE('Costdrivere 2021'!U71,'Costdrivere 2022'!U71)</f>
        <v>50</v>
      </c>
      <c r="V71" s="119">
        <f>AVERAGE('Costdrivere 2021'!V71,'Costdrivere 2022'!V71)</f>
        <v>740</v>
      </c>
      <c r="W71" s="159">
        <f>AVERAGE('Costdrivere 2021'!W71,'Costdrivere 2022'!W71)</f>
        <v>0</v>
      </c>
      <c r="X71" s="58">
        <f>AVERAGE('Costdrivere 2021'!X71,'Costdrivere 2022'!X71)</f>
        <v>78881</v>
      </c>
      <c r="Y71" s="159">
        <f>AVERAGE('Costdrivere 2021'!Y71,'Costdrivere 2022'!Y71)</f>
        <v>46428</v>
      </c>
      <c r="Z71" s="58">
        <f>AVERAGE('Costdrivere 2021'!Z71,'Costdrivere 2022'!Z71)</f>
        <v>2112</v>
      </c>
      <c r="AA71" s="88">
        <f>AVERAGE('Costdrivere 2021'!AA71,'Costdrivere 2022'!AA71)</f>
        <v>3621111.5675791036</v>
      </c>
      <c r="AB71" s="88">
        <f>AVERAGE('Costdrivere 2021'!AB71,'Costdrivere 2022'!AB71)</f>
        <v>22</v>
      </c>
      <c r="AC71" s="58">
        <f>AVERAGE('Costdrivere 2021'!AC71,'Costdrivere 2022'!AC71)</f>
        <v>699</v>
      </c>
      <c r="AD71" s="290">
        <f>AVERAGE('Costdrivere 2021'!AD71,'Costdrivere 2022'!AD71)</f>
        <v>0</v>
      </c>
      <c r="AE71" s="145">
        <f>AVERAGE('Costdrivere 2021'!AE71,'Costdrivere 2022'!AE71)</f>
        <v>0</v>
      </c>
      <c r="AF71" s="58">
        <f>AVERAGE('Costdrivere 2021'!AF71,'Costdrivere 2022'!AF71)</f>
        <v>479.5</v>
      </c>
      <c r="AG71" s="290">
        <f>AVERAGE('Costdrivere 2021'!AG71,'Costdrivere 2022'!AG71)</f>
        <v>0</v>
      </c>
      <c r="AH71" s="145">
        <f>AVERAGE('Costdrivere 2021'!AH71,'Costdrivere 2022'!AH71)</f>
        <v>0</v>
      </c>
      <c r="AI71" s="88">
        <f>AVERAGE('Costdrivere 2021'!AI71,'Costdrivere 2022'!AI71)</f>
        <v>9913.5</v>
      </c>
      <c r="AJ71" s="88">
        <f>AVERAGE('Costdrivere 2021'!AJ71,'Costdrivere 2022'!AJ71)</f>
        <v>955553.5</v>
      </c>
      <c r="AK71" s="99" t="str">
        <f>'Costdrivere 2022'!AK71</f>
        <v>t+r</v>
      </c>
      <c r="AL71" s="150">
        <f>AVERAGE('Costdrivere 2021'!AL71,'Costdrivere 2022'!AL71)</f>
        <v>13872</v>
      </c>
      <c r="AM71" s="48"/>
      <c r="AN71" s="121">
        <f>AVERAGE('Costdrivere 2021'!AN71,'Costdrivere 2022'!AN71)</f>
        <v>3887143.875827665</v>
      </c>
      <c r="AO71" s="166">
        <f>AVERAGE('Costdrivere 2021'!AO71,'Costdrivere 2022'!AO71)</f>
        <v>30269288.40606359</v>
      </c>
      <c r="AP71" s="118">
        <f>AVERAGE('Costdrivere 2021'!AP71,'Costdrivere 2022'!AP71)</f>
        <v>536300</v>
      </c>
      <c r="AQ71" s="203"/>
    </row>
    <row r="72" spans="1:43" x14ac:dyDescent="0.25">
      <c r="A72" s="202" t="s">
        <v>155</v>
      </c>
      <c r="B72" s="202" t="s">
        <v>156</v>
      </c>
      <c r="C72" s="141">
        <f>AVERAGE('Costdrivere 2021'!C72,'Costdrivere 2022'!C72)</f>
        <v>3891157.31384</v>
      </c>
      <c r="D72" s="119">
        <f>AVERAGE('Costdrivere 2021'!D72,'Costdrivere 2022'!D72)</f>
        <v>3471572.0573999998</v>
      </c>
      <c r="E72" s="119">
        <f>AVERAGE('Costdrivere 2021'!E72,'Costdrivere 2022'!E72)</f>
        <v>235827.96250000002</v>
      </c>
      <c r="F72" s="119">
        <f>AVERAGE('Costdrivere 2021'!F72,'Costdrivere 2022'!F72)</f>
        <v>18363</v>
      </c>
      <c r="G72" s="119">
        <f>AVERAGE('Costdrivere 2021'!G72,'Costdrivere 2022'!G72)</f>
        <v>6043609.3232441414</v>
      </c>
      <c r="H72" s="119">
        <f>AVERAGE('Costdrivere 2021'!H72,'Costdrivere 2022'!H72)</f>
        <v>0</v>
      </c>
      <c r="I72" s="119">
        <f>AVERAGE('Costdrivere 2021'!I72,'Costdrivere 2022'!I72)</f>
        <v>1778170.7995</v>
      </c>
      <c r="J72" s="119">
        <f>AVERAGE('Costdrivere 2021'!J72,'Costdrivere 2022'!J72)</f>
        <v>822130.91709999996</v>
      </c>
      <c r="K72" s="119">
        <f>AVERAGE('Costdrivere 2021'!K72,'Costdrivere 2022'!K72)</f>
        <v>859295.13033900142</v>
      </c>
      <c r="L72" s="159">
        <f>AVERAGE('Costdrivere 2021'!L72,'Costdrivere 2022'!L72)</f>
        <v>2231839.3814502764</v>
      </c>
      <c r="M72" s="292">
        <f>AVERAGE('Costdrivere 2021'!M72,'Costdrivere 2022'!M72)</f>
        <v>1.9967240491462545E-2</v>
      </c>
      <c r="N72" s="141">
        <f>AVERAGE('Costdrivere 2021'!N72,'Costdrivere 2022'!N72)</f>
        <v>521</v>
      </c>
      <c r="O72" s="119">
        <f>AVERAGE('Costdrivere 2021'!O72,'Costdrivere 2022'!O72)</f>
        <v>410</v>
      </c>
      <c r="P72" s="119">
        <f>AVERAGE('Costdrivere 2021'!P72,'Costdrivere 2022'!P72)</f>
        <v>0</v>
      </c>
      <c r="Q72" s="119">
        <f>AVERAGE('Costdrivere 2021'!Q72,'Costdrivere 2022'!Q72)</f>
        <v>0</v>
      </c>
      <c r="R72" s="159">
        <f>AVERAGE('Costdrivere 2021'!R72,'Costdrivere 2022'!R72)</f>
        <v>4.1999999999999993</v>
      </c>
      <c r="S72" s="141">
        <f>AVERAGE('Costdrivere 2021'!S72,'Costdrivere 2022'!S72)</f>
        <v>292.5</v>
      </c>
      <c r="T72" s="119">
        <f>AVERAGE('Costdrivere 2021'!T72,'Costdrivere 2022'!T72)</f>
        <v>154.5</v>
      </c>
      <c r="U72" s="119">
        <f>AVERAGE('Costdrivere 2021'!U72,'Costdrivere 2022'!U72)</f>
        <v>28.5</v>
      </c>
      <c r="V72" s="119">
        <f>AVERAGE('Costdrivere 2021'!V72,'Costdrivere 2022'!V72)</f>
        <v>318</v>
      </c>
      <c r="W72" s="159">
        <f>AVERAGE('Costdrivere 2021'!W72,'Costdrivere 2022'!W72)</f>
        <v>735</v>
      </c>
      <c r="X72" s="58">
        <f>AVERAGE('Costdrivere 2021'!X72,'Costdrivere 2022'!X72)</f>
        <v>58000</v>
      </c>
      <c r="Y72" s="159">
        <f>AVERAGE('Costdrivere 2021'!Y72,'Costdrivere 2022'!Y72)</f>
        <v>58875</v>
      </c>
      <c r="Z72" s="58">
        <f>AVERAGE('Costdrivere 2021'!Z72,'Costdrivere 2022'!Z72)</f>
        <v>3000</v>
      </c>
      <c r="AA72" s="88">
        <f>AVERAGE('Costdrivere 2021'!AA72,'Costdrivere 2022'!AA72)</f>
        <v>6043609.3232441414</v>
      </c>
      <c r="AB72" s="88">
        <f>AVERAGE('Costdrivere 2021'!AB72,'Costdrivere 2022'!AB72)</f>
        <v>0</v>
      </c>
      <c r="AC72" s="58">
        <f>AVERAGE('Costdrivere 2021'!AC72,'Costdrivere 2022'!AC72)</f>
        <v>827</v>
      </c>
      <c r="AD72" s="290">
        <f>AVERAGE('Costdrivere 2021'!AD72,'Costdrivere 2022'!AD72)</f>
        <v>339</v>
      </c>
      <c r="AE72" s="145">
        <f>AVERAGE('Costdrivere 2021'!AE72,'Costdrivere 2022'!AE72)</f>
        <v>331</v>
      </c>
      <c r="AF72" s="58">
        <f>AVERAGE('Costdrivere 2021'!AF72,'Costdrivere 2022'!AF72)</f>
        <v>487</v>
      </c>
      <c r="AG72" s="290">
        <f>AVERAGE('Costdrivere 2021'!AG72,'Costdrivere 2022'!AG72)</f>
        <v>0</v>
      </c>
      <c r="AH72" s="145">
        <f>AVERAGE('Costdrivere 2021'!AH72,'Costdrivere 2022'!AH72)</f>
        <v>0</v>
      </c>
      <c r="AI72" s="88">
        <f>AVERAGE('Costdrivere 2021'!AI72,'Costdrivere 2022'!AI72)</f>
        <v>3920</v>
      </c>
      <c r="AJ72" s="88">
        <f>AVERAGE('Costdrivere 2021'!AJ72,'Costdrivere 2022'!AJ72)</f>
        <v>1188722.5</v>
      </c>
      <c r="AK72" s="99" t="str">
        <f>'Costdrivere 2022'!AK72</f>
        <v>t+r</v>
      </c>
      <c r="AL72" s="150">
        <f>AVERAGE('Costdrivere 2021'!AL72,'Costdrivere 2022'!AL72)</f>
        <v>14238.5</v>
      </c>
      <c r="AM72" s="48"/>
      <c r="AN72" s="121">
        <f>AVERAGE('Costdrivere 2021'!AN72,'Costdrivere 2022'!AN72)</f>
        <v>5421991.901980781</v>
      </c>
      <c r="AO72" s="166">
        <f>AVERAGE('Costdrivere 2021'!AO72,'Costdrivere 2022'!AO72)</f>
        <v>59949554.988948047</v>
      </c>
      <c r="AP72" s="118">
        <f>AVERAGE('Costdrivere 2021'!AP72,'Costdrivere 2022'!AP72)</f>
        <v>992740</v>
      </c>
      <c r="AQ72" s="203"/>
    </row>
    <row r="73" spans="1:43" x14ac:dyDescent="0.25">
      <c r="A73" s="202" t="s">
        <v>157</v>
      </c>
      <c r="B73" s="202" t="s">
        <v>158</v>
      </c>
      <c r="C73" s="141">
        <f>AVERAGE('Costdrivere 2021'!C73,'Costdrivere 2022'!C73)</f>
        <v>7703500.4753840007</v>
      </c>
      <c r="D73" s="119">
        <f>AVERAGE('Costdrivere 2021'!D73,'Costdrivere 2022'!D73)</f>
        <v>8481455.0868500005</v>
      </c>
      <c r="E73" s="119">
        <f>AVERAGE('Costdrivere 2021'!E73,'Costdrivere 2022'!E73)</f>
        <v>1161761.28015</v>
      </c>
      <c r="F73" s="119">
        <f>AVERAGE('Costdrivere 2021'!F73,'Costdrivere 2022'!F73)</f>
        <v>137844.92000000001</v>
      </c>
      <c r="G73" s="119">
        <f>AVERAGE('Costdrivere 2021'!G73,'Costdrivere 2022'!G73)</f>
        <v>15276498.428453982</v>
      </c>
      <c r="H73" s="119">
        <f>AVERAGE('Costdrivere 2021'!H73,'Costdrivere 2022'!H73)</f>
        <v>0</v>
      </c>
      <c r="I73" s="119">
        <f>AVERAGE('Costdrivere 2021'!I73,'Costdrivere 2022'!I73)</f>
        <v>4048857.7664449997</v>
      </c>
      <c r="J73" s="119">
        <f>AVERAGE('Costdrivere 2021'!J73,'Costdrivere 2022'!J73)</f>
        <v>5581681.5237069996</v>
      </c>
      <c r="K73" s="119">
        <f>AVERAGE('Costdrivere 2021'!K73,'Costdrivere 2022'!K73)</f>
        <v>1986577.9137764224</v>
      </c>
      <c r="L73" s="159">
        <f>AVERAGE('Costdrivere 2021'!L73,'Costdrivere 2022'!L73)</f>
        <v>8205753.0367503483</v>
      </c>
      <c r="M73" s="292">
        <f>AVERAGE('Costdrivere 2021'!M73,'Costdrivere 2022'!M73)</f>
        <v>3.884912819691233E-2</v>
      </c>
      <c r="N73" s="141">
        <f>AVERAGE('Costdrivere 2021'!N73,'Costdrivere 2022'!N73)</f>
        <v>714.34500000000003</v>
      </c>
      <c r="O73" s="119">
        <f>AVERAGE('Costdrivere 2021'!O73,'Costdrivere 2022'!O73)</f>
        <v>1125.115</v>
      </c>
      <c r="P73" s="119">
        <f>AVERAGE('Costdrivere 2021'!P73,'Costdrivere 2022'!P73)</f>
        <v>94.704999999999998</v>
      </c>
      <c r="Q73" s="119">
        <f>AVERAGE('Costdrivere 2021'!Q73,'Costdrivere 2022'!Q73)</f>
        <v>0</v>
      </c>
      <c r="R73" s="159">
        <f>AVERAGE('Costdrivere 2021'!R73,'Costdrivere 2022'!R73)</f>
        <v>1.55</v>
      </c>
      <c r="S73" s="141">
        <f>AVERAGE('Costdrivere 2021'!S73,'Costdrivere 2022'!S73)</f>
        <v>227</v>
      </c>
      <c r="T73" s="119">
        <f>AVERAGE('Costdrivere 2021'!T73,'Costdrivere 2022'!T73)</f>
        <v>12</v>
      </c>
      <c r="U73" s="119">
        <f>AVERAGE('Costdrivere 2021'!U73,'Costdrivere 2022'!U73)</f>
        <v>121</v>
      </c>
      <c r="V73" s="119">
        <f>AVERAGE('Costdrivere 2021'!V73,'Costdrivere 2022'!V73)</f>
        <v>7656.5</v>
      </c>
      <c r="W73" s="159">
        <f>AVERAGE('Costdrivere 2021'!W73,'Costdrivere 2022'!W73)</f>
        <v>11501</v>
      </c>
      <c r="X73" s="58">
        <f>AVERAGE('Costdrivere 2021'!X73,'Costdrivere 2022'!X73)</f>
        <v>448980</v>
      </c>
      <c r="Y73" s="159">
        <f>AVERAGE('Costdrivere 2021'!Y73,'Costdrivere 2022'!Y73)</f>
        <v>194284.5</v>
      </c>
      <c r="Z73" s="58">
        <f>AVERAGE('Costdrivere 2021'!Z73,'Costdrivere 2022'!Z73)</f>
        <v>22520</v>
      </c>
      <c r="AA73" s="88">
        <f>AVERAGE('Costdrivere 2021'!AA73,'Costdrivere 2022'!AA73)</f>
        <v>15276498.428453982</v>
      </c>
      <c r="AB73" s="88">
        <f>AVERAGE('Costdrivere 2021'!AB73,'Costdrivere 2022'!AB73)</f>
        <v>0</v>
      </c>
      <c r="AC73" s="58">
        <f>AVERAGE('Costdrivere 2021'!AC73,'Costdrivere 2022'!AC73)</f>
        <v>250.05</v>
      </c>
      <c r="AD73" s="290">
        <f>AVERAGE('Costdrivere 2021'!AD73,'Costdrivere 2022'!AD73)</f>
        <v>4223.3999999999996</v>
      </c>
      <c r="AE73" s="145">
        <f>AVERAGE('Costdrivere 2021'!AE73,'Costdrivere 2022'!AE73)</f>
        <v>0</v>
      </c>
      <c r="AF73" s="58">
        <f>AVERAGE('Costdrivere 2021'!AF73,'Costdrivere 2022'!AF73)</f>
        <v>176.75</v>
      </c>
      <c r="AG73" s="290">
        <f>AVERAGE('Costdrivere 2021'!AG73,'Costdrivere 2022'!AG73)</f>
        <v>1720.8400000000001</v>
      </c>
      <c r="AH73" s="145">
        <f>AVERAGE('Costdrivere 2021'!AH73,'Costdrivere 2022'!AH73)</f>
        <v>0</v>
      </c>
      <c r="AI73" s="88">
        <f>AVERAGE('Costdrivere 2021'!AI73,'Costdrivere 2022'!AI73)</f>
        <v>32853.5</v>
      </c>
      <c r="AJ73" s="88">
        <f>AVERAGE('Costdrivere 2021'!AJ73,'Costdrivere 2022'!AJ73)</f>
        <v>4457474</v>
      </c>
      <c r="AK73" s="99" t="str">
        <f>'Costdrivere 2022'!AK73</f>
        <v>t+r</v>
      </c>
      <c r="AL73" s="150">
        <f>AVERAGE('Costdrivere 2021'!AL73,'Costdrivere 2022'!AL73)</f>
        <v>46312.5</v>
      </c>
      <c r="AM73" s="48"/>
      <c r="AN73" s="121">
        <f>AVERAGE('Costdrivere 2021'!AN73,'Costdrivere 2022'!AN73)</f>
        <v>22059960.136554778</v>
      </c>
      <c r="AO73" s="166">
        <f>AVERAGE('Costdrivere 2021'!AO73,'Costdrivere 2022'!AO73)</f>
        <v>172578567.93128908</v>
      </c>
      <c r="AP73" s="118">
        <f>AVERAGE('Costdrivere 2021'!AP73,'Costdrivere 2022'!AP73)</f>
        <v>3480182.8700013859</v>
      </c>
      <c r="AQ73" s="203"/>
    </row>
    <row r="74" spans="1:43" x14ac:dyDescent="0.25">
      <c r="A74" s="202" t="s">
        <v>159</v>
      </c>
      <c r="B74" s="202" t="s">
        <v>160</v>
      </c>
      <c r="C74" s="141">
        <f>AVERAGE('Costdrivere 2021'!C74,'Costdrivere 2022'!C74)</f>
        <v>2815583.6171240006</v>
      </c>
      <c r="D74" s="119">
        <f>AVERAGE('Costdrivere 2021'!D74,'Costdrivere 2022'!D74)</f>
        <v>2325809.1563500003</v>
      </c>
      <c r="E74" s="119">
        <f>AVERAGE('Costdrivere 2021'!E74,'Costdrivere 2022'!E74)</f>
        <v>414646.91080000001</v>
      </c>
      <c r="F74" s="119">
        <f>AVERAGE('Costdrivere 2021'!F74,'Costdrivere 2022'!F74)</f>
        <v>5343.6330000000007</v>
      </c>
      <c r="G74" s="119">
        <f>AVERAGE('Costdrivere 2021'!G74,'Costdrivere 2022'!G74)</f>
        <v>2298978.483620604</v>
      </c>
      <c r="H74" s="119">
        <f>AVERAGE('Costdrivere 2021'!H74,'Costdrivere 2022'!H74)</f>
        <v>0</v>
      </c>
      <c r="I74" s="119">
        <f>AVERAGE('Costdrivere 2021'!I74,'Costdrivere 2022'!I74)</f>
        <v>787708.85869999998</v>
      </c>
      <c r="J74" s="119">
        <f>AVERAGE('Costdrivere 2021'!J74,'Costdrivere 2022'!J74)</f>
        <v>683953.36099999992</v>
      </c>
      <c r="K74" s="119">
        <f>AVERAGE('Costdrivere 2021'!K74,'Costdrivere 2022'!K74)</f>
        <v>1266622.0365656479</v>
      </c>
      <c r="L74" s="159">
        <f>AVERAGE('Costdrivere 2021'!L74,'Costdrivere 2022'!L74)</f>
        <v>2215466.8827903736</v>
      </c>
      <c r="M74" s="292">
        <f>AVERAGE('Costdrivere 2021'!M74,'Costdrivere 2022'!M74)</f>
        <v>2.5081575738787727E-2</v>
      </c>
      <c r="N74" s="141">
        <f>AVERAGE('Costdrivere 2021'!N74,'Costdrivere 2022'!N74)</f>
        <v>271.05</v>
      </c>
      <c r="O74" s="119">
        <f>AVERAGE('Costdrivere 2021'!O74,'Costdrivere 2022'!O74)</f>
        <v>518</v>
      </c>
      <c r="P74" s="119">
        <f>AVERAGE('Costdrivere 2021'!P74,'Costdrivere 2022'!P74)</f>
        <v>0</v>
      </c>
      <c r="Q74" s="119">
        <f>AVERAGE('Costdrivere 2021'!Q74,'Costdrivere 2022'!Q74)</f>
        <v>0</v>
      </c>
      <c r="R74" s="159">
        <f>AVERAGE('Costdrivere 2021'!R74,'Costdrivere 2022'!R74)</f>
        <v>1.02</v>
      </c>
      <c r="S74" s="141">
        <f>AVERAGE('Costdrivere 2021'!S74,'Costdrivere 2022'!S74)</f>
        <v>4</v>
      </c>
      <c r="T74" s="119">
        <f>AVERAGE('Costdrivere 2021'!T74,'Costdrivere 2022'!T74)</f>
        <v>32</v>
      </c>
      <c r="U74" s="119">
        <f>AVERAGE('Costdrivere 2021'!U74,'Costdrivere 2022'!U74)</f>
        <v>76.5</v>
      </c>
      <c r="V74" s="119">
        <f>AVERAGE('Costdrivere 2021'!V74,'Costdrivere 2022'!V74)</f>
        <v>0</v>
      </c>
      <c r="W74" s="159">
        <f>AVERAGE('Costdrivere 2021'!W74,'Costdrivere 2022'!W74)</f>
        <v>840</v>
      </c>
      <c r="X74" s="58">
        <f>AVERAGE('Costdrivere 2021'!X74,'Costdrivere 2022'!X74)</f>
        <v>108788</v>
      </c>
      <c r="Y74" s="159">
        <f>AVERAGE('Costdrivere 2021'!Y74,'Costdrivere 2022'!Y74)</f>
        <v>99524</v>
      </c>
      <c r="Z74" s="58">
        <f>AVERAGE('Costdrivere 2021'!Z74,'Costdrivere 2022'!Z74)</f>
        <v>873</v>
      </c>
      <c r="AA74" s="88">
        <f>AVERAGE('Costdrivere 2021'!AA74,'Costdrivere 2022'!AA74)</f>
        <v>2298978.483620604</v>
      </c>
      <c r="AB74" s="88">
        <f>AVERAGE('Costdrivere 2021'!AB74,'Costdrivere 2022'!AB74)</f>
        <v>0</v>
      </c>
      <c r="AC74" s="58">
        <f>AVERAGE('Costdrivere 2021'!AC74,'Costdrivere 2022'!AC74)</f>
        <v>176</v>
      </c>
      <c r="AD74" s="290">
        <f>AVERAGE('Costdrivere 2021'!AD74,'Costdrivere 2022'!AD74)</f>
        <v>0</v>
      </c>
      <c r="AE74" s="145">
        <f>AVERAGE('Costdrivere 2021'!AE74,'Costdrivere 2022'!AE74)</f>
        <v>0</v>
      </c>
      <c r="AF74" s="58">
        <f>AVERAGE('Costdrivere 2021'!AF74,'Costdrivere 2022'!AF74)</f>
        <v>0</v>
      </c>
      <c r="AG74" s="290">
        <f>AVERAGE('Costdrivere 2021'!AG74,'Costdrivere 2022'!AG74)</f>
        <v>0</v>
      </c>
      <c r="AH74" s="145">
        <f>AVERAGE('Costdrivere 2021'!AH74,'Costdrivere 2022'!AH74)</f>
        <v>178</v>
      </c>
      <c r="AI74" s="88">
        <f>AVERAGE('Costdrivere 2021'!AI74,'Costdrivere 2022'!AI74)</f>
        <v>10489</v>
      </c>
      <c r="AJ74" s="88">
        <f>AVERAGE('Costdrivere 2021'!AJ74,'Costdrivere 2022'!AJ74)</f>
        <v>1179867.5</v>
      </c>
      <c r="AK74" s="99" t="str">
        <f>'Costdrivere 2022'!AK74</f>
        <v>t+r</v>
      </c>
      <c r="AL74" s="150">
        <f>AVERAGE('Costdrivere 2021'!AL74,'Costdrivere 2022'!AL74)</f>
        <v>13496</v>
      </c>
      <c r="AM74" s="48"/>
      <c r="AN74" s="121">
        <f>AVERAGE('Costdrivere 2021'!AN74,'Costdrivere 2022'!AN74)</f>
        <v>1559368.6013807175</v>
      </c>
      <c r="AO74" s="166">
        <f>AVERAGE('Costdrivere 2021'!AO74,'Costdrivere 2022'!AO74)</f>
        <v>62461877.666666657</v>
      </c>
      <c r="AP74" s="118">
        <f>AVERAGE('Costdrivere 2021'!AP74,'Costdrivere 2022'!AP74)</f>
        <v>814160</v>
      </c>
      <c r="AQ74" s="203"/>
    </row>
    <row r="75" spans="1:43" x14ac:dyDescent="0.25">
      <c r="A75" s="202" t="s">
        <v>161</v>
      </c>
      <c r="B75" s="202" t="s">
        <v>162</v>
      </c>
      <c r="C75" s="141">
        <f>AVERAGE('Costdrivere 2021'!C75,'Costdrivere 2022'!C75)</f>
        <v>5272587.7384299999</v>
      </c>
      <c r="D75" s="119">
        <f>AVERAGE('Costdrivere 2021'!D75,'Costdrivere 2022'!D75)</f>
        <v>6130982.1856000014</v>
      </c>
      <c r="E75" s="119">
        <f>AVERAGE('Costdrivere 2021'!E75,'Costdrivere 2022'!E75)</f>
        <v>466841.66450000007</v>
      </c>
      <c r="F75" s="119">
        <f>AVERAGE('Costdrivere 2021'!F75,'Costdrivere 2022'!F75)</f>
        <v>126386.40800000001</v>
      </c>
      <c r="G75" s="119">
        <f>AVERAGE('Costdrivere 2021'!G75,'Costdrivere 2022'!G75)</f>
        <v>0</v>
      </c>
      <c r="H75" s="119">
        <f>AVERAGE('Costdrivere 2021'!H75,'Costdrivere 2022'!H75)</f>
        <v>0</v>
      </c>
      <c r="I75" s="119">
        <f>AVERAGE('Costdrivere 2021'!I75,'Costdrivere 2022'!I75)</f>
        <v>0</v>
      </c>
      <c r="J75" s="119">
        <f>AVERAGE('Costdrivere 2021'!J75,'Costdrivere 2022'!J75)</f>
        <v>0</v>
      </c>
      <c r="K75" s="119">
        <f>AVERAGE('Costdrivere 2021'!K75,'Costdrivere 2022'!K75)</f>
        <v>1757804.9025569926</v>
      </c>
      <c r="L75" s="159">
        <f>AVERAGE('Costdrivere 2021'!L75,'Costdrivere 2022'!L75)</f>
        <v>2984807.3310805671</v>
      </c>
      <c r="M75" s="292">
        <f>AVERAGE('Costdrivere 2021'!M75,'Costdrivere 2022'!M75)</f>
        <v>2.6176270348661598E-2</v>
      </c>
      <c r="N75" s="141">
        <f>AVERAGE('Costdrivere 2021'!N75,'Costdrivere 2022'!N75)</f>
        <v>706.4</v>
      </c>
      <c r="O75" s="119">
        <f>AVERAGE('Costdrivere 2021'!O75,'Costdrivere 2022'!O75)</f>
        <v>829.3</v>
      </c>
      <c r="P75" s="119">
        <f>AVERAGE('Costdrivere 2021'!P75,'Costdrivere 2022'!P75)</f>
        <v>0</v>
      </c>
      <c r="Q75" s="119">
        <f>AVERAGE('Costdrivere 2021'!Q75,'Costdrivere 2022'!Q75)</f>
        <v>0</v>
      </c>
      <c r="R75" s="159">
        <f>AVERAGE('Costdrivere 2021'!R75,'Costdrivere 2022'!R75)</f>
        <v>2.1</v>
      </c>
      <c r="S75" s="141">
        <f>AVERAGE('Costdrivere 2021'!S75,'Costdrivere 2022'!S75)</f>
        <v>137.5</v>
      </c>
      <c r="T75" s="119">
        <f>AVERAGE('Costdrivere 2021'!T75,'Costdrivere 2022'!T75)</f>
        <v>69.5</v>
      </c>
      <c r="U75" s="119">
        <f>AVERAGE('Costdrivere 2021'!U75,'Costdrivere 2022'!U75)</f>
        <v>170.5</v>
      </c>
      <c r="V75" s="119">
        <f>AVERAGE('Costdrivere 2021'!V75,'Costdrivere 2022'!V75)</f>
        <v>1926</v>
      </c>
      <c r="W75" s="159">
        <f>AVERAGE('Costdrivere 2021'!W75,'Costdrivere 2022'!W75)</f>
        <v>1834</v>
      </c>
      <c r="X75" s="58">
        <f>AVERAGE('Costdrivere 2021'!X75,'Costdrivere 2022'!X75)</f>
        <v>93458</v>
      </c>
      <c r="Y75" s="159">
        <f>AVERAGE('Costdrivere 2021'!Y75,'Costdrivere 2022'!Y75)</f>
        <v>129075</v>
      </c>
      <c r="Z75" s="58">
        <f>AVERAGE('Costdrivere 2021'!Z75,'Costdrivere 2022'!Z75)</f>
        <v>20648</v>
      </c>
      <c r="AA75" s="88">
        <f>AVERAGE('Costdrivere 2021'!AA75,'Costdrivere 2022'!AA75)</f>
        <v>0</v>
      </c>
      <c r="AB75" s="88">
        <f>AVERAGE('Costdrivere 2021'!AB75,'Costdrivere 2022'!AB75)</f>
        <v>0</v>
      </c>
      <c r="AC75" s="58">
        <f>AVERAGE('Costdrivere 2021'!AC75,'Costdrivere 2022'!AC75)</f>
        <v>0</v>
      </c>
      <c r="AD75" s="290">
        <f>AVERAGE('Costdrivere 2021'!AD75,'Costdrivere 2022'!AD75)</f>
        <v>0</v>
      </c>
      <c r="AE75" s="145">
        <f>AVERAGE('Costdrivere 2021'!AE75,'Costdrivere 2022'!AE75)</f>
        <v>0</v>
      </c>
      <c r="AF75" s="58">
        <f>AVERAGE('Costdrivere 2021'!AF75,'Costdrivere 2022'!AF75)</f>
        <v>0</v>
      </c>
      <c r="AG75" s="290">
        <f>AVERAGE('Costdrivere 2021'!AG75,'Costdrivere 2022'!AG75)</f>
        <v>0</v>
      </c>
      <c r="AH75" s="145">
        <f>AVERAGE('Costdrivere 2021'!AH75,'Costdrivere 2022'!AH75)</f>
        <v>0</v>
      </c>
      <c r="AI75" s="88">
        <f>AVERAGE('Costdrivere 2021'!AI75,'Costdrivere 2022'!AI75)</f>
        <v>24087.5</v>
      </c>
      <c r="AJ75" s="88">
        <f>AVERAGE('Costdrivere 2021'!AJ75,'Costdrivere 2022'!AJ75)</f>
        <v>2156724</v>
      </c>
      <c r="AK75" s="99" t="str">
        <f>'Costdrivere 2022'!AK75</f>
        <v>t</v>
      </c>
      <c r="AL75" s="150">
        <f>AVERAGE('Costdrivere 2021'!AL75,'Costdrivere 2022'!AL75)</f>
        <v>28136</v>
      </c>
      <c r="AM75" s="48"/>
      <c r="AN75" s="121">
        <f>AVERAGE('Costdrivere 2021'!AN75,'Costdrivere 2022'!AN75)</f>
        <v>0</v>
      </c>
      <c r="AO75" s="166">
        <f>AVERAGE('Costdrivere 2021'!AO75,'Costdrivere 2022'!AO75)</f>
        <v>100423539.79999998</v>
      </c>
      <c r="AP75" s="118">
        <f>AVERAGE('Costdrivere 2021'!AP75,'Costdrivere 2022'!AP75)</f>
        <v>338733.33333333331</v>
      </c>
      <c r="AQ75" s="203"/>
    </row>
    <row r="76" spans="1:43" x14ac:dyDescent="0.25">
      <c r="A76" s="202" t="s">
        <v>163</v>
      </c>
      <c r="B76" s="202" t="s">
        <v>164</v>
      </c>
      <c r="C76" s="141">
        <f>AVERAGE('Costdrivere 2021'!C76,'Costdrivere 2022'!C76)</f>
        <v>2016.5435950000001</v>
      </c>
      <c r="D76" s="119">
        <f>AVERAGE('Costdrivere 2021'!D76,'Costdrivere 2022'!D76)</f>
        <v>0</v>
      </c>
      <c r="E76" s="119">
        <f>AVERAGE('Costdrivere 2021'!E76,'Costdrivere 2022'!E76)</f>
        <v>8123.84</v>
      </c>
      <c r="F76" s="119">
        <f>AVERAGE('Costdrivere 2021'!F76,'Costdrivere 2022'!F76)</f>
        <v>0</v>
      </c>
      <c r="G76" s="119">
        <f>AVERAGE('Costdrivere 2021'!G76,'Costdrivere 2022'!G76)</f>
        <v>10300122.553040452</v>
      </c>
      <c r="H76" s="119">
        <f>AVERAGE('Costdrivere 2021'!H76,'Costdrivere 2022'!H76)</f>
        <v>0</v>
      </c>
      <c r="I76" s="119">
        <f>AVERAGE('Costdrivere 2021'!I76,'Costdrivere 2022'!I76)</f>
        <v>1124600.3646500001</v>
      </c>
      <c r="J76" s="119">
        <f>AVERAGE('Costdrivere 2021'!J76,'Costdrivere 2022'!J76)</f>
        <v>1722203.64335</v>
      </c>
      <c r="K76" s="119">
        <f>AVERAGE('Costdrivere 2021'!K76,'Costdrivere 2022'!K76)</f>
        <v>105137.77587651089</v>
      </c>
      <c r="L76" s="159">
        <f>AVERAGE('Costdrivere 2021'!L76,'Costdrivere 2022'!L76)</f>
        <v>1938911.4045606554</v>
      </c>
      <c r="M76" s="292">
        <f>AVERAGE('Costdrivere 2021'!M76,'Costdrivere 2022'!M76)</f>
        <v>0</v>
      </c>
      <c r="N76" s="141">
        <f>AVERAGE('Costdrivere 2021'!N76,'Costdrivere 2022'!N76)</f>
        <v>0</v>
      </c>
      <c r="O76" s="119">
        <f>AVERAGE('Costdrivere 2021'!O76,'Costdrivere 2022'!O76)</f>
        <v>0.55000000000000004</v>
      </c>
      <c r="P76" s="119">
        <f>AVERAGE('Costdrivere 2021'!P76,'Costdrivere 2022'!P76)</f>
        <v>0</v>
      </c>
      <c r="Q76" s="119">
        <f>AVERAGE('Costdrivere 2021'!Q76,'Costdrivere 2022'!Q76)</f>
        <v>0</v>
      </c>
      <c r="R76" s="159">
        <f>AVERAGE('Costdrivere 2021'!R76,'Costdrivere 2022'!R76)</f>
        <v>0</v>
      </c>
      <c r="S76" s="141">
        <f>AVERAGE('Costdrivere 2021'!S76,'Costdrivere 2022'!S76)</f>
        <v>0</v>
      </c>
      <c r="T76" s="119">
        <f>AVERAGE('Costdrivere 2021'!T76,'Costdrivere 2022'!T76)</f>
        <v>0</v>
      </c>
      <c r="U76" s="119">
        <f>AVERAGE('Costdrivere 2021'!U76,'Costdrivere 2022'!U76)</f>
        <v>0</v>
      </c>
      <c r="V76" s="119">
        <f>AVERAGE('Costdrivere 2021'!V76,'Costdrivere 2022'!V76)</f>
        <v>0</v>
      </c>
      <c r="W76" s="159">
        <f>AVERAGE('Costdrivere 2021'!W76,'Costdrivere 2022'!W76)</f>
        <v>0</v>
      </c>
      <c r="X76" s="58">
        <f>AVERAGE('Costdrivere 2021'!X76,'Costdrivere 2022'!X76)</f>
        <v>0</v>
      </c>
      <c r="Y76" s="159">
        <f>AVERAGE('Costdrivere 2021'!Y76,'Costdrivere 2022'!Y76)</f>
        <v>3200</v>
      </c>
      <c r="Z76" s="58">
        <f>AVERAGE('Costdrivere 2021'!Z76,'Costdrivere 2022'!Z76)</f>
        <v>0</v>
      </c>
      <c r="AA76" s="88">
        <f>AVERAGE('Costdrivere 2021'!AA76,'Costdrivere 2022'!AA76)</f>
        <v>10300122.553040452</v>
      </c>
      <c r="AB76" s="88">
        <f>AVERAGE('Costdrivere 2021'!AB76,'Costdrivere 2022'!AB76)</f>
        <v>0</v>
      </c>
      <c r="AC76" s="58">
        <f>AVERAGE('Costdrivere 2021'!AC76,'Costdrivere 2022'!AC76)</f>
        <v>1389.5</v>
      </c>
      <c r="AD76" s="290">
        <f>AVERAGE('Costdrivere 2021'!AD76,'Costdrivere 2022'!AD76)</f>
        <v>0</v>
      </c>
      <c r="AE76" s="145">
        <f>AVERAGE('Costdrivere 2021'!AE76,'Costdrivere 2022'!AE76)</f>
        <v>0</v>
      </c>
      <c r="AF76" s="58">
        <f>AVERAGE('Costdrivere 2021'!AF76,'Costdrivere 2022'!AF76)</f>
        <v>1389.5</v>
      </c>
      <c r="AG76" s="290">
        <f>AVERAGE('Costdrivere 2021'!AG76,'Costdrivere 2022'!AG76)</f>
        <v>0</v>
      </c>
      <c r="AH76" s="145">
        <f>AVERAGE('Costdrivere 2021'!AH76,'Costdrivere 2022'!AH76)</f>
        <v>0</v>
      </c>
      <c r="AI76" s="88">
        <f>AVERAGE('Costdrivere 2021'!AI76,'Costdrivere 2022'!AI76)</f>
        <v>19</v>
      </c>
      <c r="AJ76" s="88">
        <f>AVERAGE('Costdrivere 2021'!AJ76,'Costdrivere 2022'!AJ76)</f>
        <v>2068337.5</v>
      </c>
      <c r="AK76" s="99" t="str">
        <f>'Costdrivere 2022'!AK76</f>
        <v>r</v>
      </c>
      <c r="AL76" s="150">
        <f>AVERAGE('Costdrivere 2021'!AL76,'Costdrivere 2022'!AL76)</f>
        <v>2</v>
      </c>
      <c r="AM76" s="48"/>
      <c r="AN76" s="121">
        <f>AVERAGE('Costdrivere 2021'!AN76,'Costdrivere 2022'!AN76)</f>
        <v>11342681.766855493</v>
      </c>
      <c r="AO76" s="166">
        <f>AVERAGE('Costdrivere 2021'!AO76,'Costdrivere 2022'!AO76)</f>
        <v>840865.01199999999</v>
      </c>
      <c r="AP76" s="118">
        <f>AVERAGE('Costdrivere 2021'!AP76,'Costdrivere 2022'!AP76)</f>
        <v>536894.06666666665</v>
      </c>
      <c r="AQ76" s="203"/>
    </row>
    <row r="77" spans="1:43" x14ac:dyDescent="0.25">
      <c r="A77" s="202" t="s">
        <v>165</v>
      </c>
      <c r="B77" s="202" t="s">
        <v>166</v>
      </c>
      <c r="C77" s="141">
        <f>AVERAGE('Costdrivere 2021'!C77,'Costdrivere 2022'!C77)</f>
        <v>2843101.480552</v>
      </c>
      <c r="D77" s="119">
        <f>AVERAGE('Costdrivere 2021'!D77,'Costdrivere 2022'!D77)</f>
        <v>8413012.2105999999</v>
      </c>
      <c r="E77" s="119">
        <f>AVERAGE('Costdrivere 2021'!E77,'Costdrivere 2022'!E77)</f>
        <v>531150.94405000005</v>
      </c>
      <c r="F77" s="119">
        <f>AVERAGE('Costdrivere 2021'!F77,'Costdrivere 2022'!F77)</f>
        <v>189720.39500000002</v>
      </c>
      <c r="G77" s="119">
        <f>AVERAGE('Costdrivere 2021'!G77,'Costdrivere 2022'!G77)</f>
        <v>698389.25133649993</v>
      </c>
      <c r="H77" s="119">
        <f>AVERAGE('Costdrivere 2021'!H77,'Costdrivere 2022'!H77)</f>
        <v>64422.157499999994</v>
      </c>
      <c r="I77" s="119">
        <f>AVERAGE('Costdrivere 2021'!I77,'Costdrivere 2022'!I77)</f>
        <v>828796.57429999998</v>
      </c>
      <c r="J77" s="119">
        <f>AVERAGE('Costdrivere 2021'!J77,'Costdrivere 2022'!J77)</f>
        <v>659569.30560000008</v>
      </c>
      <c r="K77" s="119">
        <f>AVERAGE('Costdrivere 2021'!K77,'Costdrivere 2022'!K77)</f>
        <v>1264499.4694087175</v>
      </c>
      <c r="L77" s="159">
        <f>AVERAGE('Costdrivere 2021'!L77,'Costdrivere 2022'!L77)</f>
        <v>2676017.9723896384</v>
      </c>
      <c r="M77" s="292">
        <f>AVERAGE('Costdrivere 2021'!M77,'Costdrivere 2022'!M77)</f>
        <v>2.2961686659571989E-2</v>
      </c>
      <c r="N77" s="141">
        <f>AVERAGE('Costdrivere 2021'!N77,'Costdrivere 2022'!N77)</f>
        <v>335.755</v>
      </c>
      <c r="O77" s="119">
        <f>AVERAGE('Costdrivere 2021'!O77,'Costdrivere 2022'!O77)</f>
        <v>415.12</v>
      </c>
      <c r="P77" s="119">
        <f>AVERAGE('Costdrivere 2021'!P77,'Costdrivere 2022'!P77)</f>
        <v>34.480000000000004</v>
      </c>
      <c r="Q77" s="119">
        <f>AVERAGE('Costdrivere 2021'!Q77,'Costdrivere 2022'!Q77)</f>
        <v>0</v>
      </c>
      <c r="R77" s="159">
        <f>AVERAGE('Costdrivere 2021'!R77,'Costdrivere 2022'!R77)</f>
        <v>0</v>
      </c>
      <c r="S77" s="141">
        <f>AVERAGE('Costdrivere 2021'!S77,'Costdrivere 2022'!S77)</f>
        <v>993.5</v>
      </c>
      <c r="T77" s="119">
        <f>AVERAGE('Costdrivere 2021'!T77,'Costdrivere 2022'!T77)</f>
        <v>234.5</v>
      </c>
      <c r="U77" s="119">
        <f>AVERAGE('Costdrivere 2021'!U77,'Costdrivere 2022'!U77)</f>
        <v>63.5</v>
      </c>
      <c r="V77" s="119">
        <f>AVERAGE('Costdrivere 2021'!V77,'Costdrivere 2022'!V77)</f>
        <v>3376</v>
      </c>
      <c r="W77" s="159">
        <f>AVERAGE('Costdrivere 2021'!W77,'Costdrivere 2022'!W77)</f>
        <v>2000</v>
      </c>
      <c r="X77" s="58">
        <f>AVERAGE('Costdrivere 2021'!X77,'Costdrivere 2022'!X77)</f>
        <v>65795</v>
      </c>
      <c r="Y77" s="159">
        <f>AVERAGE('Costdrivere 2021'!Y77,'Costdrivere 2022'!Y77)</f>
        <v>170631.5</v>
      </c>
      <c r="Z77" s="58">
        <f>AVERAGE('Costdrivere 2021'!Z77,'Costdrivere 2022'!Z77)</f>
        <v>30995</v>
      </c>
      <c r="AA77" s="88">
        <f>AVERAGE('Costdrivere 2021'!AA77,'Costdrivere 2022'!AA77)</f>
        <v>698389.25133649993</v>
      </c>
      <c r="AB77" s="88">
        <f>AVERAGE('Costdrivere 2021'!AB77,'Costdrivere 2022'!AB77)</f>
        <v>22.5</v>
      </c>
      <c r="AC77" s="58">
        <f>AVERAGE('Costdrivere 2021'!AC77,'Costdrivere 2022'!AC77)</f>
        <v>324</v>
      </c>
      <c r="AD77" s="290">
        <f>AVERAGE('Costdrivere 2021'!AD77,'Costdrivere 2022'!AD77)</f>
        <v>0</v>
      </c>
      <c r="AE77" s="145">
        <f>AVERAGE('Costdrivere 2021'!AE77,'Costdrivere 2022'!AE77)</f>
        <v>0</v>
      </c>
      <c r="AF77" s="58">
        <f>AVERAGE('Costdrivere 2021'!AF77,'Costdrivere 2022'!AF77)</f>
        <v>324</v>
      </c>
      <c r="AG77" s="290">
        <f>AVERAGE('Costdrivere 2021'!AG77,'Costdrivere 2022'!AG77)</f>
        <v>0</v>
      </c>
      <c r="AH77" s="145">
        <f>AVERAGE('Costdrivere 2021'!AH77,'Costdrivere 2022'!AH77)</f>
        <v>0</v>
      </c>
      <c r="AI77" s="88">
        <f>AVERAGE('Costdrivere 2021'!AI77,'Costdrivere 2022'!AI77)</f>
        <v>10446.5</v>
      </c>
      <c r="AJ77" s="88">
        <f>AVERAGE('Costdrivere 2021'!AJ77,'Costdrivere 2022'!AJ77)</f>
        <v>1429215</v>
      </c>
      <c r="AK77" s="99" t="str">
        <f>'Costdrivere 2022'!AK77</f>
        <v>t+r</v>
      </c>
      <c r="AL77" s="150">
        <f>AVERAGE('Costdrivere 2021'!AL77,'Costdrivere 2022'!AL77)</f>
        <v>13428</v>
      </c>
      <c r="AM77" s="48"/>
      <c r="AN77" s="121">
        <f>AVERAGE('Costdrivere 2021'!AN77,'Costdrivere 2022'!AN77)</f>
        <v>245552.67470145054</v>
      </c>
      <c r="AO77" s="166">
        <f>AVERAGE('Costdrivere 2021'!AO77,'Costdrivere 2022'!AO77)</f>
        <v>67543653.931487158</v>
      </c>
      <c r="AP77" s="118">
        <f>AVERAGE('Costdrivere 2021'!AP77,'Costdrivere 2022'!AP77)</f>
        <v>956281.06666666665</v>
      </c>
      <c r="AQ77" s="203"/>
    </row>
    <row r="78" spans="1:43" x14ac:dyDescent="0.25">
      <c r="A78" s="202" t="s">
        <v>167</v>
      </c>
      <c r="B78" s="202" t="s">
        <v>168</v>
      </c>
      <c r="C78" s="141">
        <f>AVERAGE('Costdrivere 2021'!C78,'Costdrivere 2022'!C78)</f>
        <v>5376909.0334400004</v>
      </c>
      <c r="D78" s="119">
        <f>AVERAGE('Costdrivere 2021'!D78,'Costdrivere 2022'!D78)</f>
        <v>5770472.2784000002</v>
      </c>
      <c r="E78" s="119">
        <f>AVERAGE('Costdrivere 2021'!E78,'Costdrivere 2022'!E78)</f>
        <v>555557.71360000002</v>
      </c>
      <c r="F78" s="119">
        <f>AVERAGE('Costdrivere 2021'!F78,'Costdrivere 2022'!F78)</f>
        <v>204582.18300000002</v>
      </c>
      <c r="G78" s="119">
        <f>AVERAGE('Costdrivere 2021'!G78,'Costdrivere 2022'!G78)</f>
        <v>14970162.168733545</v>
      </c>
      <c r="H78" s="119">
        <f>AVERAGE('Costdrivere 2021'!H78,'Costdrivere 2022'!H78)</f>
        <v>5726.4139999999998</v>
      </c>
      <c r="I78" s="119">
        <f>AVERAGE('Costdrivere 2021'!I78,'Costdrivere 2022'!I78)</f>
        <v>2233712.58293</v>
      </c>
      <c r="J78" s="119">
        <f>AVERAGE('Costdrivere 2021'!J78,'Costdrivere 2022'!J78)</f>
        <v>3432398.24505</v>
      </c>
      <c r="K78" s="119">
        <f>AVERAGE('Costdrivere 2021'!K78,'Costdrivere 2022'!K78)</f>
        <v>1755376.094527937</v>
      </c>
      <c r="L78" s="159">
        <f>AVERAGE('Costdrivere 2021'!L78,'Costdrivere 2022'!L78)</f>
        <v>7272811.504288774</v>
      </c>
      <c r="M78" s="292">
        <f>AVERAGE('Costdrivere 2021'!M78,'Costdrivere 2022'!M78)</f>
        <v>4.7167099084331206E-2</v>
      </c>
      <c r="N78" s="141">
        <f>AVERAGE('Costdrivere 2021'!N78,'Costdrivere 2022'!N78)</f>
        <v>255.5</v>
      </c>
      <c r="O78" s="119">
        <f>AVERAGE('Costdrivere 2021'!O78,'Costdrivere 2022'!O78)</f>
        <v>828.3</v>
      </c>
      <c r="P78" s="119">
        <f>AVERAGE('Costdrivere 2021'!P78,'Costdrivere 2022'!P78)</f>
        <v>88.3</v>
      </c>
      <c r="Q78" s="119">
        <f>AVERAGE('Costdrivere 2021'!Q78,'Costdrivere 2022'!Q78)</f>
        <v>0</v>
      </c>
      <c r="R78" s="159">
        <f>AVERAGE('Costdrivere 2021'!R78,'Costdrivere 2022'!R78)</f>
        <v>1.3</v>
      </c>
      <c r="S78" s="141">
        <f>AVERAGE('Costdrivere 2021'!S78,'Costdrivere 2022'!S78)</f>
        <v>130</v>
      </c>
      <c r="T78" s="119">
        <f>AVERAGE('Costdrivere 2021'!T78,'Costdrivere 2022'!T78)</f>
        <v>158</v>
      </c>
      <c r="U78" s="119">
        <f>AVERAGE('Costdrivere 2021'!U78,'Costdrivere 2022'!U78)</f>
        <v>121</v>
      </c>
      <c r="V78" s="119">
        <f>AVERAGE('Costdrivere 2021'!V78,'Costdrivere 2022'!V78)</f>
        <v>2631</v>
      </c>
      <c r="W78" s="159">
        <f>AVERAGE('Costdrivere 2021'!W78,'Costdrivere 2022'!W78)</f>
        <v>0</v>
      </c>
      <c r="X78" s="58">
        <f>AVERAGE('Costdrivere 2021'!X78,'Costdrivere 2022'!X78)</f>
        <v>76583</v>
      </c>
      <c r="Y78" s="159">
        <f>AVERAGE('Costdrivere 2021'!Y78,'Costdrivere 2022'!Y78)</f>
        <v>173918</v>
      </c>
      <c r="Z78" s="58">
        <f>AVERAGE('Costdrivere 2021'!Z78,'Costdrivere 2022'!Z78)</f>
        <v>33423</v>
      </c>
      <c r="AA78" s="88">
        <f>AVERAGE('Costdrivere 2021'!AA78,'Costdrivere 2022'!AA78)</f>
        <v>14970162.168733545</v>
      </c>
      <c r="AB78" s="88">
        <f>AVERAGE('Costdrivere 2021'!AB78,'Costdrivere 2022'!AB78)</f>
        <v>2</v>
      </c>
      <c r="AC78" s="58">
        <f>AVERAGE('Costdrivere 2021'!AC78,'Costdrivere 2022'!AC78)</f>
        <v>453.9</v>
      </c>
      <c r="AD78" s="290">
        <f>AVERAGE('Costdrivere 2021'!AD78,'Costdrivere 2022'!AD78)</f>
        <v>1784</v>
      </c>
      <c r="AE78" s="145">
        <f>AVERAGE('Costdrivere 2021'!AE78,'Costdrivere 2022'!AE78)</f>
        <v>0</v>
      </c>
      <c r="AF78" s="58">
        <f>AVERAGE('Costdrivere 2021'!AF78,'Costdrivere 2022'!AF78)</f>
        <v>1495.5</v>
      </c>
      <c r="AG78" s="290">
        <f>AVERAGE('Costdrivere 2021'!AG78,'Costdrivere 2022'!AG78)</f>
        <v>521.5</v>
      </c>
      <c r="AH78" s="145">
        <f>AVERAGE('Costdrivere 2021'!AH78,'Costdrivere 2022'!AH78)</f>
        <v>35</v>
      </c>
      <c r="AI78" s="88">
        <f>AVERAGE('Costdrivere 2021'!AI78,'Costdrivere 2022'!AI78)</f>
        <v>24002.5</v>
      </c>
      <c r="AJ78" s="88">
        <f>AVERAGE('Costdrivere 2021'!AJ78,'Costdrivere 2022'!AJ78)</f>
        <v>3943474</v>
      </c>
      <c r="AK78" s="99" t="str">
        <f>'Costdrivere 2022'!AK78</f>
        <v>t+r</v>
      </c>
      <c r="AL78" s="150">
        <f>AVERAGE('Costdrivere 2021'!AL78,'Costdrivere 2022'!AL78)</f>
        <v>41021</v>
      </c>
      <c r="AM78" s="48"/>
      <c r="AN78" s="121">
        <f>AVERAGE('Costdrivere 2021'!AN78,'Costdrivere 2022'!AN78)</f>
        <v>14643438.29319004</v>
      </c>
      <c r="AO78" s="166">
        <f>AVERAGE('Costdrivere 2021'!AO78,'Costdrivere 2022'!AO78)</f>
        <v>107176508.79133332</v>
      </c>
      <c r="AP78" s="118">
        <f>AVERAGE('Costdrivere 2021'!AP78,'Costdrivere 2022'!AP78)</f>
        <v>2849600.1468223571</v>
      </c>
      <c r="AQ78" s="203"/>
    </row>
    <row r="79" spans="1:43" x14ac:dyDescent="0.25">
      <c r="A79" s="202" t="s">
        <v>169</v>
      </c>
      <c r="B79" s="202" t="s">
        <v>170</v>
      </c>
      <c r="C79" s="141">
        <f>AVERAGE('Costdrivere 2021'!C79,'Costdrivere 2022'!C79)</f>
        <v>2794489.4742729999</v>
      </c>
      <c r="D79" s="119">
        <f>AVERAGE('Costdrivere 2021'!D79,'Costdrivere 2022'!D79)</f>
        <v>2036601.2562500001</v>
      </c>
      <c r="E79" s="119">
        <f>AVERAGE('Costdrivere 2021'!E79,'Costdrivere 2022'!E79)</f>
        <v>11303.4583</v>
      </c>
      <c r="F79" s="119">
        <f>AVERAGE('Costdrivere 2021'!F79,'Costdrivere 2022'!F79)</f>
        <v>182846.51200000002</v>
      </c>
      <c r="G79" s="119">
        <f>AVERAGE('Costdrivere 2021'!G79,'Costdrivere 2022'!G79)</f>
        <v>5430482.2874134127</v>
      </c>
      <c r="H79" s="119">
        <f>AVERAGE('Costdrivere 2021'!H79,'Costdrivere 2022'!H79)</f>
        <v>0</v>
      </c>
      <c r="I79" s="119">
        <f>AVERAGE('Costdrivere 2021'!I79,'Costdrivere 2022'!I79)</f>
        <v>1102529.5985000001</v>
      </c>
      <c r="J79" s="119">
        <f>AVERAGE('Costdrivere 2021'!J79,'Costdrivere 2022'!J79)</f>
        <v>1658990.9409300003</v>
      </c>
      <c r="K79" s="119">
        <f>AVERAGE('Costdrivere 2021'!K79,'Costdrivere 2022'!K79)</f>
        <v>1489254.1835566191</v>
      </c>
      <c r="L79" s="159">
        <f>AVERAGE('Costdrivere 2021'!L79,'Costdrivere 2022'!L79)</f>
        <v>4766178.7119644256</v>
      </c>
      <c r="M79" s="292">
        <f>AVERAGE('Costdrivere 2021'!M79,'Costdrivere 2022'!M79)</f>
        <v>6.6372601592825972E-2</v>
      </c>
      <c r="N79" s="141">
        <f>AVERAGE('Costdrivere 2021'!N79,'Costdrivere 2022'!N79)</f>
        <v>93.775000000000006</v>
      </c>
      <c r="O79" s="119">
        <f>AVERAGE('Costdrivere 2021'!O79,'Costdrivere 2022'!O79)</f>
        <v>418.42</v>
      </c>
      <c r="P79" s="119">
        <f>AVERAGE('Costdrivere 2021'!P79,'Costdrivere 2022'!P79)</f>
        <v>20.47</v>
      </c>
      <c r="Q79" s="119">
        <f>AVERAGE('Costdrivere 2021'!Q79,'Costdrivere 2022'!Q79)</f>
        <v>0</v>
      </c>
      <c r="R79" s="159">
        <f>AVERAGE('Costdrivere 2021'!R79,'Costdrivere 2022'!R79)</f>
        <v>2.58</v>
      </c>
      <c r="S79" s="141">
        <f>AVERAGE('Costdrivere 2021'!S79,'Costdrivere 2022'!S79)</f>
        <v>58</v>
      </c>
      <c r="T79" s="119">
        <f>AVERAGE('Costdrivere 2021'!T79,'Costdrivere 2022'!T79)</f>
        <v>23.5</v>
      </c>
      <c r="U79" s="119">
        <f>AVERAGE('Costdrivere 2021'!U79,'Costdrivere 2022'!U79)</f>
        <v>60</v>
      </c>
      <c r="V79" s="119">
        <f>AVERAGE('Costdrivere 2021'!V79,'Costdrivere 2022'!V79)</f>
        <v>680</v>
      </c>
      <c r="W79" s="159">
        <f>AVERAGE('Costdrivere 2021'!W79,'Costdrivere 2022'!W79)</f>
        <v>0</v>
      </c>
      <c r="X79" s="58">
        <f>AVERAGE('Costdrivere 2021'!X79,'Costdrivere 2022'!X79)</f>
        <v>5530</v>
      </c>
      <c r="Y79" s="159">
        <f>AVERAGE('Costdrivere 2021'!Y79,'Costdrivere 2022'!Y79)</f>
        <v>1209</v>
      </c>
      <c r="Z79" s="58">
        <f>AVERAGE('Costdrivere 2021'!Z79,'Costdrivere 2022'!Z79)</f>
        <v>29872</v>
      </c>
      <c r="AA79" s="88">
        <f>AVERAGE('Costdrivere 2021'!AA79,'Costdrivere 2022'!AA79)</f>
        <v>5430482.2874134127</v>
      </c>
      <c r="AB79" s="88">
        <f>AVERAGE('Costdrivere 2021'!AB79,'Costdrivere 2022'!AB79)</f>
        <v>0</v>
      </c>
      <c r="AC79" s="58">
        <f>AVERAGE('Costdrivere 2021'!AC79,'Costdrivere 2022'!AC79)</f>
        <v>1310</v>
      </c>
      <c r="AD79" s="290">
        <f>AVERAGE('Costdrivere 2021'!AD79,'Costdrivere 2022'!AD79)</f>
        <v>0</v>
      </c>
      <c r="AE79" s="145">
        <f>AVERAGE('Costdrivere 2021'!AE79,'Costdrivere 2022'!AE79)</f>
        <v>0</v>
      </c>
      <c r="AF79" s="58">
        <f>AVERAGE('Costdrivere 2021'!AF79,'Costdrivere 2022'!AF79)</f>
        <v>1308.0999999999999</v>
      </c>
      <c r="AG79" s="290">
        <f>AVERAGE('Costdrivere 2021'!AG79,'Costdrivere 2022'!AG79)</f>
        <v>6.1</v>
      </c>
      <c r="AH79" s="145">
        <f>AVERAGE('Costdrivere 2021'!AH79,'Costdrivere 2022'!AH79)</f>
        <v>0</v>
      </c>
      <c r="AI79" s="88">
        <f>AVERAGE('Costdrivere 2021'!AI79,'Costdrivere 2022'!AI79)</f>
        <v>15817</v>
      </c>
      <c r="AJ79" s="88">
        <f>AVERAGE('Costdrivere 2021'!AJ79,'Costdrivere 2022'!AJ79)</f>
        <v>2567873</v>
      </c>
      <c r="AK79" s="99" t="str">
        <f>'Costdrivere 2022'!AK79</f>
        <v>t+r</v>
      </c>
      <c r="AL79" s="150">
        <f>AVERAGE('Costdrivere 2021'!AL79,'Costdrivere 2022'!AL79)</f>
        <v>31425</v>
      </c>
      <c r="AM79" s="48"/>
      <c r="AN79" s="121">
        <f>AVERAGE('Costdrivere 2021'!AN79,'Costdrivere 2022'!AN79)</f>
        <v>4414298.6292461986</v>
      </c>
      <c r="AO79" s="166">
        <f>AVERAGE('Costdrivere 2021'!AO79,'Costdrivere 2022'!AO79)</f>
        <v>63105646.977871791</v>
      </c>
      <c r="AP79" s="118">
        <f>AVERAGE('Costdrivere 2021'!AP79,'Costdrivere 2022'!AP79)</f>
        <v>1564080.1401446492</v>
      </c>
      <c r="AQ79" s="203"/>
    </row>
    <row r="80" spans="1:43" x14ac:dyDescent="0.25">
      <c r="A80" s="202" t="s">
        <v>171</v>
      </c>
      <c r="B80" s="202" t="s">
        <v>172</v>
      </c>
      <c r="C80" s="141">
        <f>AVERAGE('Costdrivere 2021'!C80,'Costdrivere 2022'!C80)</f>
        <v>8021286.405013999</v>
      </c>
      <c r="D80" s="119">
        <f>AVERAGE('Costdrivere 2021'!D80,'Costdrivere 2022'!D80)</f>
        <v>6155409.4805180002</v>
      </c>
      <c r="E80" s="119">
        <f>AVERAGE('Costdrivere 2021'!E80,'Costdrivere 2022'!E80)</f>
        <v>1799818.6438500001</v>
      </c>
      <c r="F80" s="119">
        <f>AVERAGE('Costdrivere 2021'!F80,'Costdrivere 2022'!F80)</f>
        <v>62134.271000000008</v>
      </c>
      <c r="G80" s="119">
        <f>AVERAGE('Costdrivere 2021'!G80,'Costdrivere 2022'!G80)</f>
        <v>15318718.648188768</v>
      </c>
      <c r="H80" s="119">
        <f>AVERAGE('Costdrivere 2021'!H80,'Costdrivere 2022'!H80)</f>
        <v>37221.690999999999</v>
      </c>
      <c r="I80" s="119">
        <f>AVERAGE('Costdrivere 2021'!I80,'Costdrivere 2022'!I80)</f>
        <v>2919662.4921500003</v>
      </c>
      <c r="J80" s="119">
        <f>AVERAGE('Costdrivere 2021'!J80,'Costdrivere 2022'!J80)</f>
        <v>1722203.64335</v>
      </c>
      <c r="K80" s="119">
        <f>AVERAGE('Costdrivere 2021'!K80,'Costdrivere 2022'!K80)</f>
        <v>1970002.4220737307</v>
      </c>
      <c r="L80" s="159">
        <f>AVERAGE('Costdrivere 2021'!L80,'Costdrivere 2022'!L80)</f>
        <v>7190821.7206000527</v>
      </c>
      <c r="M80" s="292">
        <f>AVERAGE('Costdrivere 2021'!M80,'Costdrivere 2022'!M80)</f>
        <v>5.5762800074991813E-2</v>
      </c>
      <c r="N80" s="141">
        <f>AVERAGE('Costdrivere 2021'!N80,'Costdrivere 2022'!N80)</f>
        <v>498.85</v>
      </c>
      <c r="O80" s="119">
        <f>AVERAGE('Costdrivere 2021'!O80,'Costdrivere 2022'!O80)</f>
        <v>1168.9499999999998</v>
      </c>
      <c r="P80" s="119">
        <f>AVERAGE('Costdrivere 2021'!P80,'Costdrivere 2022'!P80)</f>
        <v>76.099999999999994</v>
      </c>
      <c r="Q80" s="119">
        <f>AVERAGE('Costdrivere 2021'!Q80,'Costdrivere 2022'!Q80)</f>
        <v>0</v>
      </c>
      <c r="R80" s="159">
        <f>AVERAGE('Costdrivere 2021'!R80,'Costdrivere 2022'!R80)</f>
        <v>4.9450000000000003</v>
      </c>
      <c r="S80" s="141">
        <f>AVERAGE('Costdrivere 2021'!S80,'Costdrivere 2022'!S80)</f>
        <v>147</v>
      </c>
      <c r="T80" s="119">
        <f>AVERAGE('Costdrivere 2021'!T80,'Costdrivere 2022'!T80)</f>
        <v>30.5</v>
      </c>
      <c r="U80" s="119">
        <f>AVERAGE('Costdrivere 2021'!U80,'Costdrivere 2022'!U80)</f>
        <v>128.5</v>
      </c>
      <c r="V80" s="119">
        <f>AVERAGE('Costdrivere 2021'!V80,'Costdrivere 2022'!V80)</f>
        <v>7115.06</v>
      </c>
      <c r="W80" s="159">
        <f>AVERAGE('Costdrivere 2021'!W80,'Costdrivere 2022'!W80)</f>
        <v>750</v>
      </c>
      <c r="X80" s="58">
        <f>AVERAGE('Costdrivere 2021'!X80,'Costdrivere 2022'!X80)</f>
        <v>364501</v>
      </c>
      <c r="Y80" s="159">
        <f>AVERAGE('Costdrivere 2021'!Y80,'Costdrivere 2022'!Y80)</f>
        <v>495165.5</v>
      </c>
      <c r="Z80" s="58">
        <f>AVERAGE('Costdrivere 2021'!Z80,'Costdrivere 2022'!Z80)</f>
        <v>10151</v>
      </c>
      <c r="AA80" s="88">
        <f>AVERAGE('Costdrivere 2021'!AA80,'Costdrivere 2022'!AA80)</f>
        <v>15318718.648188768</v>
      </c>
      <c r="AB80" s="88">
        <f>AVERAGE('Costdrivere 2021'!AB80,'Costdrivere 2022'!AB80)</f>
        <v>13</v>
      </c>
      <c r="AC80" s="58">
        <f>AVERAGE('Costdrivere 2021'!AC80,'Costdrivere 2022'!AC80)</f>
        <v>70.5</v>
      </c>
      <c r="AD80" s="290">
        <f>AVERAGE('Costdrivere 2021'!AD80,'Costdrivere 2022'!AD80)</f>
        <v>2154.5</v>
      </c>
      <c r="AE80" s="145">
        <f>AVERAGE('Costdrivere 2021'!AE80,'Costdrivere 2022'!AE80)</f>
        <v>306</v>
      </c>
      <c r="AF80" s="58">
        <f>AVERAGE('Costdrivere 2021'!AF80,'Costdrivere 2022'!AF80)</f>
        <v>1389.5</v>
      </c>
      <c r="AG80" s="290">
        <f>AVERAGE('Costdrivere 2021'!AG80,'Costdrivere 2022'!AG80)</f>
        <v>0</v>
      </c>
      <c r="AH80" s="145">
        <f>AVERAGE('Costdrivere 2021'!AH80,'Costdrivere 2022'!AH80)</f>
        <v>0</v>
      </c>
      <c r="AI80" s="88">
        <f>AVERAGE('Costdrivere 2021'!AI80,'Costdrivere 2022'!AI80)</f>
        <v>32162</v>
      </c>
      <c r="AJ80" s="88">
        <f>AVERAGE('Costdrivere 2021'!AJ80,'Costdrivere 2022'!AJ80)</f>
        <v>3898358.5</v>
      </c>
      <c r="AK80" s="99" t="str">
        <f>'Costdrivere 2022'!AK80</f>
        <v>t+r</v>
      </c>
      <c r="AL80" s="150">
        <f>AVERAGE('Costdrivere 2021'!AL80,'Costdrivere 2022'!AL80)</f>
        <v>58835</v>
      </c>
      <c r="AM80" s="48"/>
      <c r="AN80" s="121">
        <f>AVERAGE('Costdrivere 2021'!AN80,'Costdrivere 2022'!AN80)</f>
        <v>16653616.324112456</v>
      </c>
      <c r="AO80" s="166">
        <f>AVERAGE('Costdrivere 2021'!AO80,'Costdrivere 2022'!AO80)</f>
        <v>166199746.63333333</v>
      </c>
      <c r="AP80" s="118">
        <f>AVERAGE('Costdrivere 2021'!AP80,'Costdrivere 2022'!AP80)</f>
        <v>2604406.6666666665</v>
      </c>
      <c r="AQ80" s="203"/>
    </row>
    <row r="81" spans="1:43" x14ac:dyDescent="0.25">
      <c r="A81" s="202" t="s">
        <v>173</v>
      </c>
      <c r="B81" s="202" t="s">
        <v>174</v>
      </c>
      <c r="C81" s="141">
        <f>AVERAGE('Costdrivere 2021'!C81,'Costdrivere 2022'!C81)</f>
        <v>5825028.0146639999</v>
      </c>
      <c r="D81" s="119">
        <f>AVERAGE('Costdrivere 2021'!D81,'Costdrivere 2022'!D81)</f>
        <v>13483401.847449999</v>
      </c>
      <c r="E81" s="119">
        <f>AVERAGE('Costdrivere 2021'!E81,'Costdrivere 2022'!E81)</f>
        <v>694137.95689999999</v>
      </c>
      <c r="F81" s="119">
        <f>AVERAGE('Costdrivere 2021'!F81,'Costdrivere 2022'!F81)</f>
        <v>340254.14800000004</v>
      </c>
      <c r="G81" s="119">
        <f>AVERAGE('Costdrivere 2021'!G81,'Costdrivere 2022'!G81)</f>
        <v>19093106.609643139</v>
      </c>
      <c r="H81" s="119">
        <f>AVERAGE('Costdrivere 2021'!H81,'Costdrivere 2022'!H81)</f>
        <v>17179.241999999998</v>
      </c>
      <c r="I81" s="119">
        <f>AVERAGE('Costdrivere 2021'!I81,'Costdrivere 2022'!I81)</f>
        <v>2814461.2633800004</v>
      </c>
      <c r="J81" s="119">
        <f>AVERAGE('Costdrivere 2021'!J81,'Costdrivere 2022'!J81)</f>
        <v>1955989.5782000001</v>
      </c>
      <c r="K81" s="119">
        <f>AVERAGE('Costdrivere 2021'!K81,'Costdrivere 2022'!K81)</f>
        <v>1925364.0331383781</v>
      </c>
      <c r="L81" s="159">
        <f>AVERAGE('Costdrivere 2021'!L81,'Costdrivere 2022'!L81)</f>
        <v>6144028.5254912078</v>
      </c>
      <c r="M81" s="292">
        <f>AVERAGE('Costdrivere 2021'!M81,'Costdrivere 2022'!M81)</f>
        <v>3.6036760694490938E-2</v>
      </c>
      <c r="N81" s="141">
        <f>AVERAGE('Costdrivere 2021'!N81,'Costdrivere 2022'!N81)</f>
        <v>413.86</v>
      </c>
      <c r="O81" s="119">
        <f>AVERAGE('Costdrivere 2021'!O81,'Costdrivere 2022'!O81)</f>
        <v>905.7</v>
      </c>
      <c r="P81" s="119">
        <f>AVERAGE('Costdrivere 2021'!P81,'Costdrivere 2022'!P81)</f>
        <v>90.44</v>
      </c>
      <c r="Q81" s="119">
        <f>AVERAGE('Costdrivere 2021'!Q81,'Costdrivere 2022'!Q81)</f>
        <v>0</v>
      </c>
      <c r="R81" s="159">
        <f>AVERAGE('Costdrivere 2021'!R81,'Costdrivere 2022'!R81)</f>
        <v>0.45</v>
      </c>
      <c r="S81" s="141">
        <f>AVERAGE('Costdrivere 2021'!S81,'Costdrivere 2022'!S81)</f>
        <v>79.5</v>
      </c>
      <c r="T81" s="119">
        <f>AVERAGE('Costdrivere 2021'!T81,'Costdrivere 2022'!T81)</f>
        <v>572</v>
      </c>
      <c r="U81" s="119">
        <f>AVERAGE('Costdrivere 2021'!U81,'Costdrivere 2022'!U81)</f>
        <v>157.5</v>
      </c>
      <c r="V81" s="119">
        <f>AVERAGE('Costdrivere 2021'!V81,'Costdrivere 2022'!V81)</f>
        <v>6131</v>
      </c>
      <c r="W81" s="159">
        <f>AVERAGE('Costdrivere 2021'!W81,'Costdrivere 2022'!W81)</f>
        <v>6087</v>
      </c>
      <c r="X81" s="58">
        <f>AVERAGE('Costdrivere 2021'!X81,'Costdrivere 2022'!X81)</f>
        <v>45106</v>
      </c>
      <c r="Y81" s="159">
        <f>AVERAGE('Costdrivere 2021'!Y81,'Costdrivere 2022'!Y81)</f>
        <v>246967</v>
      </c>
      <c r="Z81" s="58">
        <f>AVERAGE('Costdrivere 2021'!Z81,'Costdrivere 2022'!Z81)</f>
        <v>55588</v>
      </c>
      <c r="AA81" s="88">
        <f>AVERAGE('Costdrivere 2021'!AA81,'Costdrivere 2022'!AA81)</f>
        <v>19093106.609643139</v>
      </c>
      <c r="AB81" s="88">
        <f>AVERAGE('Costdrivere 2021'!AB81,'Costdrivere 2022'!AB81)</f>
        <v>6</v>
      </c>
      <c r="AC81" s="58">
        <f>AVERAGE('Costdrivere 2021'!AC81,'Costdrivere 2022'!AC81)</f>
        <v>0</v>
      </c>
      <c r="AD81" s="290">
        <f>AVERAGE('Costdrivere 2021'!AD81,'Costdrivere 2022'!AD81)</f>
        <v>2666.5</v>
      </c>
      <c r="AE81" s="145">
        <f>AVERAGE('Costdrivere 2021'!AE81,'Costdrivere 2022'!AE81)</f>
        <v>17.84</v>
      </c>
      <c r="AF81" s="58">
        <f>AVERAGE('Costdrivere 2021'!AF81,'Costdrivere 2022'!AF81)</f>
        <v>1297</v>
      </c>
      <c r="AG81" s="290">
        <f>AVERAGE('Costdrivere 2021'!AG81,'Costdrivere 2022'!AG81)</f>
        <v>0</v>
      </c>
      <c r="AH81" s="145">
        <f>AVERAGE('Costdrivere 2021'!AH81,'Costdrivere 2022'!AH81)</f>
        <v>167</v>
      </c>
      <c r="AI81" s="88">
        <f>AVERAGE('Costdrivere 2021'!AI81,'Costdrivere 2022'!AI81)</f>
        <v>30345</v>
      </c>
      <c r="AJ81" s="88">
        <f>AVERAGE('Costdrivere 2021'!AJ81,'Costdrivere 2022'!AJ81)</f>
        <v>3322962.5</v>
      </c>
      <c r="AK81" s="99" t="str">
        <f>'Costdrivere 2022'!AK81</f>
        <v>t+r</v>
      </c>
      <c r="AL81" s="150">
        <f>AVERAGE('Costdrivere 2021'!AL81,'Costdrivere 2022'!AL81)</f>
        <v>39621</v>
      </c>
      <c r="AM81" s="48"/>
      <c r="AN81" s="121">
        <f>AVERAGE('Costdrivere 2021'!AN81,'Costdrivere 2022'!AN81)</f>
        <v>57967067.584396482</v>
      </c>
      <c r="AO81" s="166">
        <f>AVERAGE('Costdrivere 2021'!AO81,'Costdrivere 2022'!AO81)</f>
        <v>126240417.40266666</v>
      </c>
      <c r="AP81" s="118">
        <f>AVERAGE('Costdrivere 2021'!AP81,'Costdrivere 2022'!AP81)</f>
        <v>3081551.1999999997</v>
      </c>
      <c r="AQ81" s="203"/>
    </row>
    <row r="82" spans="1:43" x14ac:dyDescent="0.25">
      <c r="A82" s="202" t="s">
        <v>175</v>
      </c>
      <c r="B82" s="202" t="s">
        <v>176</v>
      </c>
      <c r="C82" s="141">
        <f>AVERAGE('Costdrivere 2021'!C82,'Costdrivere 2022'!C82)</f>
        <v>4547550.035007</v>
      </c>
      <c r="D82" s="119">
        <f>AVERAGE('Costdrivere 2021'!D82,'Costdrivere 2022'!D82)</f>
        <v>4815820.2612000005</v>
      </c>
      <c r="E82" s="119">
        <f>AVERAGE('Costdrivere 2021'!E82,'Costdrivere 2022'!E82)</f>
        <v>571858.25780000002</v>
      </c>
      <c r="F82" s="119">
        <f>AVERAGE('Costdrivere 2021'!F82,'Costdrivere 2022'!F82)</f>
        <v>111518.49900000001</v>
      </c>
      <c r="G82" s="119">
        <f>AVERAGE('Costdrivere 2021'!G82,'Costdrivere 2022'!G82)</f>
        <v>11141066.932657991</v>
      </c>
      <c r="H82" s="119">
        <f>AVERAGE('Costdrivere 2021'!H82,'Costdrivere 2022'!H82)</f>
        <v>25768.862999999998</v>
      </c>
      <c r="I82" s="119">
        <f>AVERAGE('Costdrivere 2021'!I82,'Costdrivere 2022'!I82)</f>
        <v>1168464.27725</v>
      </c>
      <c r="J82" s="119">
        <f>AVERAGE('Costdrivere 2021'!J82,'Costdrivere 2022'!J82)</f>
        <v>2223581.5103500001</v>
      </c>
      <c r="K82" s="119">
        <f>AVERAGE('Costdrivere 2021'!K82,'Costdrivere 2022'!K82)</f>
        <v>1670004.3404798934</v>
      </c>
      <c r="L82" s="159">
        <f>AVERAGE('Costdrivere 2021'!L82,'Costdrivere 2022'!L82)</f>
        <v>4809649.438190165</v>
      </c>
      <c r="M82" s="292">
        <f>AVERAGE('Costdrivere 2021'!M82,'Costdrivere 2022'!M82)</f>
        <v>3.8049559722525272E-2</v>
      </c>
      <c r="N82" s="141">
        <f>AVERAGE('Costdrivere 2021'!N82,'Costdrivere 2022'!N82)</f>
        <v>359.32499999999999</v>
      </c>
      <c r="O82" s="119">
        <f>AVERAGE('Costdrivere 2021'!O82,'Costdrivere 2022'!O82)</f>
        <v>806.31999999999994</v>
      </c>
      <c r="P82" s="119">
        <f>AVERAGE('Costdrivere 2021'!P82,'Costdrivere 2022'!P82)</f>
        <v>31.43</v>
      </c>
      <c r="Q82" s="119">
        <f>AVERAGE('Costdrivere 2021'!Q82,'Costdrivere 2022'!Q82)</f>
        <v>0</v>
      </c>
      <c r="R82" s="159">
        <f>AVERAGE('Costdrivere 2021'!R82,'Costdrivere 2022'!R82)</f>
        <v>0.94</v>
      </c>
      <c r="S82" s="141">
        <f>AVERAGE('Costdrivere 2021'!S82,'Costdrivere 2022'!S82)</f>
        <v>182</v>
      </c>
      <c r="T82" s="119">
        <f>AVERAGE('Costdrivere 2021'!T82,'Costdrivere 2022'!T82)</f>
        <v>10</v>
      </c>
      <c r="U82" s="119">
        <f>AVERAGE('Costdrivere 2021'!U82,'Costdrivere 2022'!U82)</f>
        <v>117</v>
      </c>
      <c r="V82" s="119">
        <f>AVERAGE('Costdrivere 2021'!V82,'Costdrivere 2022'!V82)</f>
        <v>3535</v>
      </c>
      <c r="W82" s="159">
        <f>AVERAGE('Costdrivere 2021'!W82,'Costdrivere 2022'!W82)</f>
        <v>1620</v>
      </c>
      <c r="X82" s="58">
        <f>AVERAGE('Costdrivere 2021'!X82,'Costdrivere 2022'!X82)</f>
        <v>190756</v>
      </c>
      <c r="Y82" s="159">
        <f>AVERAGE('Costdrivere 2021'!Y82,'Costdrivere 2022'!Y82)</f>
        <v>113374</v>
      </c>
      <c r="Z82" s="58">
        <f>AVERAGE('Costdrivere 2021'!Z82,'Costdrivere 2022'!Z82)</f>
        <v>18219</v>
      </c>
      <c r="AA82" s="88">
        <f>AVERAGE('Costdrivere 2021'!AA82,'Costdrivere 2022'!AA82)</f>
        <v>11141066.932657991</v>
      </c>
      <c r="AB82" s="88">
        <f>AVERAGE('Costdrivere 2021'!AB82,'Costdrivere 2022'!AB82)</f>
        <v>9</v>
      </c>
      <c r="AC82" s="58">
        <f>AVERAGE('Costdrivere 2021'!AC82,'Costdrivere 2022'!AC82)</f>
        <v>1547.5</v>
      </c>
      <c r="AD82" s="290">
        <f>AVERAGE('Costdrivere 2021'!AD82,'Costdrivere 2022'!AD82)</f>
        <v>0</v>
      </c>
      <c r="AE82" s="145">
        <f>AVERAGE('Costdrivere 2021'!AE82,'Costdrivere 2022'!AE82)</f>
        <v>0</v>
      </c>
      <c r="AF82" s="58">
        <f>AVERAGE('Costdrivere 2021'!AF82,'Costdrivere 2022'!AF82)</f>
        <v>1187.5</v>
      </c>
      <c r="AG82" s="290">
        <f>AVERAGE('Costdrivere 2021'!AG82,'Costdrivere 2022'!AG82)</f>
        <v>0</v>
      </c>
      <c r="AH82" s="145">
        <f>AVERAGE('Costdrivere 2021'!AH82,'Costdrivere 2022'!AH82)</f>
        <v>360</v>
      </c>
      <c r="AI82" s="88">
        <f>AVERAGE('Costdrivere 2021'!AI82,'Costdrivere 2022'!AI82)</f>
        <v>21151</v>
      </c>
      <c r="AJ82" s="88">
        <f>AVERAGE('Costdrivere 2021'!AJ82,'Costdrivere 2022'!AJ82)</f>
        <v>2591631.5</v>
      </c>
      <c r="AK82" s="99" t="str">
        <f>'Costdrivere 2022'!AK82</f>
        <v>t+r</v>
      </c>
      <c r="AL82" s="150">
        <f>AVERAGE('Costdrivere 2021'!AL82,'Costdrivere 2022'!AL82)</f>
        <v>29579.5</v>
      </c>
      <c r="AM82" s="48"/>
      <c r="AN82" s="121">
        <f>AVERAGE('Costdrivere 2021'!AN82,'Costdrivere 2022'!AN82)</f>
        <v>10322563.500316568</v>
      </c>
      <c r="AO82" s="166">
        <f>AVERAGE('Costdrivere 2021'!AO82,'Costdrivere 2022'!AO82)</f>
        <v>92023252.673367709</v>
      </c>
      <c r="AP82" s="118">
        <f>AVERAGE('Costdrivere 2021'!AP82,'Costdrivere 2022'!AP82)</f>
        <v>2415253.3333333335</v>
      </c>
      <c r="AQ82" s="203"/>
    </row>
    <row r="83" spans="1:43" x14ac:dyDescent="0.25">
      <c r="A83" s="202" t="s">
        <v>177</v>
      </c>
      <c r="B83" s="202" t="s">
        <v>178</v>
      </c>
      <c r="C83" s="141">
        <f>AVERAGE('Costdrivere 2021'!C83,'Costdrivere 2022'!C83)</f>
        <v>4283233.9222739991</v>
      </c>
      <c r="D83" s="119">
        <f>AVERAGE('Costdrivere 2021'!D83,'Costdrivere 2022'!D83)</f>
        <v>4296288.5454000002</v>
      </c>
      <c r="E83" s="119">
        <f>AVERAGE('Costdrivere 2021'!E83,'Costdrivere 2022'!E83)</f>
        <v>336596.89</v>
      </c>
      <c r="F83" s="119">
        <f>AVERAGE('Costdrivere 2021'!F83,'Costdrivere 2022'!F83)</f>
        <v>183630</v>
      </c>
      <c r="G83" s="119">
        <f>AVERAGE('Costdrivere 2021'!G83,'Costdrivere 2022'!G83)</f>
        <v>7715540.5401368421</v>
      </c>
      <c r="H83" s="119">
        <f>AVERAGE('Costdrivere 2021'!H83,'Costdrivere 2022'!H83)</f>
        <v>0</v>
      </c>
      <c r="I83" s="119">
        <f>AVERAGE('Costdrivere 2021'!I83,'Costdrivere 2022'!I83)</f>
        <v>1806778.3842004999</v>
      </c>
      <c r="J83" s="119">
        <f>AVERAGE('Costdrivere 2021'!J83,'Costdrivere 2022'!J83)</f>
        <v>609205.1253500001</v>
      </c>
      <c r="K83" s="119">
        <f>AVERAGE('Costdrivere 2021'!K83,'Costdrivere 2022'!K83)</f>
        <v>1511563.2903800393</v>
      </c>
      <c r="L83" s="159">
        <f>AVERAGE('Costdrivere 2021'!L83,'Costdrivere 2022'!L83)</f>
        <v>3380383.8764515468</v>
      </c>
      <c r="M83" s="292">
        <f>AVERAGE('Costdrivere 2021'!M83,'Costdrivere 2022'!M83)</f>
        <v>1.9095725747794383E-2</v>
      </c>
      <c r="N83" s="141">
        <f>AVERAGE('Costdrivere 2021'!N83,'Costdrivere 2022'!N83)</f>
        <v>408.82</v>
      </c>
      <c r="O83" s="119">
        <f>AVERAGE('Costdrivere 2021'!O83,'Costdrivere 2022'!O83)</f>
        <v>661.54</v>
      </c>
      <c r="P83" s="119">
        <f>AVERAGE('Costdrivere 2021'!P83,'Costdrivere 2022'!P83)</f>
        <v>31.98</v>
      </c>
      <c r="Q83" s="119">
        <f>AVERAGE('Costdrivere 2021'!Q83,'Costdrivere 2022'!Q83)</f>
        <v>0</v>
      </c>
      <c r="R83" s="159">
        <f>AVERAGE('Costdrivere 2021'!R83,'Costdrivere 2022'!R83)</f>
        <v>1.45</v>
      </c>
      <c r="S83" s="141">
        <f>AVERAGE('Costdrivere 2021'!S83,'Costdrivere 2022'!S83)</f>
        <v>0</v>
      </c>
      <c r="T83" s="119">
        <f>AVERAGE('Costdrivere 2021'!T83,'Costdrivere 2022'!T83)</f>
        <v>255</v>
      </c>
      <c r="U83" s="119">
        <f>AVERAGE('Costdrivere 2021'!U83,'Costdrivere 2022'!U83)</f>
        <v>63</v>
      </c>
      <c r="V83" s="119">
        <f>AVERAGE('Costdrivere 2021'!V83,'Costdrivere 2022'!V83)</f>
        <v>0</v>
      </c>
      <c r="W83" s="159">
        <f>AVERAGE('Costdrivere 2021'!W83,'Costdrivere 2022'!W83)</f>
        <v>0</v>
      </c>
      <c r="X83" s="58">
        <f>AVERAGE('Costdrivere 2021'!X83,'Costdrivere 2022'!X83)</f>
        <v>66300</v>
      </c>
      <c r="Y83" s="159">
        <f>AVERAGE('Costdrivere 2021'!Y83,'Costdrivere 2022'!Y83)</f>
        <v>93700</v>
      </c>
      <c r="Z83" s="58">
        <f>AVERAGE('Costdrivere 2021'!Z83,'Costdrivere 2022'!Z83)</f>
        <v>30000</v>
      </c>
      <c r="AA83" s="88">
        <f>AVERAGE('Costdrivere 2021'!AA83,'Costdrivere 2022'!AA83)</f>
        <v>7715540.5401368421</v>
      </c>
      <c r="AB83" s="88">
        <f>AVERAGE('Costdrivere 2021'!AB83,'Costdrivere 2022'!AB83)</f>
        <v>0</v>
      </c>
      <c r="AC83" s="58">
        <f>AVERAGE('Costdrivere 2021'!AC83,'Costdrivere 2022'!AC83)</f>
        <v>383.66500000000002</v>
      </c>
      <c r="AD83" s="290">
        <f>AVERAGE('Costdrivere 2021'!AD83,'Costdrivere 2022'!AD83)</f>
        <v>0</v>
      </c>
      <c r="AE83" s="145">
        <f>AVERAGE('Costdrivere 2021'!AE83,'Costdrivere 2022'!AE83)</f>
        <v>579</v>
      </c>
      <c r="AF83" s="58">
        <f>AVERAGE('Costdrivere 2021'!AF83,'Costdrivere 2022'!AF83)</f>
        <v>273.5</v>
      </c>
      <c r="AG83" s="290">
        <f>AVERAGE('Costdrivere 2021'!AG83,'Costdrivere 2022'!AG83)</f>
        <v>0</v>
      </c>
      <c r="AH83" s="145">
        <f>AVERAGE('Costdrivere 2021'!AH83,'Costdrivere 2022'!AH83)</f>
        <v>0</v>
      </c>
      <c r="AI83" s="88">
        <f>AVERAGE('Costdrivere 2021'!AI83,'Costdrivere 2022'!AI83)</f>
        <v>16425</v>
      </c>
      <c r="AJ83" s="88">
        <f>AVERAGE('Costdrivere 2021'!AJ83,'Costdrivere 2022'!AJ83)</f>
        <v>1811802</v>
      </c>
      <c r="AK83" s="99" t="str">
        <f>'Costdrivere 2022'!AK83</f>
        <v>t+r</v>
      </c>
      <c r="AL83" s="150">
        <f>AVERAGE('Costdrivere 2021'!AL83,'Costdrivere 2022'!AL83)</f>
        <v>15951</v>
      </c>
      <c r="AM83" s="48"/>
      <c r="AN83" s="121">
        <f>AVERAGE('Costdrivere 2021'!AN83,'Costdrivere 2022'!AN83)</f>
        <v>11908209.611354603</v>
      </c>
      <c r="AO83" s="166">
        <f>AVERAGE('Costdrivere 2021'!AO83,'Costdrivere 2022'!AO83)</f>
        <v>85825411.282965615</v>
      </c>
      <c r="AP83" s="118">
        <f>AVERAGE('Costdrivere 2021'!AP83,'Costdrivere 2022'!AP83)</f>
        <v>1702110.9454841337</v>
      </c>
      <c r="AQ83" s="203"/>
    </row>
    <row r="84" spans="1:43" x14ac:dyDescent="0.25">
      <c r="A84" s="202" t="s">
        <v>179</v>
      </c>
      <c r="B84" s="202" t="s">
        <v>180</v>
      </c>
      <c r="C84" s="141">
        <f>AVERAGE('Costdrivere 2021'!C84,'Costdrivere 2022'!C84)</f>
        <v>1820174.314206</v>
      </c>
      <c r="D84" s="119">
        <f>AVERAGE('Costdrivere 2021'!D84,'Costdrivere 2022'!D84)</f>
        <v>2062371.7519500002</v>
      </c>
      <c r="E84" s="119">
        <f>AVERAGE('Costdrivere 2021'!E84,'Costdrivere 2022'!E84)</f>
        <v>242001.98869999999</v>
      </c>
      <c r="F84" s="119">
        <f>AVERAGE('Costdrivere 2021'!F84,'Costdrivere 2022'!F84)</f>
        <v>7161.5700000000006</v>
      </c>
      <c r="G84" s="119">
        <f>AVERAGE('Costdrivere 2021'!G84,'Costdrivere 2022'!G84)</f>
        <v>3003963.6737847188</v>
      </c>
      <c r="H84" s="119">
        <f>AVERAGE('Costdrivere 2021'!H84,'Costdrivere 2022'!H84)</f>
        <v>0</v>
      </c>
      <c r="I84" s="119">
        <f>AVERAGE('Costdrivere 2021'!I84,'Costdrivere 2022'!I84)</f>
        <v>850867.34045000002</v>
      </c>
      <c r="J84" s="119">
        <f>AVERAGE('Costdrivere 2021'!J84,'Costdrivere 2022'!J84)</f>
        <v>814152.43310000002</v>
      </c>
      <c r="K84" s="119">
        <f>AVERAGE('Costdrivere 2021'!K84,'Costdrivere 2022'!K84)</f>
        <v>1103609.4890028336</v>
      </c>
      <c r="L84" s="159">
        <f>AVERAGE('Costdrivere 2021'!L84,'Costdrivere 2022'!L84)</f>
        <v>1769444.8134290669</v>
      </c>
      <c r="M84" s="292">
        <f>AVERAGE('Costdrivere 2021'!M84,'Costdrivere 2022'!M84)</f>
        <v>4.1044926537630394E-2</v>
      </c>
      <c r="N84" s="141">
        <f>AVERAGE('Costdrivere 2021'!N84,'Costdrivere 2022'!N84)</f>
        <v>63.620000000000005</v>
      </c>
      <c r="O84" s="119">
        <f>AVERAGE('Costdrivere 2021'!O84,'Costdrivere 2022'!O84)</f>
        <v>269.125</v>
      </c>
      <c r="P84" s="119">
        <f>AVERAGE('Costdrivere 2021'!P84,'Costdrivere 2022'!P84)</f>
        <v>36.114999999999995</v>
      </c>
      <c r="Q84" s="119">
        <f>AVERAGE('Costdrivere 2021'!Q84,'Costdrivere 2022'!Q84)</f>
        <v>0</v>
      </c>
      <c r="R84" s="159">
        <f>AVERAGE('Costdrivere 2021'!R84,'Costdrivere 2022'!R84)</f>
        <v>0.43</v>
      </c>
      <c r="S84" s="141">
        <f>AVERAGE('Costdrivere 2021'!S84,'Costdrivere 2022'!S84)</f>
        <v>107</v>
      </c>
      <c r="T84" s="119">
        <f>AVERAGE('Costdrivere 2021'!T84,'Costdrivere 2022'!T84)</f>
        <v>7</v>
      </c>
      <c r="U84" s="119">
        <f>AVERAGE('Costdrivere 2021'!U84,'Costdrivere 2022'!U84)</f>
        <v>15.5</v>
      </c>
      <c r="V84" s="119">
        <f>AVERAGE('Costdrivere 2021'!V84,'Costdrivere 2022'!V84)</f>
        <v>2870</v>
      </c>
      <c r="W84" s="159">
        <f>AVERAGE('Costdrivere 2021'!W84,'Costdrivere 2022'!W84)</f>
        <v>1920</v>
      </c>
      <c r="X84" s="58">
        <f>AVERAGE('Costdrivere 2021'!X84,'Costdrivere 2022'!X84)</f>
        <v>44916</v>
      </c>
      <c r="Y84" s="159">
        <f>AVERAGE('Costdrivere 2021'!Y84,'Costdrivere 2022'!Y84)</f>
        <v>68981</v>
      </c>
      <c r="Z84" s="58">
        <f>AVERAGE('Costdrivere 2021'!Z84,'Costdrivere 2022'!Z84)</f>
        <v>1170</v>
      </c>
      <c r="AA84" s="88">
        <f>AVERAGE('Costdrivere 2021'!AA84,'Costdrivere 2022'!AA84)</f>
        <v>3003963.6737847188</v>
      </c>
      <c r="AB84" s="88">
        <f>AVERAGE('Costdrivere 2021'!AB84,'Costdrivere 2022'!AB84)</f>
        <v>0</v>
      </c>
      <c r="AC84" s="58">
        <f>AVERAGE('Costdrivere 2021'!AC84,'Costdrivere 2022'!AC84)</f>
        <v>403.5</v>
      </c>
      <c r="AD84" s="290">
        <f>AVERAGE('Costdrivere 2021'!AD84,'Costdrivere 2022'!AD84)</f>
        <v>0</v>
      </c>
      <c r="AE84" s="145">
        <f>AVERAGE('Costdrivere 2021'!AE84,'Costdrivere 2022'!AE84)</f>
        <v>0</v>
      </c>
      <c r="AF84" s="58">
        <f>AVERAGE('Costdrivere 2021'!AF84,'Costdrivere 2022'!AF84)</f>
        <v>479</v>
      </c>
      <c r="AG84" s="290">
        <f>AVERAGE('Costdrivere 2021'!AG84,'Costdrivere 2022'!AG84)</f>
        <v>0</v>
      </c>
      <c r="AH84" s="145">
        <f>AVERAGE('Costdrivere 2021'!AH84,'Costdrivere 2022'!AH84)</f>
        <v>0</v>
      </c>
      <c r="AI84" s="88">
        <f>AVERAGE('Costdrivere 2021'!AI84,'Costdrivere 2022'!AI84)</f>
        <v>7395.5</v>
      </c>
      <c r="AJ84" s="88">
        <f>AVERAGE('Costdrivere 2021'!AJ84,'Costdrivere 2022'!AJ84)</f>
        <v>939142</v>
      </c>
      <c r="AK84" s="99" t="str">
        <f>'Costdrivere 2022'!AK84</f>
        <v>t+r</v>
      </c>
      <c r="AL84" s="150">
        <f>AVERAGE('Costdrivere 2021'!AL84,'Costdrivere 2022'!AL84)</f>
        <v>8758.5</v>
      </c>
      <c r="AM84" s="48"/>
      <c r="AN84" s="121">
        <f>AVERAGE('Costdrivere 2021'!AN84,'Costdrivere 2022'!AN84)</f>
        <v>1918000.7702984554</v>
      </c>
      <c r="AO84" s="166">
        <f>AVERAGE('Costdrivere 2021'!AO84,'Costdrivere 2022'!AO84)</f>
        <v>28981423.315333333</v>
      </c>
      <c r="AP84" s="118">
        <f>AVERAGE('Costdrivere 2021'!AP84,'Costdrivere 2022'!AP84)</f>
        <v>796692.42666666675</v>
      </c>
      <c r="AQ84" s="203"/>
    </row>
    <row r="85" spans="1:43" x14ac:dyDescent="0.25">
      <c r="A85" s="202" t="s">
        <v>181</v>
      </c>
      <c r="B85" s="202" t="s">
        <v>182</v>
      </c>
      <c r="C85" s="141">
        <f>AVERAGE('Costdrivere 2021'!C85,'Costdrivere 2022'!C85)</f>
        <v>0</v>
      </c>
      <c r="D85" s="119">
        <f>AVERAGE('Costdrivere 2021'!D85,'Costdrivere 2022'!D85)</f>
        <v>0</v>
      </c>
      <c r="E85" s="119">
        <f>AVERAGE('Costdrivere 2021'!E85,'Costdrivere 2022'!E85)</f>
        <v>0</v>
      </c>
      <c r="F85" s="119">
        <f>AVERAGE('Costdrivere 2021'!F85,'Costdrivere 2022'!F85)</f>
        <v>0</v>
      </c>
      <c r="G85" s="119">
        <f>AVERAGE('Costdrivere 2021'!G85,'Costdrivere 2022'!G85)</f>
        <v>0</v>
      </c>
      <c r="H85" s="119">
        <f>AVERAGE('Costdrivere 2021'!H85,'Costdrivere 2022'!H85)</f>
        <v>0</v>
      </c>
      <c r="I85" s="119">
        <f>AVERAGE('Costdrivere 2021'!I85,'Costdrivere 2022'!I85)</f>
        <v>0</v>
      </c>
      <c r="J85" s="119">
        <f>AVERAGE('Costdrivere 2021'!J85,'Costdrivere 2022'!J85)</f>
        <v>0</v>
      </c>
      <c r="K85" s="119">
        <f>AVERAGE('Costdrivere 2021'!K85,'Costdrivere 2022'!K85)</f>
        <v>0</v>
      </c>
      <c r="L85" s="159">
        <f>AVERAGE('Costdrivere 2021'!L85,'Costdrivere 2022'!L85)</f>
        <v>1915495.2779754915</v>
      </c>
      <c r="M85" s="292">
        <f>AVERAGE('Costdrivere 2021'!M85,'Costdrivere 2022'!M85)</f>
        <v>0</v>
      </c>
      <c r="N85" s="141">
        <f>AVERAGE('Costdrivere 2021'!N85,'Costdrivere 2022'!N85)</f>
        <v>0</v>
      </c>
      <c r="O85" s="119">
        <f>AVERAGE('Costdrivere 2021'!O85,'Costdrivere 2022'!O85)</f>
        <v>0</v>
      </c>
      <c r="P85" s="119">
        <f>AVERAGE('Costdrivere 2021'!P85,'Costdrivere 2022'!P85)</f>
        <v>0</v>
      </c>
      <c r="Q85" s="119">
        <f>AVERAGE('Costdrivere 2021'!Q85,'Costdrivere 2022'!Q85)</f>
        <v>0</v>
      </c>
      <c r="R85" s="159">
        <f>AVERAGE('Costdrivere 2021'!R85,'Costdrivere 2022'!R85)</f>
        <v>0</v>
      </c>
      <c r="S85" s="141">
        <f>AVERAGE('Costdrivere 2021'!S85,'Costdrivere 2022'!S85)</f>
        <v>0</v>
      </c>
      <c r="T85" s="119">
        <f>AVERAGE('Costdrivere 2021'!T85,'Costdrivere 2022'!T85)</f>
        <v>0</v>
      </c>
      <c r="U85" s="119">
        <f>AVERAGE('Costdrivere 2021'!U85,'Costdrivere 2022'!U85)</f>
        <v>0</v>
      </c>
      <c r="V85" s="119">
        <f>AVERAGE('Costdrivere 2021'!V85,'Costdrivere 2022'!V85)</f>
        <v>0</v>
      </c>
      <c r="W85" s="159">
        <f>AVERAGE('Costdrivere 2021'!W85,'Costdrivere 2022'!W85)</f>
        <v>0</v>
      </c>
      <c r="X85" s="58">
        <f>AVERAGE('Costdrivere 2021'!X85,'Costdrivere 2022'!X85)</f>
        <v>0</v>
      </c>
      <c r="Y85" s="159">
        <f>AVERAGE('Costdrivere 2021'!Y85,'Costdrivere 2022'!Y85)</f>
        <v>0</v>
      </c>
      <c r="Z85" s="58">
        <f>AVERAGE('Costdrivere 2021'!Z85,'Costdrivere 2022'!Z85)</f>
        <v>0</v>
      </c>
      <c r="AA85" s="88">
        <f>AVERAGE('Costdrivere 2021'!AA85,'Costdrivere 2022'!AA85)</f>
        <v>0</v>
      </c>
      <c r="AB85" s="88">
        <f>AVERAGE('Costdrivere 2021'!AB85,'Costdrivere 2022'!AB85)</f>
        <v>0</v>
      </c>
      <c r="AC85" s="58">
        <f>AVERAGE('Costdrivere 2021'!AC85,'Costdrivere 2022'!AC85)</f>
        <v>0</v>
      </c>
      <c r="AD85" s="290">
        <f>AVERAGE('Costdrivere 2021'!AD85,'Costdrivere 2022'!AD85)</f>
        <v>0</v>
      </c>
      <c r="AE85" s="145">
        <f>AVERAGE('Costdrivere 2021'!AE85,'Costdrivere 2022'!AE85)</f>
        <v>0</v>
      </c>
      <c r="AF85" s="58">
        <f>AVERAGE('Costdrivere 2021'!AF85,'Costdrivere 2022'!AF85)</f>
        <v>0</v>
      </c>
      <c r="AG85" s="290">
        <f>AVERAGE('Costdrivere 2021'!AG85,'Costdrivere 2022'!AG85)</f>
        <v>0</v>
      </c>
      <c r="AH85" s="145">
        <f>AVERAGE('Costdrivere 2021'!AH85,'Costdrivere 2022'!AH85)</f>
        <v>0</v>
      </c>
      <c r="AI85" s="88">
        <f>AVERAGE('Costdrivere 2021'!AI85,'Costdrivere 2022'!AI85)</f>
        <v>0</v>
      </c>
      <c r="AJ85" s="88">
        <f>AVERAGE('Costdrivere 2021'!AJ85,'Costdrivere 2022'!AJ85)</f>
        <v>1017876.5</v>
      </c>
      <c r="AK85" s="99" t="str">
        <f>'Costdrivere 2022'!AK85</f>
        <v>t+r</v>
      </c>
      <c r="AL85" s="150">
        <f>AVERAGE('Costdrivere 2021'!AL85,'Costdrivere 2022'!AL85)</f>
        <v>0</v>
      </c>
      <c r="AM85" s="48"/>
      <c r="AN85" s="121" t="e">
        <f>AVERAGE('Costdrivere 2021'!AN85,'Costdrivere 2022'!AN85)</f>
        <v>#N/A</v>
      </c>
      <c r="AO85" s="166" t="e">
        <f>AVERAGE('Costdrivere 2021'!AO85,'Costdrivere 2022'!AO85)</f>
        <v>#N/A</v>
      </c>
      <c r="AP85" s="118" t="e">
        <f>AVERAGE('Costdrivere 2021'!AP85,'Costdrivere 2022'!AP85)</f>
        <v>#N/A</v>
      </c>
      <c r="AQ85" s="203"/>
    </row>
    <row r="86" spans="1:43" x14ac:dyDescent="0.25">
      <c r="A86" s="202" t="s">
        <v>183</v>
      </c>
      <c r="B86" s="202" t="s">
        <v>184</v>
      </c>
      <c r="C86" s="141">
        <f>AVERAGE('Costdrivere 2021'!C86,'Costdrivere 2022'!C86)</f>
        <v>1818149.903254</v>
      </c>
      <c r="D86" s="119">
        <f>AVERAGE('Costdrivere 2021'!D86,'Costdrivere 2022'!D86)</f>
        <v>5570201.4193000002</v>
      </c>
      <c r="E86" s="119">
        <f>AVERAGE('Costdrivere 2021'!E86,'Costdrivere 2022'!E86)</f>
        <v>198342.84284999999</v>
      </c>
      <c r="F86" s="119">
        <f>AVERAGE('Costdrivere 2021'!F86,'Costdrivere 2022'!F86)</f>
        <v>43795.755000000005</v>
      </c>
      <c r="G86" s="119">
        <f>AVERAGE('Costdrivere 2021'!G86,'Costdrivere 2022'!G86)</f>
        <v>4300814.4148659855</v>
      </c>
      <c r="H86" s="119">
        <f>AVERAGE('Costdrivere 2021'!H86,'Costdrivere 2022'!H86)</f>
        <v>0</v>
      </c>
      <c r="I86" s="119">
        <f>AVERAGE('Costdrivere 2021'!I86,'Costdrivere 2022'!I86)</f>
        <v>1202210.6455999999</v>
      </c>
      <c r="J86" s="119">
        <f>AVERAGE('Costdrivere 2021'!J86,'Costdrivere 2022'!J86)</f>
        <v>710930.79634999996</v>
      </c>
      <c r="K86" s="119">
        <f>AVERAGE('Costdrivere 2021'!K86,'Costdrivere 2022'!K86)</f>
        <v>1224817.9037875375</v>
      </c>
      <c r="L86" s="159">
        <f>AVERAGE('Costdrivere 2021'!L86,'Costdrivere 2022'!L86)</f>
        <v>1663347.7236262243</v>
      </c>
      <c r="M86" s="292">
        <f>AVERAGE('Costdrivere 2021'!M86,'Costdrivere 2022'!M86)</f>
        <v>1.9571968550716697E-2</v>
      </c>
      <c r="N86" s="141">
        <f>AVERAGE('Costdrivere 2021'!N86,'Costdrivere 2022'!N86)</f>
        <v>330.03500000000003</v>
      </c>
      <c r="O86" s="119">
        <f>AVERAGE('Costdrivere 2021'!O86,'Costdrivere 2022'!O86)</f>
        <v>237.5</v>
      </c>
      <c r="P86" s="119">
        <f>AVERAGE('Costdrivere 2021'!P86,'Costdrivere 2022'!P86)</f>
        <v>0</v>
      </c>
      <c r="Q86" s="119">
        <f>AVERAGE('Costdrivere 2021'!Q86,'Costdrivere 2022'!Q86)</f>
        <v>0</v>
      </c>
      <c r="R86" s="159">
        <f>AVERAGE('Costdrivere 2021'!R86,'Costdrivere 2022'!R86)</f>
        <v>0.64</v>
      </c>
      <c r="S86" s="141">
        <f>AVERAGE('Costdrivere 2021'!S86,'Costdrivere 2022'!S86)</f>
        <v>678.5</v>
      </c>
      <c r="T86" s="119">
        <f>AVERAGE('Costdrivere 2021'!T86,'Costdrivere 2022'!T86)</f>
        <v>11</v>
      </c>
      <c r="U86" s="119">
        <f>AVERAGE('Costdrivere 2021'!U86,'Costdrivere 2022'!U86)</f>
        <v>82</v>
      </c>
      <c r="V86" s="119">
        <f>AVERAGE('Costdrivere 2021'!V86,'Costdrivere 2022'!V86)</f>
        <v>5076</v>
      </c>
      <c r="W86" s="159">
        <f>AVERAGE('Costdrivere 2021'!W86,'Costdrivere 2022'!W86)</f>
        <v>0</v>
      </c>
      <c r="X86" s="58">
        <f>AVERAGE('Costdrivere 2021'!X86,'Costdrivere 2022'!X86)</f>
        <v>58399</v>
      </c>
      <c r="Y86" s="159">
        <f>AVERAGE('Costdrivere 2021'!Y86,'Costdrivere 2022'!Y86)</f>
        <v>43875.5</v>
      </c>
      <c r="Z86" s="58">
        <f>AVERAGE('Costdrivere 2021'!Z86,'Costdrivere 2022'!Z86)</f>
        <v>7155</v>
      </c>
      <c r="AA86" s="88">
        <f>AVERAGE('Costdrivere 2021'!AA86,'Costdrivere 2022'!AA86)</f>
        <v>4300814.4148659855</v>
      </c>
      <c r="AB86" s="88">
        <f>AVERAGE('Costdrivere 2021'!AB86,'Costdrivere 2022'!AB86)</f>
        <v>0</v>
      </c>
      <c r="AC86" s="58">
        <f>AVERAGE('Costdrivere 2021'!AC86,'Costdrivere 2022'!AC86)</f>
        <v>260.5</v>
      </c>
      <c r="AD86" s="290">
        <f>AVERAGE('Costdrivere 2021'!AD86,'Costdrivere 2022'!AD86)</f>
        <v>0</v>
      </c>
      <c r="AE86" s="145">
        <f>AVERAGE('Costdrivere 2021'!AE86,'Costdrivere 2022'!AE86)</f>
        <v>235.5</v>
      </c>
      <c r="AF86" s="58">
        <f>AVERAGE('Costdrivere 2021'!AF86,'Costdrivere 2022'!AF86)</f>
        <v>375.5</v>
      </c>
      <c r="AG86" s="290">
        <f>AVERAGE('Costdrivere 2021'!AG86,'Costdrivere 2022'!AG86)</f>
        <v>0</v>
      </c>
      <c r="AH86" s="145">
        <f>AVERAGE('Costdrivere 2021'!AH86,'Costdrivere 2022'!AH86)</f>
        <v>0</v>
      </c>
      <c r="AI86" s="88">
        <f>AVERAGE('Costdrivere 2021'!AI86,'Costdrivere 2022'!AI86)</f>
        <v>9633</v>
      </c>
      <c r="AJ86" s="88">
        <f>AVERAGE('Costdrivere 2021'!AJ86,'Costdrivere 2022'!AJ86)</f>
        <v>881999.5</v>
      </c>
      <c r="AK86" s="99" t="str">
        <f>'Costdrivere 2022'!AK86</f>
        <v>t+r</v>
      </c>
      <c r="AL86" s="150">
        <f>AVERAGE('Costdrivere 2021'!AL86,'Costdrivere 2022'!AL86)</f>
        <v>8615.5</v>
      </c>
      <c r="AM86" s="48"/>
      <c r="AN86" s="121">
        <f>AVERAGE('Costdrivere 2021'!AN86,'Costdrivere 2022'!AN86)</f>
        <v>6275324.4221387673</v>
      </c>
      <c r="AO86" s="166">
        <f>AVERAGE('Costdrivere 2021'!AO86,'Costdrivere 2022'!AO86)</f>
        <v>40015934.70933333</v>
      </c>
      <c r="AP86" s="118">
        <f>AVERAGE('Costdrivere 2021'!AP86,'Costdrivere 2022'!AP86)</f>
        <v>1812033.4933333334</v>
      </c>
      <c r="AQ86" s="203"/>
    </row>
    <row r="87" spans="1:43" x14ac:dyDescent="0.25">
      <c r="A87" s="202" t="s">
        <v>185</v>
      </c>
      <c r="B87" s="202" t="s">
        <v>186</v>
      </c>
      <c r="C87" s="141">
        <f>AVERAGE('Costdrivere 2021'!C87,'Costdrivere 2022'!C87)</f>
        <v>1805053.2424059999</v>
      </c>
      <c r="D87" s="119">
        <f>AVERAGE('Costdrivere 2021'!D87,'Costdrivere 2022'!D87)</f>
        <v>1983263.0329999998</v>
      </c>
      <c r="E87" s="119">
        <f>AVERAGE('Costdrivere 2021'!E87,'Costdrivere 2022'!E87)</f>
        <v>63872.639199999998</v>
      </c>
      <c r="F87" s="119">
        <f>AVERAGE('Costdrivere 2021'!F87,'Costdrivere 2022'!F87)</f>
        <v>2968.6850000000004</v>
      </c>
      <c r="G87" s="119">
        <f>AVERAGE('Costdrivere 2021'!G87,'Costdrivere 2022'!G87)</f>
        <v>6232956.0497744158</v>
      </c>
      <c r="H87" s="119">
        <f>AVERAGE('Costdrivere 2021'!H87,'Costdrivere 2022'!H87)</f>
        <v>1431.6034999999999</v>
      </c>
      <c r="I87" s="119">
        <f>AVERAGE('Costdrivere 2021'!I87,'Costdrivere 2022'!I87)</f>
        <v>850159.41021500004</v>
      </c>
      <c r="J87" s="119">
        <f>AVERAGE('Costdrivere 2021'!J87,'Costdrivere 2022'!J87)</f>
        <v>997472.52143800003</v>
      </c>
      <c r="K87" s="119">
        <f>AVERAGE('Costdrivere 2021'!K87,'Costdrivere 2022'!K87)</f>
        <v>1178632.2437788129</v>
      </c>
      <c r="L87" s="159">
        <f>AVERAGE('Costdrivere 2021'!L87,'Costdrivere 2022'!L87)</f>
        <v>1610178.2471857646</v>
      </c>
      <c r="M87" s="292">
        <f>AVERAGE('Costdrivere 2021'!M87,'Costdrivere 2022'!M87)</f>
        <v>3.0337229816611157E-2</v>
      </c>
      <c r="N87" s="141">
        <f>AVERAGE('Costdrivere 2021'!N87,'Costdrivere 2022'!N87)</f>
        <v>198.98000000000002</v>
      </c>
      <c r="O87" s="119">
        <f>AVERAGE('Costdrivere 2021'!O87,'Costdrivere 2022'!O87)</f>
        <v>290.02</v>
      </c>
      <c r="P87" s="119">
        <f>AVERAGE('Costdrivere 2021'!P87,'Costdrivere 2022'!P87)</f>
        <v>17.8</v>
      </c>
      <c r="Q87" s="119">
        <f>AVERAGE('Costdrivere 2021'!Q87,'Costdrivere 2022'!Q87)</f>
        <v>0</v>
      </c>
      <c r="R87" s="159">
        <f>AVERAGE('Costdrivere 2021'!R87,'Costdrivere 2022'!R87)</f>
        <v>0</v>
      </c>
      <c r="S87" s="141">
        <f>AVERAGE('Costdrivere 2021'!S87,'Costdrivere 2022'!S87)</f>
        <v>112</v>
      </c>
      <c r="T87" s="119">
        <f>AVERAGE('Costdrivere 2021'!T87,'Costdrivere 2022'!T87)</f>
        <v>54</v>
      </c>
      <c r="U87" s="119">
        <f>AVERAGE('Costdrivere 2021'!U87,'Costdrivere 2022'!U87)</f>
        <v>34</v>
      </c>
      <c r="V87" s="119">
        <f>AVERAGE('Costdrivere 2021'!V87,'Costdrivere 2022'!V87)</f>
        <v>101</v>
      </c>
      <c r="W87" s="159">
        <f>AVERAGE('Costdrivere 2021'!W87,'Costdrivere 2022'!W87)</f>
        <v>1125</v>
      </c>
      <c r="X87" s="58">
        <f>AVERAGE('Costdrivere 2021'!X87,'Costdrivere 2022'!X87)</f>
        <v>23296</v>
      </c>
      <c r="Y87" s="159">
        <f>AVERAGE('Costdrivere 2021'!Y87,'Costdrivere 2022'!Y87)</f>
        <v>11496</v>
      </c>
      <c r="Z87" s="58">
        <f>AVERAGE('Costdrivere 2021'!Z87,'Costdrivere 2022'!Z87)</f>
        <v>485</v>
      </c>
      <c r="AA87" s="88">
        <f>AVERAGE('Costdrivere 2021'!AA87,'Costdrivere 2022'!AA87)</f>
        <v>6232956.0497744158</v>
      </c>
      <c r="AB87" s="88">
        <f>AVERAGE('Costdrivere 2021'!AB87,'Costdrivere 2022'!AB87)</f>
        <v>0.5</v>
      </c>
      <c r="AC87" s="58">
        <f>AVERAGE('Costdrivere 2021'!AC87,'Costdrivere 2022'!AC87)</f>
        <v>400.95</v>
      </c>
      <c r="AD87" s="290">
        <f>AVERAGE('Costdrivere 2021'!AD87,'Costdrivere 2022'!AD87)</f>
        <v>0</v>
      </c>
      <c r="AE87" s="145">
        <f>AVERAGE('Costdrivere 2021'!AE87,'Costdrivere 2022'!AE87)</f>
        <v>0</v>
      </c>
      <c r="AF87" s="58">
        <f>AVERAGE('Costdrivere 2021'!AF87,'Costdrivere 2022'!AF87)</f>
        <v>429</v>
      </c>
      <c r="AG87" s="290">
        <f>AVERAGE('Costdrivere 2021'!AG87,'Costdrivere 2022'!AG87)</f>
        <v>33.325000000000003</v>
      </c>
      <c r="AH87" s="145">
        <f>AVERAGE('Costdrivere 2021'!AH87,'Costdrivere 2022'!AH87)</f>
        <v>69.16</v>
      </c>
      <c r="AI87" s="88">
        <f>AVERAGE('Costdrivere 2021'!AI87,'Costdrivere 2022'!AI87)</f>
        <v>8738</v>
      </c>
      <c r="AJ87" s="88">
        <f>AVERAGE('Costdrivere 2021'!AJ87,'Costdrivere 2022'!AJ87)</f>
        <v>853387</v>
      </c>
      <c r="AK87" s="99" t="str">
        <f>'Costdrivere 2022'!AK87</f>
        <v>t+r</v>
      </c>
      <c r="AL87" s="150">
        <f>AVERAGE('Costdrivere 2021'!AL87,'Costdrivere 2022'!AL87)</f>
        <v>10525.5</v>
      </c>
      <c r="AM87" s="48"/>
      <c r="AN87" s="121">
        <f>AVERAGE('Costdrivere 2021'!AN87,'Costdrivere 2022'!AN87)</f>
        <v>4559420.8517770935</v>
      </c>
      <c r="AO87" s="166">
        <f>AVERAGE('Costdrivere 2021'!AO87,'Costdrivere 2022'!AO87)</f>
        <v>33963668.433333337</v>
      </c>
      <c r="AP87" s="118">
        <f>AVERAGE('Costdrivere 2021'!AP87,'Costdrivere 2022'!AP87)</f>
        <v>122040</v>
      </c>
      <c r="AQ87" s="203"/>
    </row>
    <row r="88" spans="1:43" x14ac:dyDescent="0.25">
      <c r="A88" s="202" t="s">
        <v>187</v>
      </c>
      <c r="B88" s="202" t="s">
        <v>188</v>
      </c>
      <c r="C88" s="141">
        <f>AVERAGE('Costdrivere 2021'!C88,'Costdrivere 2022'!C88)</f>
        <v>4350536.6110260002</v>
      </c>
      <c r="D88" s="119">
        <f>AVERAGE('Costdrivere 2021'!D88,'Costdrivere 2022'!D88)</f>
        <v>7732589.0040000007</v>
      </c>
      <c r="E88" s="119">
        <f>AVERAGE('Costdrivere 2021'!E88,'Costdrivere 2022'!E88)</f>
        <v>407979.43220000004</v>
      </c>
      <c r="F88" s="119">
        <f>AVERAGE('Costdrivere 2021'!F88,'Costdrivere 2022'!F88)</f>
        <v>259775.24000000002</v>
      </c>
      <c r="G88" s="119">
        <f>AVERAGE('Costdrivere 2021'!G88,'Costdrivere 2022'!G88)</f>
        <v>11836491.361698303</v>
      </c>
      <c r="H88" s="119">
        <f>AVERAGE('Costdrivere 2021'!H88,'Costdrivere 2022'!H88)</f>
        <v>54400.932999999997</v>
      </c>
      <c r="I88" s="119">
        <f>AVERAGE('Costdrivere 2021'!I88,'Costdrivere 2022'!I88)</f>
        <v>2314427.3078899998</v>
      </c>
      <c r="J88" s="119">
        <f>AVERAGE('Costdrivere 2021'!J88,'Costdrivere 2022'!J88)</f>
        <v>1756610.8556000001</v>
      </c>
      <c r="K88" s="119">
        <f>AVERAGE('Costdrivere 2021'!K88,'Costdrivere 2022'!K88)</f>
        <v>1680217.7722576146</v>
      </c>
      <c r="L88" s="159">
        <f>AVERAGE('Costdrivere 2021'!L88,'Costdrivere 2022'!L88)</f>
        <v>4866821.2440605871</v>
      </c>
      <c r="M88" s="292">
        <f>AVERAGE('Costdrivere 2021'!M88,'Costdrivere 2022'!M88)</f>
        <v>3.4893829426857731E-2</v>
      </c>
      <c r="N88" s="141">
        <f>AVERAGE('Costdrivere 2021'!N88,'Costdrivere 2022'!N88)</f>
        <v>416.35</v>
      </c>
      <c r="O88" s="119">
        <f>AVERAGE('Costdrivere 2021'!O88,'Costdrivere 2022'!O88)</f>
        <v>600.20000000000005</v>
      </c>
      <c r="P88" s="119">
        <f>AVERAGE('Costdrivere 2021'!P88,'Costdrivere 2022'!P88)</f>
        <v>33.799999999999997</v>
      </c>
      <c r="Q88" s="119">
        <f>AVERAGE('Costdrivere 2021'!Q88,'Costdrivere 2022'!Q88)</f>
        <v>0</v>
      </c>
      <c r="R88" s="159">
        <f>AVERAGE('Costdrivere 2021'!R88,'Costdrivere 2022'!R88)</f>
        <v>2.33</v>
      </c>
      <c r="S88" s="141">
        <f>AVERAGE('Costdrivere 2021'!S88,'Costdrivere 2022'!S88)</f>
        <v>295.5</v>
      </c>
      <c r="T88" s="119">
        <f>AVERAGE('Costdrivere 2021'!T88,'Costdrivere 2022'!T88)</f>
        <v>148</v>
      </c>
      <c r="U88" s="119">
        <f>AVERAGE('Costdrivere 2021'!U88,'Costdrivere 2022'!U88)</f>
        <v>162</v>
      </c>
      <c r="V88" s="119">
        <f>AVERAGE('Costdrivere 2021'!V88,'Costdrivere 2022'!V88)</f>
        <v>524</v>
      </c>
      <c r="W88" s="159">
        <f>AVERAGE('Costdrivere 2021'!W88,'Costdrivere 2022'!W88)</f>
        <v>6120</v>
      </c>
      <c r="X88" s="58">
        <f>AVERAGE('Costdrivere 2021'!X88,'Costdrivere 2022'!X88)</f>
        <v>72824.5</v>
      </c>
      <c r="Y88" s="159">
        <f>AVERAGE('Costdrivere 2021'!Y88,'Costdrivere 2022'!Y88)</f>
        <v>117991</v>
      </c>
      <c r="Z88" s="58">
        <f>AVERAGE('Costdrivere 2021'!Z88,'Costdrivere 2022'!Z88)</f>
        <v>42440</v>
      </c>
      <c r="AA88" s="88">
        <f>AVERAGE('Costdrivere 2021'!AA88,'Costdrivere 2022'!AA88)</f>
        <v>11836491.361698303</v>
      </c>
      <c r="AB88" s="88">
        <f>AVERAGE('Costdrivere 2021'!AB88,'Costdrivere 2022'!AB88)</f>
        <v>19</v>
      </c>
      <c r="AC88" s="58">
        <f>AVERAGE('Costdrivere 2021'!AC88,'Costdrivere 2022'!AC88)</f>
        <v>2116</v>
      </c>
      <c r="AD88" s="290">
        <f>AVERAGE('Costdrivere 2021'!AD88,'Costdrivere 2022'!AD88)</f>
        <v>1128.5</v>
      </c>
      <c r="AE88" s="145">
        <f>AVERAGE('Costdrivere 2021'!AE88,'Costdrivere 2022'!AE88)</f>
        <v>73.62</v>
      </c>
      <c r="AF88" s="58">
        <f>AVERAGE('Costdrivere 2021'!AF88,'Costdrivere 2022'!AF88)</f>
        <v>1424</v>
      </c>
      <c r="AG88" s="290">
        <f>AVERAGE('Costdrivere 2021'!AG88,'Costdrivere 2022'!AG88)</f>
        <v>0</v>
      </c>
      <c r="AH88" s="145">
        <f>AVERAGE('Costdrivere 2021'!AH88,'Costdrivere 2022'!AH88)</f>
        <v>0</v>
      </c>
      <c r="AI88" s="88">
        <f>AVERAGE('Costdrivere 2021'!AI88,'Costdrivere 2022'!AI88)</f>
        <v>21480.5</v>
      </c>
      <c r="AJ88" s="88">
        <f>AVERAGE('Costdrivere 2021'!AJ88,'Costdrivere 2022'!AJ88)</f>
        <v>2622918.5</v>
      </c>
      <c r="AK88" s="99" t="str">
        <f>'Costdrivere 2022'!AK88</f>
        <v>t+r</v>
      </c>
      <c r="AL88" s="150">
        <f>AVERAGE('Costdrivere 2021'!AL88,'Costdrivere 2022'!AL88)</f>
        <v>28635</v>
      </c>
      <c r="AM88" s="48"/>
      <c r="AN88" s="121">
        <f>AVERAGE('Costdrivere 2021'!AN88,'Costdrivere 2022'!AN88)</f>
        <v>12044797.356914774</v>
      </c>
      <c r="AO88" s="166">
        <f>AVERAGE('Costdrivere 2021'!AO88,'Costdrivere 2022'!AO88)</f>
        <v>93104302.633333325</v>
      </c>
      <c r="AP88" s="118">
        <f>AVERAGE('Costdrivere 2021'!AP88,'Costdrivere 2022'!AP88)</f>
        <v>3716346.6666666665</v>
      </c>
      <c r="AQ88" s="203"/>
    </row>
    <row r="89" spans="1:43" x14ac:dyDescent="0.25">
      <c r="A89" s="202" t="s">
        <v>189</v>
      </c>
      <c r="B89" s="202" t="s">
        <v>190</v>
      </c>
      <c r="C89" s="141">
        <f>AVERAGE('Costdrivere 2021'!C89,'Costdrivere 2022'!C89)</f>
        <v>3724077.5521835</v>
      </c>
      <c r="D89" s="119">
        <f>AVERAGE('Costdrivere 2021'!D89,'Costdrivere 2022'!D89)</f>
        <v>7258480.0512000006</v>
      </c>
      <c r="E89" s="119">
        <f>AVERAGE('Costdrivere 2021'!E89,'Costdrivere 2022'!E89)</f>
        <v>536809.42369999993</v>
      </c>
      <c r="F89" s="119">
        <f>AVERAGE('Costdrivere 2021'!F89,'Costdrivere 2022'!F89)</f>
        <v>92228.16750000001</v>
      </c>
      <c r="G89" s="119">
        <f>AVERAGE('Costdrivere 2021'!G89,'Costdrivere 2022'!G89)</f>
        <v>6914350.8579531554</v>
      </c>
      <c r="H89" s="119">
        <f>AVERAGE('Costdrivere 2021'!H89,'Costdrivere 2022'!H89)</f>
        <v>186108.45499999999</v>
      </c>
      <c r="I89" s="119">
        <f>AVERAGE('Costdrivere 2021'!I89,'Costdrivere 2022'!I89)</f>
        <v>920549.8851500001</v>
      </c>
      <c r="J89" s="119">
        <f>AVERAGE('Costdrivere 2021'!J89,'Costdrivere 2022'!J89)</f>
        <v>989180.42585</v>
      </c>
      <c r="K89" s="119">
        <f>AVERAGE('Costdrivere 2021'!K89,'Costdrivere 2022'!K89)</f>
        <v>1557400.0697950881</v>
      </c>
      <c r="L89" s="159">
        <f>AVERAGE('Costdrivere 2021'!L89,'Costdrivere 2022'!L89)</f>
        <v>3075135.2239890387</v>
      </c>
      <c r="M89" s="292">
        <f>AVERAGE('Costdrivere 2021'!M89,'Costdrivere 2022'!M89)</f>
        <v>2.5929372150487757E-2</v>
      </c>
      <c r="N89" s="141">
        <f>AVERAGE('Costdrivere 2021'!N89,'Costdrivere 2022'!N89)</f>
        <v>565.63499999999999</v>
      </c>
      <c r="O89" s="119">
        <f>AVERAGE('Costdrivere 2021'!O89,'Costdrivere 2022'!O89)</f>
        <v>467.33499999999998</v>
      </c>
      <c r="P89" s="119">
        <f>AVERAGE('Costdrivere 2021'!P89,'Costdrivere 2022'!P89)</f>
        <v>0</v>
      </c>
      <c r="Q89" s="119">
        <f>AVERAGE('Costdrivere 2021'!Q89,'Costdrivere 2022'!Q89)</f>
        <v>0</v>
      </c>
      <c r="R89" s="159">
        <f>AVERAGE('Costdrivere 2021'!R89,'Costdrivere 2022'!R89)</f>
        <v>2.48</v>
      </c>
      <c r="S89" s="141">
        <f>AVERAGE('Costdrivere 2021'!S89,'Costdrivere 2022'!S89)</f>
        <v>72</v>
      </c>
      <c r="T89" s="119">
        <f>AVERAGE('Costdrivere 2021'!T89,'Costdrivere 2022'!T89)</f>
        <v>61</v>
      </c>
      <c r="U89" s="119">
        <f>AVERAGE('Costdrivere 2021'!U89,'Costdrivere 2022'!U89)</f>
        <v>75</v>
      </c>
      <c r="V89" s="119">
        <f>AVERAGE('Costdrivere 2021'!V89,'Costdrivere 2022'!V89)</f>
        <v>13980</v>
      </c>
      <c r="W89" s="159">
        <f>AVERAGE('Costdrivere 2021'!W89,'Costdrivere 2022'!W89)</f>
        <v>1000</v>
      </c>
      <c r="X89" s="58">
        <f>AVERAGE('Costdrivere 2021'!X89,'Costdrivere 2022'!X89)</f>
        <v>76100.5</v>
      </c>
      <c r="Y89" s="159">
        <f>AVERAGE('Costdrivere 2021'!Y89,'Costdrivere 2022'!Y89)</f>
        <v>166816</v>
      </c>
      <c r="Z89" s="58">
        <f>AVERAGE('Costdrivere 2021'!Z89,'Costdrivere 2022'!Z89)</f>
        <v>15067.5</v>
      </c>
      <c r="AA89" s="88">
        <f>AVERAGE('Costdrivere 2021'!AA89,'Costdrivere 2022'!AA89)</f>
        <v>6914350.8579531554</v>
      </c>
      <c r="AB89" s="88">
        <f>AVERAGE('Costdrivere 2021'!AB89,'Costdrivere 2022'!AB89)</f>
        <v>65</v>
      </c>
      <c r="AC89" s="58">
        <f>AVERAGE('Costdrivere 2021'!AC89,'Costdrivere 2022'!AC89)</f>
        <v>654.5</v>
      </c>
      <c r="AD89" s="290">
        <f>AVERAGE('Costdrivere 2021'!AD89,'Costdrivere 2022'!AD89)</f>
        <v>0</v>
      </c>
      <c r="AE89" s="145">
        <f>AVERAGE('Costdrivere 2021'!AE89,'Costdrivere 2022'!AE89)</f>
        <v>0</v>
      </c>
      <c r="AF89" s="58">
        <f>AVERAGE('Costdrivere 2021'!AF89,'Costdrivere 2022'!AF89)</f>
        <v>654.5</v>
      </c>
      <c r="AG89" s="290">
        <f>AVERAGE('Costdrivere 2021'!AG89,'Costdrivere 2022'!AG89)</f>
        <v>0</v>
      </c>
      <c r="AH89" s="145">
        <f>AVERAGE('Costdrivere 2021'!AH89,'Costdrivere 2022'!AH89)</f>
        <v>0</v>
      </c>
      <c r="AI89" s="88">
        <f>AVERAGE('Costdrivere 2021'!AI89,'Costdrivere 2022'!AI89)</f>
        <v>17719</v>
      </c>
      <c r="AJ89" s="88">
        <f>AVERAGE('Costdrivere 2021'!AJ89,'Costdrivere 2022'!AJ89)</f>
        <v>1645835.5</v>
      </c>
      <c r="AK89" s="99" t="str">
        <f>'Costdrivere 2022'!AK89</f>
        <v>t+r</v>
      </c>
      <c r="AL89" s="150">
        <f>AVERAGE('Costdrivere 2021'!AL89,'Costdrivere 2022'!AL89)</f>
        <v>22253</v>
      </c>
      <c r="AM89" s="48"/>
      <c r="AN89" s="121">
        <f>AVERAGE('Costdrivere 2021'!AN89,'Costdrivere 2022'!AN89)</f>
        <v>6118269.221702314</v>
      </c>
      <c r="AO89" s="166">
        <f>AVERAGE('Costdrivere 2021'!AO89,'Costdrivere 2022'!AO89)</f>
        <v>72944913.5</v>
      </c>
      <c r="AP89" s="118">
        <f>AVERAGE('Costdrivere 2021'!AP89,'Costdrivere 2022'!AP89)</f>
        <v>1907370.3555518701</v>
      </c>
      <c r="AQ89" s="203"/>
    </row>
    <row r="90" spans="1:43" x14ac:dyDescent="0.25">
      <c r="A90" s="202" t="s">
        <v>191</v>
      </c>
      <c r="B90" s="202" t="s">
        <v>192</v>
      </c>
      <c r="C90" s="141">
        <f>AVERAGE('Costdrivere 2021'!C90,'Costdrivere 2022'!C90)</f>
        <v>7112743.6295814998</v>
      </c>
      <c r="D90" s="119">
        <f>AVERAGE('Costdrivere 2021'!D90,'Costdrivere 2022'!D90)</f>
        <v>22920861.455000002</v>
      </c>
      <c r="E90" s="119">
        <f>AVERAGE('Costdrivere 2021'!E90,'Costdrivere 2022'!E90)</f>
        <v>398610.6312</v>
      </c>
      <c r="F90" s="119">
        <f>AVERAGE('Costdrivere 2021'!F90,'Costdrivere 2022'!F90)</f>
        <v>131105.69900000002</v>
      </c>
      <c r="G90" s="119">
        <f>AVERAGE('Costdrivere 2021'!G90,'Costdrivere 2022'!G90)</f>
        <v>11704129.644879177</v>
      </c>
      <c r="H90" s="119">
        <f>AVERAGE('Costdrivere 2021'!H90,'Costdrivere 2022'!H90)</f>
        <v>157476.38499999998</v>
      </c>
      <c r="I90" s="119">
        <f>AVERAGE('Costdrivere 2021'!I90,'Costdrivere 2022'!I90)</f>
        <v>1236064.6742000002</v>
      </c>
      <c r="J90" s="119">
        <f>AVERAGE('Costdrivere 2021'!J90,'Costdrivere 2022'!J90)</f>
        <v>2122623.8091000002</v>
      </c>
      <c r="K90" s="119">
        <f>AVERAGE('Costdrivere 2021'!K90,'Costdrivere 2022'!K90)</f>
        <v>2021698.0078837629</v>
      </c>
      <c r="L90" s="159">
        <f>AVERAGE('Costdrivere 2021'!L90,'Costdrivere 2022'!L90)</f>
        <v>6058957.5261482112</v>
      </c>
      <c r="M90" s="292">
        <f>AVERAGE('Costdrivere 2021'!M90,'Costdrivere 2022'!M90)</f>
        <v>3.0696359224440705E-2</v>
      </c>
      <c r="N90" s="141">
        <f>AVERAGE('Costdrivere 2021'!N90,'Costdrivere 2022'!N90)</f>
        <v>587.28500000000008</v>
      </c>
      <c r="O90" s="119">
        <f>AVERAGE('Costdrivere 2021'!O90,'Costdrivere 2022'!O90)</f>
        <v>1219.7649999999999</v>
      </c>
      <c r="P90" s="119">
        <f>AVERAGE('Costdrivere 2021'!P90,'Costdrivere 2022'!P90)</f>
        <v>8.43</v>
      </c>
      <c r="Q90" s="119">
        <f>AVERAGE('Costdrivere 2021'!Q90,'Costdrivere 2022'!Q90)</f>
        <v>0</v>
      </c>
      <c r="R90" s="159">
        <f>AVERAGE('Costdrivere 2021'!R90,'Costdrivere 2022'!R90)</f>
        <v>4.08</v>
      </c>
      <c r="S90" s="141">
        <f>AVERAGE('Costdrivere 2021'!S90,'Costdrivere 2022'!S90)</f>
        <v>11.5</v>
      </c>
      <c r="T90" s="119">
        <f>AVERAGE('Costdrivere 2021'!T90,'Costdrivere 2022'!T90)</f>
        <v>638.5</v>
      </c>
      <c r="U90" s="119">
        <f>AVERAGE('Costdrivere 2021'!U90,'Costdrivere 2022'!U90)</f>
        <v>147.5</v>
      </c>
      <c r="V90" s="119">
        <f>AVERAGE('Costdrivere 2021'!V90,'Costdrivere 2022'!V90)</f>
        <v>20669</v>
      </c>
      <c r="W90" s="159">
        <f>AVERAGE('Costdrivere 2021'!W90,'Costdrivere 2022'!W90)</f>
        <v>27215</v>
      </c>
      <c r="X90" s="58">
        <f>AVERAGE('Costdrivere 2021'!X90,'Costdrivere 2022'!X90)</f>
        <v>84375</v>
      </c>
      <c r="Y90" s="159">
        <f>AVERAGE('Costdrivere 2021'!Y90,'Costdrivere 2022'!Y90)</f>
        <v>107526</v>
      </c>
      <c r="Z90" s="58">
        <f>AVERAGE('Costdrivere 2021'!Z90,'Costdrivere 2022'!Z90)</f>
        <v>21419</v>
      </c>
      <c r="AA90" s="88">
        <f>AVERAGE('Costdrivere 2021'!AA90,'Costdrivere 2022'!AA90)</f>
        <v>11704129.644879177</v>
      </c>
      <c r="AB90" s="88">
        <f>AVERAGE('Costdrivere 2021'!AB90,'Costdrivere 2022'!AB90)</f>
        <v>55</v>
      </c>
      <c r="AC90" s="58">
        <f>AVERAGE('Costdrivere 2021'!AC90,'Costdrivere 2022'!AC90)</f>
        <v>1791</v>
      </c>
      <c r="AD90" s="290">
        <f>AVERAGE('Costdrivere 2021'!AD90,'Costdrivere 2022'!AD90)</f>
        <v>0</v>
      </c>
      <c r="AE90" s="145">
        <f>AVERAGE('Costdrivere 2021'!AE90,'Costdrivere 2022'!AE90)</f>
        <v>0</v>
      </c>
      <c r="AF90" s="58">
        <f>AVERAGE('Costdrivere 2021'!AF90,'Costdrivere 2022'!AF90)</f>
        <v>1791</v>
      </c>
      <c r="AG90" s="290">
        <f>AVERAGE('Costdrivere 2021'!AG90,'Costdrivere 2022'!AG90)</f>
        <v>0</v>
      </c>
      <c r="AH90" s="145">
        <f>AVERAGE('Costdrivere 2021'!AH90,'Costdrivere 2022'!AH90)</f>
        <v>0</v>
      </c>
      <c r="AI90" s="88">
        <f>AVERAGE('Costdrivere 2021'!AI90,'Costdrivere 2022'!AI90)</f>
        <v>34347</v>
      </c>
      <c r="AJ90" s="88">
        <f>AVERAGE('Costdrivere 2021'!AJ90,'Costdrivere 2022'!AJ90)</f>
        <v>3276233</v>
      </c>
      <c r="AK90" s="99" t="str">
        <f>'Costdrivere 2022'!AK90</f>
        <v>t+r</v>
      </c>
      <c r="AL90" s="150">
        <f>AVERAGE('Costdrivere 2021'!AL90,'Costdrivere 2022'!AL90)</f>
        <v>37831</v>
      </c>
      <c r="AM90" s="48"/>
      <c r="AN90" s="121">
        <f>AVERAGE('Costdrivere 2021'!AN90,'Costdrivere 2022'!AN90)</f>
        <v>12715438.246780626</v>
      </c>
      <c r="AO90" s="166">
        <f>AVERAGE('Costdrivere 2021'!AO90,'Costdrivere 2022'!AO90)</f>
        <v>121836140.12497789</v>
      </c>
      <c r="AP90" s="118">
        <f>AVERAGE('Costdrivere 2021'!AP90,'Costdrivere 2022'!AP90)</f>
        <v>7097986.666666667</v>
      </c>
      <c r="AQ90" s="203"/>
    </row>
    <row r="91" spans="1:43" x14ac:dyDescent="0.25">
      <c r="A91" s="202" t="s">
        <v>193</v>
      </c>
      <c r="B91" s="202" t="s">
        <v>194</v>
      </c>
      <c r="C91" s="141">
        <f>AVERAGE('Costdrivere 2021'!C91,'Costdrivere 2022'!C91)</f>
        <v>0</v>
      </c>
      <c r="D91" s="119">
        <f>AVERAGE('Costdrivere 2021'!D91,'Costdrivere 2022'!D91)</f>
        <v>0</v>
      </c>
      <c r="E91" s="119">
        <f>AVERAGE('Costdrivere 2021'!E91,'Costdrivere 2022'!E91)</f>
        <v>0</v>
      </c>
      <c r="F91" s="119">
        <f>AVERAGE('Costdrivere 2021'!F91,'Costdrivere 2022'!F91)</f>
        <v>0</v>
      </c>
      <c r="G91" s="119">
        <f>AVERAGE('Costdrivere 2021'!G91,'Costdrivere 2022'!G91)</f>
        <v>20111024.288965877</v>
      </c>
      <c r="H91" s="119">
        <f>AVERAGE('Costdrivere 2021'!H91,'Costdrivere 2022'!H91)</f>
        <v>0</v>
      </c>
      <c r="I91" s="119">
        <f>AVERAGE('Costdrivere 2021'!I91,'Costdrivere 2022'!I91)</f>
        <v>2327980.2816200005</v>
      </c>
      <c r="J91" s="119">
        <f>AVERAGE('Costdrivere 2021'!J91,'Costdrivere 2022'!J91)</f>
        <v>2611117.4699400002</v>
      </c>
      <c r="K91" s="119">
        <f>AVERAGE('Costdrivere 2021'!K91,'Costdrivere 2022'!K91)</f>
        <v>128320.21237797661</v>
      </c>
      <c r="L91" s="159">
        <f>AVERAGE('Costdrivere 2021'!L91,'Costdrivere 2022'!L91)</f>
        <v>2170090.5644977232</v>
      </c>
      <c r="M91" s="292">
        <f>AVERAGE('Costdrivere 2021'!M91,'Costdrivere 2022'!M91)</f>
        <v>0</v>
      </c>
      <c r="N91" s="141">
        <f>AVERAGE('Costdrivere 2021'!N91,'Costdrivere 2022'!N91)</f>
        <v>0</v>
      </c>
      <c r="O91" s="119">
        <f>AVERAGE('Costdrivere 2021'!O91,'Costdrivere 2022'!O91)</f>
        <v>0</v>
      </c>
      <c r="P91" s="119">
        <f>AVERAGE('Costdrivere 2021'!P91,'Costdrivere 2022'!P91)</f>
        <v>0</v>
      </c>
      <c r="Q91" s="119">
        <f>AVERAGE('Costdrivere 2021'!Q91,'Costdrivere 2022'!Q91)</f>
        <v>0</v>
      </c>
      <c r="R91" s="159">
        <f>AVERAGE('Costdrivere 2021'!R91,'Costdrivere 2022'!R91)</f>
        <v>0</v>
      </c>
      <c r="S91" s="141">
        <f>AVERAGE('Costdrivere 2021'!S91,'Costdrivere 2022'!S91)</f>
        <v>0</v>
      </c>
      <c r="T91" s="119">
        <f>AVERAGE('Costdrivere 2021'!T91,'Costdrivere 2022'!T91)</f>
        <v>0</v>
      </c>
      <c r="U91" s="119">
        <f>AVERAGE('Costdrivere 2021'!U91,'Costdrivere 2022'!U91)</f>
        <v>0</v>
      </c>
      <c r="V91" s="119">
        <f>AVERAGE('Costdrivere 2021'!V91,'Costdrivere 2022'!V91)</f>
        <v>0</v>
      </c>
      <c r="W91" s="159">
        <f>AVERAGE('Costdrivere 2021'!W91,'Costdrivere 2022'!W91)</f>
        <v>0</v>
      </c>
      <c r="X91" s="58">
        <f>AVERAGE('Costdrivere 2021'!X91,'Costdrivere 2022'!X91)</f>
        <v>0</v>
      </c>
      <c r="Y91" s="159">
        <f>AVERAGE('Costdrivere 2021'!Y91,'Costdrivere 2022'!Y91)</f>
        <v>0</v>
      </c>
      <c r="Z91" s="58">
        <f>AVERAGE('Costdrivere 2021'!Z91,'Costdrivere 2022'!Z91)</f>
        <v>0</v>
      </c>
      <c r="AA91" s="88">
        <f>AVERAGE('Costdrivere 2021'!AA91,'Costdrivere 2022'!AA91)</f>
        <v>20111024.288965877</v>
      </c>
      <c r="AB91" s="88">
        <f>AVERAGE('Costdrivere 2021'!AB91,'Costdrivere 2022'!AB91)</f>
        <v>0</v>
      </c>
      <c r="AC91" s="58">
        <f>AVERAGE('Costdrivere 2021'!AC91,'Costdrivere 2022'!AC91)</f>
        <v>759.59999999999991</v>
      </c>
      <c r="AD91" s="290">
        <f>AVERAGE('Costdrivere 2021'!AD91,'Costdrivere 2022'!AD91)</f>
        <v>1796.25</v>
      </c>
      <c r="AE91" s="145">
        <f>AVERAGE('Costdrivere 2021'!AE91,'Costdrivere 2022'!AE91)</f>
        <v>0</v>
      </c>
      <c r="AF91" s="58">
        <f>AVERAGE('Costdrivere 2021'!AF91,'Costdrivere 2022'!AF91)</f>
        <v>1619.05</v>
      </c>
      <c r="AG91" s="290">
        <f>AVERAGE('Costdrivere 2021'!AG91,'Costdrivere 2022'!AG91)</f>
        <v>0</v>
      </c>
      <c r="AH91" s="145">
        <f>AVERAGE('Costdrivere 2021'!AH91,'Costdrivere 2022'!AH91)</f>
        <v>338.05</v>
      </c>
      <c r="AI91" s="88">
        <f>AVERAGE('Costdrivere 2021'!AI91,'Costdrivere 2022'!AI91)</f>
        <v>31.5</v>
      </c>
      <c r="AJ91" s="88">
        <f>AVERAGE('Costdrivere 2021'!AJ91,'Costdrivere 2022'!AJ91)</f>
        <v>2452457</v>
      </c>
      <c r="AK91" s="99" t="str">
        <f>'Costdrivere 2022'!AK91</f>
        <v>r</v>
      </c>
      <c r="AL91" s="150">
        <f>AVERAGE('Costdrivere 2021'!AL91,'Costdrivere 2022'!AL91)</f>
        <v>15</v>
      </c>
      <c r="AM91" s="48"/>
      <c r="AN91" s="121">
        <f>AVERAGE('Costdrivere 2021'!AN91,'Costdrivere 2022'!AN91)</f>
        <v>26418896.314856905</v>
      </c>
      <c r="AO91" s="166">
        <f>AVERAGE('Costdrivere 2021'!AO91,'Costdrivere 2022'!AO91)</f>
        <v>0</v>
      </c>
      <c r="AP91" s="118">
        <f>AVERAGE('Costdrivere 2021'!AP91,'Costdrivere 2022'!AP91)</f>
        <v>2890100.0000000005</v>
      </c>
      <c r="AQ91" s="203"/>
    </row>
    <row r="92" spans="1:43" x14ac:dyDescent="0.25">
      <c r="A92" s="202" t="s">
        <v>195</v>
      </c>
      <c r="B92" s="202" t="s">
        <v>196</v>
      </c>
      <c r="C92" s="141">
        <f>AVERAGE('Costdrivere 2021'!C92,'Costdrivere 2022'!C92)</f>
        <v>3391978.0469815</v>
      </c>
      <c r="D92" s="119">
        <f>AVERAGE('Costdrivere 2021'!D92,'Costdrivere 2022'!D92)</f>
        <v>5917800.8857999993</v>
      </c>
      <c r="E92" s="119">
        <f>AVERAGE('Costdrivere 2021'!E92,'Costdrivere 2022'!E92)</f>
        <v>167805.2335</v>
      </c>
      <c r="F92" s="119">
        <f>AVERAGE('Costdrivere 2021'!F92,'Costdrivere 2022'!F92)</f>
        <v>118116.93700000001</v>
      </c>
      <c r="G92" s="119">
        <f>AVERAGE('Costdrivere 2021'!G92,'Costdrivere 2022'!G92)</f>
        <v>0</v>
      </c>
      <c r="H92" s="119">
        <f>AVERAGE('Costdrivere 2021'!H92,'Costdrivere 2022'!H92)</f>
        <v>0</v>
      </c>
      <c r="I92" s="119">
        <f>AVERAGE('Costdrivere 2021'!I92,'Costdrivere 2022'!I92)</f>
        <v>0</v>
      </c>
      <c r="J92" s="119">
        <f>AVERAGE('Costdrivere 2021'!J92,'Costdrivere 2022'!J92)</f>
        <v>0</v>
      </c>
      <c r="K92" s="119">
        <f>AVERAGE('Costdrivere 2021'!K92,'Costdrivere 2022'!K92)</f>
        <v>1529643.970625275</v>
      </c>
      <c r="L92" s="159">
        <f>AVERAGE('Costdrivere 2021'!L92,'Costdrivere 2022'!L92)</f>
        <v>2596435.9411378345</v>
      </c>
      <c r="M92" s="292">
        <f>AVERAGE('Costdrivere 2021'!M92,'Costdrivere 2022'!M92)</f>
        <v>2.7107648808767277E-2</v>
      </c>
      <c r="N92" s="141">
        <f>AVERAGE('Costdrivere 2021'!N92,'Costdrivere 2022'!N92)</f>
        <v>432.53</v>
      </c>
      <c r="O92" s="119">
        <f>AVERAGE('Costdrivere 2021'!O92,'Costdrivere 2022'!O92)</f>
        <v>588.4</v>
      </c>
      <c r="P92" s="119">
        <f>AVERAGE('Costdrivere 2021'!P92,'Costdrivere 2022'!P92)</f>
        <v>14.555</v>
      </c>
      <c r="Q92" s="119">
        <f>AVERAGE('Costdrivere 2021'!Q92,'Costdrivere 2022'!Q92)</f>
        <v>0</v>
      </c>
      <c r="R92" s="159">
        <f>AVERAGE('Costdrivere 2021'!R92,'Costdrivere 2022'!R92)</f>
        <v>0</v>
      </c>
      <c r="S92" s="141">
        <f>AVERAGE('Costdrivere 2021'!S92,'Costdrivere 2022'!S92)</f>
        <v>68</v>
      </c>
      <c r="T92" s="119">
        <f>AVERAGE('Costdrivere 2021'!T92,'Costdrivere 2022'!T92)</f>
        <v>150</v>
      </c>
      <c r="U92" s="119">
        <f>AVERAGE('Costdrivere 2021'!U92,'Costdrivere 2022'!U92)</f>
        <v>103</v>
      </c>
      <c r="V92" s="119">
        <f>AVERAGE('Costdrivere 2021'!V92,'Costdrivere 2022'!V92)</f>
        <v>3505</v>
      </c>
      <c r="W92" s="159">
        <f>AVERAGE('Costdrivere 2021'!W92,'Costdrivere 2022'!W92)</f>
        <v>2590</v>
      </c>
      <c r="X92" s="58">
        <f>AVERAGE('Costdrivere 2021'!X92,'Costdrivere 2022'!X92)</f>
        <v>40619</v>
      </c>
      <c r="Y92" s="159">
        <f>AVERAGE('Costdrivere 2021'!Y92,'Costdrivere 2022'!Y92)</f>
        <v>42275</v>
      </c>
      <c r="Z92" s="58">
        <f>AVERAGE('Costdrivere 2021'!Z92,'Costdrivere 2022'!Z92)</f>
        <v>19297</v>
      </c>
      <c r="AA92" s="88">
        <f>AVERAGE('Costdrivere 2021'!AA92,'Costdrivere 2022'!AA92)</f>
        <v>0</v>
      </c>
      <c r="AB92" s="88">
        <f>AVERAGE('Costdrivere 2021'!AB92,'Costdrivere 2022'!AB92)</f>
        <v>0</v>
      </c>
      <c r="AC92" s="58">
        <f>AVERAGE('Costdrivere 2021'!AC92,'Costdrivere 2022'!AC92)</f>
        <v>0</v>
      </c>
      <c r="AD92" s="290">
        <f>AVERAGE('Costdrivere 2021'!AD92,'Costdrivere 2022'!AD92)</f>
        <v>0</v>
      </c>
      <c r="AE92" s="145">
        <f>AVERAGE('Costdrivere 2021'!AE92,'Costdrivere 2022'!AE92)</f>
        <v>0</v>
      </c>
      <c r="AF92" s="58">
        <f>AVERAGE('Costdrivere 2021'!AF92,'Costdrivere 2022'!AF92)</f>
        <v>0</v>
      </c>
      <c r="AG92" s="290">
        <f>AVERAGE('Costdrivere 2021'!AG92,'Costdrivere 2022'!AG92)</f>
        <v>0</v>
      </c>
      <c r="AH92" s="145">
        <f>AVERAGE('Costdrivere 2021'!AH92,'Costdrivere 2022'!AH92)</f>
        <v>0</v>
      </c>
      <c r="AI92" s="88">
        <f>AVERAGE('Costdrivere 2021'!AI92,'Costdrivere 2022'!AI92)</f>
        <v>16928</v>
      </c>
      <c r="AJ92" s="88">
        <f>AVERAGE('Costdrivere 2021'!AJ92,'Costdrivere 2022'!AJ92)</f>
        <v>1890874.5</v>
      </c>
      <c r="AK92" s="99" t="str">
        <f>'Costdrivere 2022'!AK92</f>
        <v>t</v>
      </c>
      <c r="AL92" s="150">
        <f>AVERAGE('Costdrivere 2021'!AL92,'Costdrivere 2022'!AL92)</f>
        <v>21248.5</v>
      </c>
      <c r="AM92" s="48"/>
      <c r="AN92" s="121">
        <f>AVERAGE('Costdrivere 2021'!AN92,'Costdrivere 2022'!AN92)</f>
        <v>0</v>
      </c>
      <c r="AO92" s="166">
        <f>AVERAGE('Costdrivere 2021'!AO92,'Costdrivere 2022'!AO92)</f>
        <v>93983950.273333311</v>
      </c>
      <c r="AP92" s="118">
        <f>AVERAGE('Costdrivere 2021'!AP92,'Costdrivere 2022'!AP92)</f>
        <v>2294546.6666666665</v>
      </c>
      <c r="AQ92" s="203"/>
    </row>
    <row r="93" spans="1:43" x14ac:dyDescent="0.25">
      <c r="A93" s="202" t="s">
        <v>197</v>
      </c>
      <c r="B93" s="202" t="s">
        <v>198</v>
      </c>
      <c r="C93" s="141">
        <f>AVERAGE('Costdrivere 2021'!C93,'Costdrivere 2022'!C93)</f>
        <v>3072382.1619500001</v>
      </c>
      <c r="D93" s="119">
        <f>AVERAGE('Costdrivere 2021'!D93,'Costdrivere 2022'!D93)</f>
        <v>6116585.2736999998</v>
      </c>
      <c r="E93" s="119">
        <f>AVERAGE('Costdrivere 2021'!E93,'Costdrivere 2022'!E93)</f>
        <v>349106.0428</v>
      </c>
      <c r="F93" s="119">
        <f>AVERAGE('Costdrivere 2021'!F93,'Costdrivere 2022'!F93)</f>
        <v>41377.960000000006</v>
      </c>
      <c r="G93" s="119">
        <f>AVERAGE('Costdrivere 2021'!G93,'Costdrivere 2022'!G93)</f>
        <v>10379060.868543694</v>
      </c>
      <c r="H93" s="119">
        <f>AVERAGE('Costdrivere 2021'!H93,'Costdrivere 2022'!H93)</f>
        <v>8589.6209999999992</v>
      </c>
      <c r="I93" s="119">
        <f>AVERAGE('Costdrivere 2021'!I93,'Costdrivere 2022'!I93)</f>
        <v>2153854.0551</v>
      </c>
      <c r="J93" s="119">
        <f>AVERAGE('Costdrivere 2021'!J93,'Costdrivere 2022'!J93)</f>
        <v>1530669.9754999999</v>
      </c>
      <c r="K93" s="119">
        <f>AVERAGE('Costdrivere 2021'!K93,'Costdrivere 2022'!K93)</f>
        <v>1652153.9178624626</v>
      </c>
      <c r="L93" s="159">
        <f>AVERAGE('Costdrivere 2021'!L93,'Costdrivere 2022'!L93)</f>
        <v>3415742.3596949531</v>
      </c>
      <c r="M93" s="292">
        <f>AVERAGE('Costdrivere 2021'!M93,'Costdrivere 2022'!M93)</f>
        <v>2.8720982509566645E-2</v>
      </c>
      <c r="N93" s="141">
        <f>AVERAGE('Costdrivere 2021'!N93,'Costdrivere 2022'!N93)</f>
        <v>394</v>
      </c>
      <c r="O93" s="119">
        <f>AVERAGE('Costdrivere 2021'!O93,'Costdrivere 2022'!O93)</f>
        <v>511.5</v>
      </c>
      <c r="P93" s="119">
        <f>AVERAGE('Costdrivere 2021'!P93,'Costdrivere 2022'!P93)</f>
        <v>0</v>
      </c>
      <c r="Q93" s="119">
        <f>AVERAGE('Costdrivere 2021'!Q93,'Costdrivere 2022'!Q93)</f>
        <v>0</v>
      </c>
      <c r="R93" s="159">
        <f>AVERAGE('Costdrivere 2021'!R93,'Costdrivere 2022'!R93)</f>
        <v>1</v>
      </c>
      <c r="S93" s="141">
        <f>AVERAGE('Costdrivere 2021'!S93,'Costdrivere 2022'!S93)</f>
        <v>0</v>
      </c>
      <c r="T93" s="119">
        <f>AVERAGE('Costdrivere 2021'!T93,'Costdrivere 2022'!T93)</f>
        <v>398</v>
      </c>
      <c r="U93" s="119">
        <f>AVERAGE('Costdrivere 2021'!U93,'Costdrivere 2022'!U93)</f>
        <v>73</v>
      </c>
      <c r="V93" s="119">
        <f>AVERAGE('Costdrivere 2021'!V93,'Costdrivere 2022'!V93)</f>
        <v>0</v>
      </c>
      <c r="W93" s="159">
        <f>AVERAGE('Costdrivere 2021'!W93,'Costdrivere 2022'!W93)</f>
        <v>0</v>
      </c>
      <c r="X93" s="58">
        <f>AVERAGE('Costdrivere 2021'!X93,'Costdrivere 2022'!X93)</f>
        <v>101377</v>
      </c>
      <c r="Y93" s="159">
        <f>AVERAGE('Costdrivere 2021'!Y93,'Costdrivere 2022'!Y93)</f>
        <v>78054</v>
      </c>
      <c r="Z93" s="58">
        <f>AVERAGE('Costdrivere 2021'!Z93,'Costdrivere 2022'!Z93)</f>
        <v>6760</v>
      </c>
      <c r="AA93" s="88">
        <f>AVERAGE('Costdrivere 2021'!AA93,'Costdrivere 2022'!AA93)</f>
        <v>10379060.868543694</v>
      </c>
      <c r="AB93" s="88">
        <f>AVERAGE('Costdrivere 2021'!AB93,'Costdrivere 2022'!AB93)</f>
        <v>3</v>
      </c>
      <c r="AC93" s="58">
        <f>AVERAGE('Costdrivere 2021'!AC93,'Costdrivere 2022'!AC93)</f>
        <v>1110.5</v>
      </c>
      <c r="AD93" s="290">
        <f>AVERAGE('Costdrivere 2021'!AD93,'Costdrivere 2022'!AD93)</f>
        <v>0</v>
      </c>
      <c r="AE93" s="145">
        <f>AVERAGE('Costdrivere 2021'!AE93,'Costdrivere 2022'!AE93)</f>
        <v>666.5</v>
      </c>
      <c r="AF93" s="58">
        <f>AVERAGE('Costdrivere 2021'!AF93,'Costdrivere 2022'!AF93)</f>
        <v>849</v>
      </c>
      <c r="AG93" s="290">
        <f>AVERAGE('Costdrivere 2021'!AG93,'Costdrivere 2022'!AG93)</f>
        <v>0</v>
      </c>
      <c r="AH93" s="145">
        <f>AVERAGE('Costdrivere 2021'!AH93,'Costdrivere 2022'!AH93)</f>
        <v>178</v>
      </c>
      <c r="AI93" s="88">
        <f>AVERAGE('Costdrivere 2021'!AI93,'Costdrivere 2022'!AI93)</f>
        <v>20583.5</v>
      </c>
      <c r="AJ93" s="88">
        <f>AVERAGE('Costdrivere 2021'!AJ93,'Costdrivere 2022'!AJ93)</f>
        <v>1831069</v>
      </c>
      <c r="AK93" s="99" t="str">
        <f>'Costdrivere 2022'!AK93</f>
        <v>t+r</v>
      </c>
      <c r="AL93" s="150">
        <f>AVERAGE('Costdrivere 2021'!AL93,'Costdrivere 2022'!AL93)</f>
        <v>20291</v>
      </c>
      <c r="AM93" s="48"/>
      <c r="AN93" s="121">
        <f>AVERAGE('Costdrivere 2021'!AN93,'Costdrivere 2022'!AN93)</f>
        <v>8100401.6652607638</v>
      </c>
      <c r="AO93" s="166">
        <f>AVERAGE('Costdrivere 2021'!AO93,'Costdrivere 2022'!AO93)</f>
        <v>107236588.68133639</v>
      </c>
      <c r="AP93" s="118">
        <f>AVERAGE('Costdrivere 2021'!AP93,'Costdrivere 2022'!AP93)</f>
        <v>1783520</v>
      </c>
      <c r="AQ93" s="203"/>
    </row>
    <row r="94" spans="1:43" x14ac:dyDescent="0.25">
      <c r="A94" s="202" t="s">
        <v>199</v>
      </c>
      <c r="B94" s="202" t="s">
        <v>200</v>
      </c>
      <c r="C94" s="141">
        <f>AVERAGE('Costdrivere 2021'!C94,'Costdrivere 2022'!C94)</f>
        <v>2047100.2858000002</v>
      </c>
      <c r="D94" s="119">
        <f>AVERAGE('Costdrivere 2021'!D94,'Costdrivere 2022'!D94)</f>
        <v>3575893.4020499997</v>
      </c>
      <c r="E94" s="119">
        <f>AVERAGE('Costdrivere 2021'!E94,'Costdrivere 2022'!E94)</f>
        <v>125696.11439999999</v>
      </c>
      <c r="F94" s="119">
        <f>AVERAGE('Costdrivere 2021'!F94,'Costdrivere 2022'!F94)</f>
        <v>80185.100000000006</v>
      </c>
      <c r="G94" s="119">
        <f>AVERAGE('Costdrivere 2021'!G94,'Costdrivere 2022'!G94)</f>
        <v>5937283.7840228239</v>
      </c>
      <c r="H94" s="119">
        <f>AVERAGE('Costdrivere 2021'!H94,'Costdrivere 2022'!H94)</f>
        <v>0</v>
      </c>
      <c r="I94" s="119">
        <f>AVERAGE('Costdrivere 2021'!I94,'Costdrivere 2022'!I94)</f>
        <v>1078515.4944500001</v>
      </c>
      <c r="J94" s="119">
        <f>AVERAGE('Costdrivere 2021'!J94,'Costdrivere 2022'!J94)</f>
        <v>1556650.10035</v>
      </c>
      <c r="K94" s="119">
        <f>AVERAGE('Costdrivere 2021'!K94,'Costdrivere 2022'!K94)</f>
        <v>1227848.472295926</v>
      </c>
      <c r="L94" s="159">
        <f>AVERAGE('Costdrivere 2021'!L94,'Costdrivere 2022'!L94)</f>
        <v>3903505.3725578263</v>
      </c>
      <c r="M94" s="292">
        <f>AVERAGE('Costdrivere 2021'!M94,'Costdrivere 2022'!M94)</f>
        <v>5.632549019607843E-2</v>
      </c>
      <c r="N94" s="141">
        <f>AVERAGE('Costdrivere 2021'!N94,'Costdrivere 2022'!N94)</f>
        <v>20</v>
      </c>
      <c r="O94" s="119">
        <f>AVERAGE('Costdrivere 2021'!O94,'Costdrivere 2022'!O94)</f>
        <v>201</v>
      </c>
      <c r="P94" s="119">
        <f>AVERAGE('Costdrivere 2021'!P94,'Costdrivere 2022'!P94)</f>
        <v>45</v>
      </c>
      <c r="Q94" s="119">
        <f>AVERAGE('Costdrivere 2021'!Q94,'Costdrivere 2022'!Q94)</f>
        <v>0</v>
      </c>
      <c r="R94" s="159">
        <f>AVERAGE('Costdrivere 2021'!R94,'Costdrivere 2022'!R94)</f>
        <v>2</v>
      </c>
      <c r="S94" s="141">
        <f>AVERAGE('Costdrivere 2021'!S94,'Costdrivere 2022'!S94)</f>
        <v>0</v>
      </c>
      <c r="T94" s="119">
        <f>AVERAGE('Costdrivere 2021'!T94,'Costdrivere 2022'!T94)</f>
        <v>19.5</v>
      </c>
      <c r="U94" s="119">
        <f>AVERAGE('Costdrivere 2021'!U94,'Costdrivere 2022'!U94)</f>
        <v>40</v>
      </c>
      <c r="V94" s="119">
        <f>AVERAGE('Costdrivere 2021'!V94,'Costdrivere 2022'!V94)</f>
        <v>2542</v>
      </c>
      <c r="W94" s="159">
        <f>AVERAGE('Costdrivere 2021'!W94,'Costdrivere 2022'!W94)</f>
        <v>7580</v>
      </c>
      <c r="X94" s="58">
        <f>AVERAGE('Costdrivere 2021'!X94,'Costdrivere 2022'!X94)</f>
        <v>0</v>
      </c>
      <c r="Y94" s="159">
        <f>AVERAGE('Costdrivere 2021'!Y94,'Costdrivere 2022'!Y94)</f>
        <v>49512</v>
      </c>
      <c r="Z94" s="58">
        <f>AVERAGE('Costdrivere 2021'!Z94,'Costdrivere 2022'!Z94)</f>
        <v>13100</v>
      </c>
      <c r="AA94" s="88">
        <f>AVERAGE('Costdrivere 2021'!AA94,'Costdrivere 2022'!AA94)</f>
        <v>5937283.7840228239</v>
      </c>
      <c r="AB94" s="88">
        <f>AVERAGE('Costdrivere 2021'!AB94,'Costdrivere 2022'!AB94)</f>
        <v>0</v>
      </c>
      <c r="AC94" s="58">
        <f>AVERAGE('Costdrivere 2021'!AC94,'Costdrivere 2022'!AC94)</f>
        <v>1223.5</v>
      </c>
      <c r="AD94" s="290">
        <f>AVERAGE('Costdrivere 2021'!AD94,'Costdrivere 2022'!AD94)</f>
        <v>0</v>
      </c>
      <c r="AE94" s="145">
        <f>AVERAGE('Costdrivere 2021'!AE94,'Costdrivere 2022'!AE94)</f>
        <v>0</v>
      </c>
      <c r="AF94" s="58">
        <f>AVERAGE('Costdrivere 2021'!AF94,'Costdrivere 2022'!AF94)</f>
        <v>1223.5</v>
      </c>
      <c r="AG94" s="290">
        <f>AVERAGE('Costdrivere 2021'!AG94,'Costdrivere 2022'!AG94)</f>
        <v>0</v>
      </c>
      <c r="AH94" s="145">
        <f>AVERAGE('Costdrivere 2021'!AH94,'Costdrivere 2022'!AH94)</f>
        <v>0</v>
      </c>
      <c r="AI94" s="88">
        <f>AVERAGE('Costdrivere 2021'!AI94,'Costdrivere 2022'!AI94)</f>
        <v>9693.5</v>
      </c>
      <c r="AJ94" s="88">
        <f>AVERAGE('Costdrivere 2021'!AJ94,'Costdrivere 2022'!AJ94)</f>
        <v>2096772</v>
      </c>
      <c r="AK94" s="99" t="str">
        <f>'Costdrivere 2022'!AK94</f>
        <v>t+r</v>
      </c>
      <c r="AL94" s="150">
        <f>AVERAGE('Costdrivere 2021'!AL94,'Costdrivere 2022'!AL94)</f>
        <v>14363</v>
      </c>
      <c r="AM94" s="48"/>
      <c r="AN94" s="121">
        <f>AVERAGE('Costdrivere 2021'!AN94,'Costdrivere 2022'!AN94)</f>
        <v>8021087.6761179212</v>
      </c>
      <c r="AO94" s="166">
        <f>AVERAGE('Costdrivere 2021'!AO94,'Costdrivere 2022'!AO94)</f>
        <v>38996687.9212</v>
      </c>
      <c r="AP94" s="118">
        <f>AVERAGE('Costdrivere 2021'!AP94,'Costdrivere 2022'!AP94)</f>
        <v>1318130.9333333333</v>
      </c>
      <c r="AQ94" s="203"/>
    </row>
    <row r="95" spans="1:43" x14ac:dyDescent="0.25">
      <c r="A95" s="202" t="s">
        <v>201</v>
      </c>
      <c r="B95" s="202" t="s">
        <v>202</v>
      </c>
      <c r="C95" s="141">
        <f>AVERAGE('Costdrivere 2021'!C95,'Costdrivere 2022'!C95)</f>
        <v>16065059.9133325</v>
      </c>
      <c r="D95" s="119">
        <f>AVERAGE('Costdrivere 2021'!D95,'Costdrivere 2022'!D95)</f>
        <v>17143062.038450003</v>
      </c>
      <c r="E95" s="119">
        <f>AVERAGE('Costdrivere 2021'!E95,'Costdrivere 2022'!E95)</f>
        <v>2079986.9366000001</v>
      </c>
      <c r="F95" s="119">
        <f>AVERAGE('Costdrivere 2021'!F95,'Costdrivere 2022'!F95)</f>
        <v>252136.23200000002</v>
      </c>
      <c r="G95" s="119">
        <f>AVERAGE('Costdrivere 2021'!G95,'Costdrivere 2022'!G95)</f>
        <v>35936839.682905175</v>
      </c>
      <c r="H95" s="119">
        <f>AVERAGE('Costdrivere 2021'!H95,'Costdrivere 2022'!H95)</f>
        <v>340721.63299999997</v>
      </c>
      <c r="I95" s="119">
        <f>AVERAGE('Costdrivere 2021'!I95,'Costdrivere 2022'!I95)</f>
        <v>8252827.9101499999</v>
      </c>
      <c r="J95" s="119">
        <f>AVERAGE('Costdrivere 2021'!J95,'Costdrivere 2022'!J95)</f>
        <v>14068185.714249998</v>
      </c>
      <c r="K95" s="119">
        <f>AVERAGE('Costdrivere 2021'!K95,'Costdrivere 2022'!K95)</f>
        <v>2832972.3493594467</v>
      </c>
      <c r="L95" s="159">
        <f>AVERAGE('Costdrivere 2021'!L95,'Costdrivere 2022'!L95)</f>
        <v>20192913.890328176</v>
      </c>
      <c r="M95" s="292">
        <f>AVERAGE('Costdrivere 2021'!M95,'Costdrivere 2022'!M95)</f>
        <v>6.6049855029807397E-2</v>
      </c>
      <c r="N95" s="141">
        <f>AVERAGE('Costdrivere 2021'!N95,'Costdrivere 2022'!N95)</f>
        <v>945.21</v>
      </c>
      <c r="O95" s="119">
        <f>AVERAGE('Costdrivere 2021'!O95,'Costdrivere 2022'!O95)</f>
        <v>1734.73</v>
      </c>
      <c r="P95" s="119">
        <f>AVERAGE('Costdrivere 2021'!P95,'Costdrivere 2022'!P95)</f>
        <v>180.58500000000001</v>
      </c>
      <c r="Q95" s="119">
        <f>AVERAGE('Costdrivere 2021'!Q95,'Costdrivere 2022'!Q95)</f>
        <v>98.43</v>
      </c>
      <c r="R95" s="159">
        <f>AVERAGE('Costdrivere 2021'!R95,'Costdrivere 2022'!R95)</f>
        <v>11.22</v>
      </c>
      <c r="S95" s="141">
        <f>AVERAGE('Costdrivere 2021'!S95,'Costdrivere 2022'!S95)</f>
        <v>2344.5</v>
      </c>
      <c r="T95" s="119">
        <f>AVERAGE('Costdrivere 2021'!T95,'Costdrivere 2022'!T95)</f>
        <v>70</v>
      </c>
      <c r="U95" s="119">
        <f>AVERAGE('Costdrivere 2021'!U95,'Costdrivere 2022'!U95)</f>
        <v>221.5</v>
      </c>
      <c r="V95" s="119">
        <f>AVERAGE('Costdrivere 2021'!V95,'Costdrivere 2022'!V95)</f>
        <v>12591.5</v>
      </c>
      <c r="W95" s="159">
        <f>AVERAGE('Costdrivere 2021'!W95,'Costdrivere 2022'!W95)</f>
        <v>2526.5</v>
      </c>
      <c r="X95" s="58">
        <f>AVERAGE('Costdrivere 2021'!X95,'Costdrivere 2022'!X95)</f>
        <v>308930</v>
      </c>
      <c r="Y95" s="159">
        <f>AVERAGE('Costdrivere 2021'!Y95,'Costdrivere 2022'!Y95)</f>
        <v>638118</v>
      </c>
      <c r="Z95" s="58">
        <f>AVERAGE('Costdrivere 2021'!Z95,'Costdrivere 2022'!Z95)</f>
        <v>41192</v>
      </c>
      <c r="AA95" s="88">
        <f>AVERAGE('Costdrivere 2021'!AA95,'Costdrivere 2022'!AA95)</f>
        <v>35936839.682905175</v>
      </c>
      <c r="AB95" s="88">
        <f>AVERAGE('Costdrivere 2021'!AB95,'Costdrivere 2022'!AB95)</f>
        <v>119</v>
      </c>
      <c r="AC95" s="58">
        <f>AVERAGE('Costdrivere 2021'!AC95,'Costdrivere 2022'!AC95)</f>
        <v>520.5</v>
      </c>
      <c r="AD95" s="290">
        <f>AVERAGE('Costdrivere 2021'!AD95,'Costdrivere 2022'!AD95)</f>
        <v>9604.5</v>
      </c>
      <c r="AE95" s="145">
        <f>AVERAGE('Costdrivere 2021'!AE95,'Costdrivere 2022'!AE95)</f>
        <v>0</v>
      </c>
      <c r="AF95" s="58">
        <f>AVERAGE('Costdrivere 2021'!AF95,'Costdrivere 2022'!AF95)</f>
        <v>520.5</v>
      </c>
      <c r="AG95" s="290">
        <f>AVERAGE('Costdrivere 2021'!AG95,'Costdrivere 2022'!AG95)</f>
        <v>4485.5</v>
      </c>
      <c r="AH95" s="145">
        <f>AVERAGE('Costdrivere 2021'!AH95,'Costdrivere 2022'!AH95)</f>
        <v>0</v>
      </c>
      <c r="AI95" s="88">
        <f>AVERAGE('Costdrivere 2021'!AI95,'Costdrivere 2022'!AI95)</f>
        <v>80831.5</v>
      </c>
      <c r="AJ95" s="88">
        <f>AVERAGE('Costdrivere 2021'!AJ95,'Costdrivere 2022'!AJ95)</f>
        <v>11119458</v>
      </c>
      <c r="AK95" s="99" t="str">
        <f>'Costdrivere 2022'!AK95</f>
        <v>t+r</v>
      </c>
      <c r="AL95" s="150">
        <f>AVERAGE('Costdrivere 2021'!AL95,'Costdrivere 2022'!AL95)</f>
        <v>152710.5</v>
      </c>
      <c r="AM95" s="48"/>
      <c r="AN95" s="121">
        <f>AVERAGE('Costdrivere 2021'!AN95,'Costdrivere 2022'!AN95)</f>
        <v>52847899.941648692</v>
      </c>
      <c r="AO95" s="166">
        <f>AVERAGE('Costdrivere 2021'!AO95,'Costdrivere 2022'!AO95)</f>
        <v>271177049.29999995</v>
      </c>
      <c r="AP95" s="118">
        <f>AVERAGE('Costdrivere 2021'!AP95,'Costdrivere 2022'!AP95)</f>
        <v>10949440</v>
      </c>
      <c r="AQ95" s="203"/>
    </row>
    <row r="96" spans="1:43" x14ac:dyDescent="0.25">
      <c r="A96" s="202" t="s">
        <v>203</v>
      </c>
      <c r="B96" s="202" t="s">
        <v>204</v>
      </c>
      <c r="C96" s="141">
        <f>AVERAGE('Costdrivere 2021'!C96,'Costdrivere 2022'!C96)</f>
        <v>0</v>
      </c>
      <c r="D96" s="119">
        <f>AVERAGE('Costdrivere 2021'!D96,'Costdrivere 2022'!D96)</f>
        <v>0</v>
      </c>
      <c r="E96" s="119">
        <f>AVERAGE('Costdrivere 2021'!E96,'Costdrivere 2022'!E96)</f>
        <v>0</v>
      </c>
      <c r="F96" s="119">
        <f>AVERAGE('Costdrivere 2021'!F96,'Costdrivere 2022'!F96)</f>
        <v>0</v>
      </c>
      <c r="G96" s="119">
        <f>AVERAGE('Costdrivere 2021'!G96,'Costdrivere 2022'!G96)</f>
        <v>9194411.4189866446</v>
      </c>
      <c r="H96" s="119">
        <f>AVERAGE('Costdrivere 2021'!H96,'Costdrivere 2022'!H96)</f>
        <v>0</v>
      </c>
      <c r="I96" s="119">
        <f>AVERAGE('Costdrivere 2021'!I96,'Costdrivere 2022'!I96)</f>
        <v>1126171.7705500002</v>
      </c>
      <c r="J96" s="119">
        <f>AVERAGE('Costdrivere 2021'!J96,'Costdrivere 2022'!J96)</f>
        <v>1426055.3645000001</v>
      </c>
      <c r="K96" s="119">
        <f>AVERAGE('Costdrivere 2021'!K96,'Costdrivere 2022'!K96)</f>
        <v>1202118.9568710667</v>
      </c>
      <c r="L96" s="159">
        <f>AVERAGE('Costdrivere 2021'!L96,'Costdrivere 2022'!L96)</f>
        <v>1935568.4447618907</v>
      </c>
      <c r="M96" s="292">
        <f>AVERAGE('Costdrivere 2021'!M96,'Costdrivere 2022'!M96)</f>
        <v>0</v>
      </c>
      <c r="N96" s="141">
        <f>AVERAGE('Costdrivere 2021'!N96,'Costdrivere 2022'!N96)</f>
        <v>0</v>
      </c>
      <c r="O96" s="119">
        <f>AVERAGE('Costdrivere 2021'!O96,'Costdrivere 2022'!O96)</f>
        <v>0</v>
      </c>
      <c r="P96" s="119">
        <f>AVERAGE('Costdrivere 2021'!P96,'Costdrivere 2022'!P96)</f>
        <v>0</v>
      </c>
      <c r="Q96" s="119">
        <f>AVERAGE('Costdrivere 2021'!Q96,'Costdrivere 2022'!Q96)</f>
        <v>0</v>
      </c>
      <c r="R96" s="159">
        <f>AVERAGE('Costdrivere 2021'!R96,'Costdrivere 2022'!R96)</f>
        <v>0</v>
      </c>
      <c r="S96" s="141">
        <f>AVERAGE('Costdrivere 2021'!S96,'Costdrivere 2022'!S96)</f>
        <v>0</v>
      </c>
      <c r="T96" s="119">
        <f>AVERAGE('Costdrivere 2021'!T96,'Costdrivere 2022'!T96)</f>
        <v>0</v>
      </c>
      <c r="U96" s="119">
        <f>AVERAGE('Costdrivere 2021'!U96,'Costdrivere 2022'!U96)</f>
        <v>0</v>
      </c>
      <c r="V96" s="119">
        <f>AVERAGE('Costdrivere 2021'!V96,'Costdrivere 2022'!V96)</f>
        <v>0</v>
      </c>
      <c r="W96" s="159">
        <f>AVERAGE('Costdrivere 2021'!W96,'Costdrivere 2022'!W96)</f>
        <v>0</v>
      </c>
      <c r="X96" s="58">
        <f>AVERAGE('Costdrivere 2021'!X96,'Costdrivere 2022'!X96)</f>
        <v>0</v>
      </c>
      <c r="Y96" s="159">
        <f>AVERAGE('Costdrivere 2021'!Y96,'Costdrivere 2022'!Y96)</f>
        <v>0</v>
      </c>
      <c r="Z96" s="58">
        <f>AVERAGE('Costdrivere 2021'!Z96,'Costdrivere 2022'!Z96)</f>
        <v>0</v>
      </c>
      <c r="AA96" s="88">
        <f>AVERAGE('Costdrivere 2021'!AA96,'Costdrivere 2022'!AA96)</f>
        <v>9194411.4189866446</v>
      </c>
      <c r="AB96" s="88">
        <f>AVERAGE('Costdrivere 2021'!AB96,'Costdrivere 2022'!AB96)</f>
        <v>0</v>
      </c>
      <c r="AC96" s="58">
        <f>AVERAGE('Costdrivere 2021'!AC96,'Costdrivere 2022'!AC96)</f>
        <v>1129</v>
      </c>
      <c r="AD96" s="290">
        <f>AVERAGE('Costdrivere 2021'!AD96,'Costdrivere 2022'!AD96)</f>
        <v>0</v>
      </c>
      <c r="AE96" s="145">
        <f>AVERAGE('Costdrivere 2021'!AE96,'Costdrivere 2022'!AE96)</f>
        <v>44.5</v>
      </c>
      <c r="AF96" s="58">
        <f>AVERAGE('Costdrivere 2021'!AF96,'Costdrivere 2022'!AF96)</f>
        <v>607</v>
      </c>
      <c r="AG96" s="290">
        <f>AVERAGE('Costdrivere 2021'!AG96,'Costdrivere 2022'!AG96)</f>
        <v>118</v>
      </c>
      <c r="AH96" s="145">
        <f>AVERAGE('Costdrivere 2021'!AH96,'Costdrivere 2022'!AH96)</f>
        <v>70</v>
      </c>
      <c r="AI96" s="88">
        <f>AVERAGE('Costdrivere 2021'!AI96,'Costdrivere 2022'!AI96)</f>
        <v>9186.5</v>
      </c>
      <c r="AJ96" s="88">
        <f>AVERAGE('Costdrivere 2021'!AJ96,'Costdrivere 2022'!AJ96)</f>
        <v>2062957.9550000001</v>
      </c>
      <c r="AK96" s="99" t="str">
        <f>'Costdrivere 2022'!AK96</f>
        <v>r</v>
      </c>
      <c r="AL96" s="150">
        <f>AVERAGE('Costdrivere 2021'!AL96,'Costdrivere 2022'!AL96)</f>
        <v>17898.5</v>
      </c>
      <c r="AM96" s="48"/>
      <c r="AN96" s="121">
        <f>AVERAGE('Costdrivere 2021'!AN96,'Costdrivere 2022'!AN96)</f>
        <v>8711267.6351569202</v>
      </c>
      <c r="AO96" s="166">
        <f>AVERAGE('Costdrivere 2021'!AO96,'Costdrivere 2022'!AO96)</f>
        <v>0</v>
      </c>
      <c r="AP96" s="118">
        <f>AVERAGE('Costdrivere 2021'!AP96,'Costdrivere 2022'!AP96)</f>
        <v>3543013.4999179747</v>
      </c>
      <c r="AQ96" s="203"/>
    </row>
    <row r="97" spans="1:43" x14ac:dyDescent="0.25">
      <c r="A97" s="202" t="s">
        <v>205</v>
      </c>
      <c r="B97" s="202" t="s">
        <v>206</v>
      </c>
      <c r="C97" s="141">
        <f>AVERAGE('Costdrivere 2021'!C97,'Costdrivere 2022'!C97)</f>
        <v>3366115.4233379997</v>
      </c>
      <c r="D97" s="119">
        <f>AVERAGE('Costdrivere 2021'!D97,'Costdrivere 2022'!D97)</f>
        <v>3170306.9765500007</v>
      </c>
      <c r="E97" s="119">
        <f>AVERAGE('Costdrivere 2021'!E97,'Costdrivere 2022'!E97)</f>
        <v>381153.44150000002</v>
      </c>
      <c r="F97" s="119">
        <f>AVERAGE('Costdrivere 2021'!F97,'Costdrivere 2022'!F97)</f>
        <v>228490.80900000001</v>
      </c>
      <c r="G97" s="119">
        <f>AVERAGE('Costdrivere 2021'!G97,'Costdrivere 2022'!G97)</f>
        <v>0</v>
      </c>
      <c r="H97" s="119">
        <f>AVERAGE('Costdrivere 2021'!H97,'Costdrivere 2022'!H97)</f>
        <v>0</v>
      </c>
      <c r="I97" s="119">
        <f>AVERAGE('Costdrivere 2021'!I97,'Costdrivere 2022'!I97)</f>
        <v>0</v>
      </c>
      <c r="J97" s="119">
        <f>AVERAGE('Costdrivere 2021'!J97,'Costdrivere 2022'!J97)</f>
        <v>0</v>
      </c>
      <c r="K97" s="119">
        <f>AVERAGE('Costdrivere 2021'!K97,'Costdrivere 2022'!K97)</f>
        <v>1202118.9568710667</v>
      </c>
      <c r="L97" s="159">
        <f>AVERAGE('Costdrivere 2021'!L97,'Costdrivere 2022'!L97)</f>
        <v>2522229.4840799253</v>
      </c>
      <c r="M97" s="292">
        <f>AVERAGE('Costdrivere 2021'!M97,'Costdrivere 2022'!M97)</f>
        <v>2.667379668407148E-2</v>
      </c>
      <c r="N97" s="141">
        <f>AVERAGE('Costdrivere 2021'!N97,'Costdrivere 2022'!N97)</f>
        <v>318.5</v>
      </c>
      <c r="O97" s="119">
        <f>AVERAGE('Costdrivere 2021'!O97,'Costdrivere 2022'!O97)</f>
        <v>636.5</v>
      </c>
      <c r="P97" s="119">
        <f>AVERAGE('Costdrivere 2021'!P97,'Costdrivere 2022'!P97)</f>
        <v>0</v>
      </c>
      <c r="Q97" s="119">
        <f>AVERAGE('Costdrivere 2021'!Q97,'Costdrivere 2022'!Q97)</f>
        <v>0</v>
      </c>
      <c r="R97" s="159">
        <f>AVERAGE('Costdrivere 2021'!R97,'Costdrivere 2022'!R97)</f>
        <v>1.04</v>
      </c>
      <c r="S97" s="141">
        <f>AVERAGE('Costdrivere 2021'!S97,'Costdrivere 2022'!S97)</f>
        <v>186</v>
      </c>
      <c r="T97" s="119">
        <f>AVERAGE('Costdrivere 2021'!T97,'Costdrivere 2022'!T97)</f>
        <v>6.5</v>
      </c>
      <c r="U97" s="119">
        <f>AVERAGE('Costdrivere 2021'!U97,'Costdrivere 2022'!U97)</f>
        <v>78</v>
      </c>
      <c r="V97" s="119">
        <f>AVERAGE('Costdrivere 2021'!V97,'Costdrivere 2022'!V97)</f>
        <v>2384</v>
      </c>
      <c r="W97" s="159">
        <f>AVERAGE('Costdrivere 2021'!W97,'Costdrivere 2022'!W97)</f>
        <v>0</v>
      </c>
      <c r="X97" s="58">
        <f>AVERAGE('Costdrivere 2021'!X97,'Costdrivere 2022'!X97)</f>
        <v>61468</v>
      </c>
      <c r="Y97" s="159">
        <f>AVERAGE('Costdrivere 2021'!Y97,'Costdrivere 2022'!Y97)</f>
        <v>114085</v>
      </c>
      <c r="Z97" s="58">
        <f>AVERAGE('Costdrivere 2021'!Z97,'Costdrivere 2022'!Z97)</f>
        <v>37329</v>
      </c>
      <c r="AA97" s="88">
        <f>AVERAGE('Costdrivere 2021'!AA97,'Costdrivere 2022'!AA97)</f>
        <v>0</v>
      </c>
      <c r="AB97" s="88">
        <f>AVERAGE('Costdrivere 2021'!AB97,'Costdrivere 2022'!AB97)</f>
        <v>0</v>
      </c>
      <c r="AC97" s="58">
        <f>AVERAGE('Costdrivere 2021'!AC97,'Costdrivere 2022'!AC97)</f>
        <v>0</v>
      </c>
      <c r="AD97" s="290">
        <f>AVERAGE('Costdrivere 2021'!AD97,'Costdrivere 2022'!AD97)</f>
        <v>0</v>
      </c>
      <c r="AE97" s="145">
        <f>AVERAGE('Costdrivere 2021'!AE97,'Costdrivere 2022'!AE97)</f>
        <v>0</v>
      </c>
      <c r="AF97" s="58">
        <f>AVERAGE('Costdrivere 2021'!AF97,'Costdrivere 2022'!AF97)</f>
        <v>0</v>
      </c>
      <c r="AG97" s="290">
        <f>AVERAGE('Costdrivere 2021'!AG97,'Costdrivere 2022'!AG97)</f>
        <v>0</v>
      </c>
      <c r="AH97" s="145">
        <f>AVERAGE('Costdrivere 2021'!AH97,'Costdrivere 2022'!AH97)</f>
        <v>0</v>
      </c>
      <c r="AI97" s="88">
        <f>AVERAGE('Costdrivere 2021'!AI97,'Costdrivere 2022'!AI97)</f>
        <v>9186.5</v>
      </c>
      <c r="AJ97" s="88">
        <f>AVERAGE('Costdrivere 2021'!AJ97,'Costdrivere 2022'!AJ97)</f>
        <v>1839860.5</v>
      </c>
      <c r="AK97" s="99" t="str">
        <f>'Costdrivere 2022'!AK97</f>
        <v>t</v>
      </c>
      <c r="AL97" s="150">
        <f>AVERAGE('Costdrivere 2021'!AL97,'Costdrivere 2022'!AL97)</f>
        <v>17898.5</v>
      </c>
      <c r="AM97" s="48"/>
      <c r="AN97" s="121">
        <f>AVERAGE('Costdrivere 2021'!AN97,'Costdrivere 2022'!AN97)</f>
        <v>0</v>
      </c>
      <c r="AO97" s="166">
        <f>AVERAGE('Costdrivere 2021'!AO97,'Costdrivere 2022'!AO97)</f>
        <v>82996857.427380681</v>
      </c>
      <c r="AP97" s="118">
        <f>AVERAGE('Costdrivere 2021'!AP97,'Costdrivere 2022'!AP97)</f>
        <v>2625206.6666666665</v>
      </c>
      <c r="AQ97" s="203"/>
    </row>
    <row r="98" spans="1:43" x14ac:dyDescent="0.25">
      <c r="A98" s="202" t="s">
        <v>207</v>
      </c>
      <c r="B98" s="202" t="s">
        <v>208</v>
      </c>
      <c r="C98" s="141">
        <f>AVERAGE('Costdrivere 2021'!C98,'Costdrivere 2022'!C98)</f>
        <v>10065960.981533</v>
      </c>
      <c r="D98" s="119">
        <f>AVERAGE('Costdrivere 2021'!D98,'Costdrivere 2022'!D98)</f>
        <v>10247804.64635</v>
      </c>
      <c r="E98" s="119">
        <f>AVERAGE('Costdrivere 2021'!E98,'Costdrivere 2022'!E98)</f>
        <v>1910400.4169999999</v>
      </c>
      <c r="F98" s="119">
        <f>AVERAGE('Costdrivere 2021'!F98,'Costdrivere 2022'!F98)</f>
        <v>240647.11500000002</v>
      </c>
      <c r="G98" s="119">
        <f>AVERAGE('Costdrivere 2021'!G98,'Costdrivere 2022'!G98)</f>
        <v>21906049.611658715</v>
      </c>
      <c r="H98" s="119">
        <f>AVERAGE('Costdrivere 2021'!H98,'Costdrivere 2022'!H98)</f>
        <v>297773.52799999999</v>
      </c>
      <c r="I98" s="119">
        <f>AVERAGE('Costdrivere 2021'!I98,'Costdrivere 2022'!I98)</f>
        <v>2144720.1653749999</v>
      </c>
      <c r="J98" s="119">
        <f>AVERAGE('Costdrivere 2021'!J98,'Costdrivere 2022'!J98)</f>
        <v>3040149.4691000003</v>
      </c>
      <c r="K98" s="119">
        <f>AVERAGE('Costdrivere 2021'!K98,'Costdrivere 2022'!K98)</f>
        <v>2056414.9885338391</v>
      </c>
      <c r="L98" s="159">
        <f>AVERAGE('Costdrivere 2021'!L98,'Costdrivere 2022'!L98)</f>
        <v>9839282.7672589459</v>
      </c>
      <c r="M98" s="292">
        <f>AVERAGE('Costdrivere 2021'!M98,'Costdrivere 2022'!M98)</f>
        <v>3.5579947742170506E-2</v>
      </c>
      <c r="N98" s="141">
        <f>AVERAGE('Costdrivere 2021'!N98,'Costdrivere 2022'!N98)</f>
        <v>648.48</v>
      </c>
      <c r="O98" s="119">
        <f>AVERAGE('Costdrivere 2021'!O98,'Costdrivere 2022'!O98)</f>
        <v>1571.7750000000001</v>
      </c>
      <c r="P98" s="119">
        <f>AVERAGE('Costdrivere 2021'!P98,'Costdrivere 2022'!P98)</f>
        <v>98.974999999999994</v>
      </c>
      <c r="Q98" s="119">
        <f>AVERAGE('Costdrivere 2021'!Q98,'Costdrivere 2022'!Q98)</f>
        <v>0</v>
      </c>
      <c r="R98" s="159">
        <f>AVERAGE('Costdrivere 2021'!R98,'Costdrivere 2022'!R98)</f>
        <v>4.4499999999999993</v>
      </c>
      <c r="S98" s="141">
        <f>AVERAGE('Costdrivere 2021'!S98,'Costdrivere 2022'!S98)</f>
        <v>596</v>
      </c>
      <c r="T98" s="119">
        <f>AVERAGE('Costdrivere 2021'!T98,'Costdrivere 2022'!T98)</f>
        <v>262</v>
      </c>
      <c r="U98" s="119">
        <f>AVERAGE('Costdrivere 2021'!U98,'Costdrivere 2022'!U98)</f>
        <v>157</v>
      </c>
      <c r="V98" s="119">
        <f>AVERAGE('Costdrivere 2021'!V98,'Costdrivere 2022'!V98)</f>
        <v>625</v>
      </c>
      <c r="W98" s="159">
        <f>AVERAGE('Costdrivere 2021'!W98,'Costdrivere 2022'!W98)</f>
        <v>8337.5</v>
      </c>
      <c r="X98" s="58">
        <f>AVERAGE('Costdrivere 2021'!X98,'Costdrivere 2022'!X98)</f>
        <v>321730</v>
      </c>
      <c r="Y98" s="159">
        <f>AVERAGE('Costdrivere 2021'!Y98,'Costdrivere 2022'!Y98)</f>
        <v>563810</v>
      </c>
      <c r="Z98" s="58">
        <f>AVERAGE('Costdrivere 2021'!Z98,'Costdrivere 2022'!Z98)</f>
        <v>39315</v>
      </c>
      <c r="AA98" s="88">
        <f>AVERAGE('Costdrivere 2021'!AA98,'Costdrivere 2022'!AA98)</f>
        <v>21906049.611658715</v>
      </c>
      <c r="AB98" s="88">
        <f>AVERAGE('Costdrivere 2021'!AB98,'Costdrivere 2022'!AB98)</f>
        <v>104</v>
      </c>
      <c r="AC98" s="58">
        <f>AVERAGE('Costdrivere 2021'!AC98,'Costdrivere 2022'!AC98)</f>
        <v>724</v>
      </c>
      <c r="AD98" s="290">
        <f>AVERAGE('Costdrivere 2021'!AD98,'Costdrivere 2022'!AD98)</f>
        <v>1500.5</v>
      </c>
      <c r="AE98" s="145">
        <f>AVERAGE('Costdrivere 2021'!AE98,'Costdrivere 2022'!AE98)</f>
        <v>32.25</v>
      </c>
      <c r="AF98" s="58">
        <f>AVERAGE('Costdrivere 2021'!AF98,'Costdrivere 2022'!AF98)</f>
        <v>2711</v>
      </c>
      <c r="AG98" s="290">
        <f>AVERAGE('Costdrivere 2021'!AG98,'Costdrivere 2022'!AG98)</f>
        <v>0</v>
      </c>
      <c r="AH98" s="145">
        <f>AVERAGE('Costdrivere 2021'!AH98,'Costdrivere 2022'!AH98)</f>
        <v>0</v>
      </c>
      <c r="AI98" s="88">
        <f>AVERAGE('Costdrivere 2021'!AI98,'Costdrivere 2022'!AI98)</f>
        <v>35862</v>
      </c>
      <c r="AJ98" s="88">
        <f>AVERAGE('Costdrivere 2021'!AJ98,'Costdrivere 2022'!AJ98)</f>
        <v>5359509</v>
      </c>
      <c r="AK98" s="99" t="str">
        <f>'Costdrivere 2022'!AK98</f>
        <v>t+r</v>
      </c>
      <c r="AL98" s="150">
        <f>AVERAGE('Costdrivere 2021'!AL98,'Costdrivere 2022'!AL98)</f>
        <v>56800.5</v>
      </c>
      <c r="AM98" s="48"/>
      <c r="AN98" s="121">
        <f>AVERAGE('Costdrivere 2021'!AN98,'Costdrivere 2022'!AN98)</f>
        <v>20532507.616086349</v>
      </c>
      <c r="AO98" s="166">
        <f>AVERAGE('Costdrivere 2021'!AO98,'Costdrivere 2022'!AO98)</f>
        <v>217404772.49500006</v>
      </c>
      <c r="AP98" s="118">
        <f>AVERAGE('Costdrivere 2021'!AP98,'Costdrivere 2022'!AP98)</f>
        <v>3422880.8747551218</v>
      </c>
      <c r="AQ98" s="203"/>
    </row>
    <row r="99" spans="1:43" x14ac:dyDescent="0.25">
      <c r="A99" s="202" t="s">
        <v>209</v>
      </c>
      <c r="B99" s="202" t="s">
        <v>210</v>
      </c>
      <c r="C99" s="141">
        <f>AVERAGE('Costdrivere 2021'!C99,'Costdrivere 2022'!C99)</f>
        <v>7746012.9161125012</v>
      </c>
      <c r="D99" s="119">
        <f>AVERAGE('Costdrivere 2021'!D99,'Costdrivere 2022'!D99)</f>
        <v>10494501.796300001</v>
      </c>
      <c r="E99" s="119">
        <f>AVERAGE('Costdrivere 2021'!E99,'Costdrivere 2022'!E99)</f>
        <v>1058503.6282000002</v>
      </c>
      <c r="F99" s="119">
        <f>AVERAGE('Costdrivere 2021'!F99,'Costdrivere 2022'!F99)</f>
        <v>74177.338500000013</v>
      </c>
      <c r="G99" s="119">
        <f>AVERAGE('Costdrivere 2021'!G99,'Costdrivere 2022'!G99)</f>
        <v>15862578.34628181</v>
      </c>
      <c r="H99" s="119">
        <f>AVERAGE('Costdrivere 2021'!H99,'Costdrivere 2022'!H99)</f>
        <v>0</v>
      </c>
      <c r="I99" s="119">
        <f>AVERAGE('Costdrivere 2021'!I99,'Costdrivere 2022'!I99)</f>
        <v>2334436.4962999998</v>
      </c>
      <c r="J99" s="119">
        <f>AVERAGE('Costdrivere 2021'!J99,'Costdrivere 2022'!J99)</f>
        <v>2174727.4391000001</v>
      </c>
      <c r="K99" s="119">
        <f>AVERAGE('Costdrivere 2021'!K99,'Costdrivere 2022'!K99)</f>
        <v>1685578.1482494187</v>
      </c>
      <c r="L99" s="159">
        <f>AVERAGE('Costdrivere 2021'!L99,'Costdrivere 2022'!L99)</f>
        <v>6671578.5799450222</v>
      </c>
      <c r="M99" s="292">
        <f>AVERAGE('Costdrivere 2021'!M99,'Costdrivere 2022'!M99)</f>
        <v>2.430367327204204E-2</v>
      </c>
      <c r="N99" s="141">
        <f>AVERAGE('Costdrivere 2021'!N99,'Costdrivere 2022'!N99)</f>
        <v>389.5</v>
      </c>
      <c r="O99" s="119">
        <f>AVERAGE('Costdrivere 2021'!O99,'Costdrivere 2022'!O99)</f>
        <v>881.47</v>
      </c>
      <c r="P99" s="119">
        <f>AVERAGE('Costdrivere 2021'!P99,'Costdrivere 2022'!P99)</f>
        <v>69.634999999999991</v>
      </c>
      <c r="Q99" s="119">
        <f>AVERAGE('Costdrivere 2021'!Q99,'Costdrivere 2022'!Q99)</f>
        <v>0</v>
      </c>
      <c r="R99" s="159">
        <f>AVERAGE('Costdrivere 2021'!R99,'Costdrivere 2022'!R99)</f>
        <v>9</v>
      </c>
      <c r="S99" s="141">
        <f>AVERAGE('Costdrivere 2021'!S99,'Costdrivere 2022'!S99)</f>
        <v>140</v>
      </c>
      <c r="T99" s="119">
        <f>AVERAGE('Costdrivere 2021'!T99,'Costdrivere 2022'!T99)</f>
        <v>80.5</v>
      </c>
      <c r="U99" s="119">
        <f>AVERAGE('Costdrivere 2021'!U99,'Costdrivere 2022'!U99)</f>
        <v>290</v>
      </c>
      <c r="V99" s="119">
        <f>AVERAGE('Costdrivere 2021'!V99,'Costdrivere 2022'!V99)</f>
        <v>4965.5</v>
      </c>
      <c r="W99" s="159">
        <f>AVERAGE('Costdrivere 2021'!W99,'Costdrivere 2022'!W99)</f>
        <v>4142</v>
      </c>
      <c r="X99" s="58">
        <f>AVERAGE('Costdrivere 2021'!X99,'Costdrivere 2022'!X99)</f>
        <v>130747.5</v>
      </c>
      <c r="Y99" s="159">
        <f>AVERAGE('Costdrivere 2021'!Y99,'Costdrivere 2022'!Y99)</f>
        <v>340261</v>
      </c>
      <c r="Z99" s="58">
        <f>AVERAGE('Costdrivere 2021'!Z99,'Costdrivere 2022'!Z99)</f>
        <v>12118.5</v>
      </c>
      <c r="AA99" s="88">
        <f>AVERAGE('Costdrivere 2021'!AA99,'Costdrivere 2022'!AA99)</f>
        <v>15862578.34628181</v>
      </c>
      <c r="AB99" s="88">
        <f>AVERAGE('Costdrivere 2021'!AB99,'Costdrivere 2022'!AB99)</f>
        <v>0</v>
      </c>
      <c r="AC99" s="58">
        <f>AVERAGE('Costdrivere 2021'!AC99,'Costdrivere 2022'!AC99)</f>
        <v>0</v>
      </c>
      <c r="AD99" s="290">
        <f>AVERAGE('Costdrivere 2021'!AD99,'Costdrivere 2022'!AD99)</f>
        <v>2079.5</v>
      </c>
      <c r="AE99" s="145">
        <f>AVERAGE('Costdrivere 2021'!AE99,'Costdrivere 2022'!AE99)</f>
        <v>0</v>
      </c>
      <c r="AF99" s="58">
        <f>AVERAGE('Costdrivere 2021'!AF99,'Costdrivere 2022'!AF99)</f>
        <v>1393</v>
      </c>
      <c r="AG99" s="290">
        <f>AVERAGE('Costdrivere 2021'!AG99,'Costdrivere 2022'!AG99)</f>
        <v>0</v>
      </c>
      <c r="AH99" s="145">
        <f>AVERAGE('Costdrivere 2021'!AH99,'Costdrivere 2022'!AH99)</f>
        <v>230</v>
      </c>
      <c r="AI99" s="88">
        <f>AVERAGE('Costdrivere 2021'!AI99,'Costdrivere 2022'!AI99)</f>
        <v>21655</v>
      </c>
      <c r="AJ99" s="88">
        <f>AVERAGE('Costdrivere 2021'!AJ99,'Costdrivere 2022'!AJ99)</f>
        <v>3612750.91</v>
      </c>
      <c r="AK99" s="99" t="str">
        <f>'Costdrivere 2022'!AK99</f>
        <v>t+r</v>
      </c>
      <c r="AL99" s="150">
        <f>AVERAGE('Costdrivere 2021'!AL99,'Costdrivere 2022'!AL99)</f>
        <v>20854</v>
      </c>
      <c r="AM99" s="48"/>
      <c r="AN99" s="121">
        <f>AVERAGE('Costdrivere 2021'!AN99,'Costdrivere 2022'!AN99)</f>
        <v>17038953.715152528</v>
      </c>
      <c r="AO99" s="166">
        <f>AVERAGE('Costdrivere 2021'!AO99,'Costdrivere 2022'!AO99)</f>
        <v>124462644.43333337</v>
      </c>
      <c r="AP99" s="118">
        <f>AVERAGE('Costdrivere 2021'!AP99,'Costdrivere 2022'!AP99)</f>
        <v>5142146.666666666</v>
      </c>
      <c r="AQ99" s="203"/>
    </row>
    <row r="100" spans="1:43" x14ac:dyDescent="0.25">
      <c r="A100" s="202" t="s">
        <v>211</v>
      </c>
      <c r="B100" s="202" t="s">
        <v>212</v>
      </c>
      <c r="C100" s="141">
        <f>AVERAGE('Costdrivere 2021'!C100,'Costdrivere 2022'!C100)</f>
        <v>4178942.757001</v>
      </c>
      <c r="D100" s="119">
        <f>AVERAGE('Costdrivere 2021'!D100,'Costdrivere 2022'!D100)</f>
        <v>3959020.0792500004</v>
      </c>
      <c r="E100" s="119">
        <f>AVERAGE('Costdrivere 2021'!E100,'Costdrivere 2022'!E100)</f>
        <v>778100.39</v>
      </c>
      <c r="F100" s="119">
        <f>AVERAGE('Costdrivere 2021'!F100,'Costdrivere 2022'!F100)</f>
        <v>88815.71</v>
      </c>
      <c r="G100" s="119">
        <f>AVERAGE('Costdrivere 2021'!G100,'Costdrivere 2022'!G100)</f>
        <v>13857609.955876615</v>
      </c>
      <c r="H100" s="119">
        <f>AVERAGE('Costdrivere 2021'!H100,'Costdrivere 2022'!H100)</f>
        <v>0</v>
      </c>
      <c r="I100" s="119">
        <f>AVERAGE('Costdrivere 2021'!I100,'Costdrivere 2022'!I100)</f>
        <v>1435536.3051499999</v>
      </c>
      <c r="J100" s="119">
        <f>AVERAGE('Costdrivere 2021'!J100,'Costdrivere 2022'!J100)</f>
        <v>1731678.0930999999</v>
      </c>
      <c r="K100" s="119">
        <f>AVERAGE('Costdrivere 2021'!K100,'Costdrivere 2022'!K100)</f>
        <v>1458557.2077440443</v>
      </c>
      <c r="L100" s="159">
        <f>AVERAGE('Costdrivere 2021'!L100,'Costdrivere 2022'!L100)</f>
        <v>3813816.1720874114</v>
      </c>
      <c r="M100" s="292">
        <f>AVERAGE('Costdrivere 2021'!M100,'Costdrivere 2022'!M100)</f>
        <v>3.2757349461973673E-2</v>
      </c>
      <c r="N100" s="141">
        <f>AVERAGE('Costdrivere 2021'!N100,'Costdrivere 2022'!N100)</f>
        <v>360.26499999999999</v>
      </c>
      <c r="O100" s="119">
        <f>AVERAGE('Costdrivere 2021'!O100,'Costdrivere 2022'!O100)</f>
        <v>713.02</v>
      </c>
      <c r="P100" s="119">
        <f>AVERAGE('Costdrivere 2021'!P100,'Costdrivere 2022'!P100)</f>
        <v>0</v>
      </c>
      <c r="Q100" s="119">
        <f>AVERAGE('Costdrivere 2021'!Q100,'Costdrivere 2022'!Q100)</f>
        <v>0</v>
      </c>
      <c r="R100" s="159">
        <f>AVERAGE('Costdrivere 2021'!R100,'Costdrivere 2022'!R100)</f>
        <v>2.5949999999999998</v>
      </c>
      <c r="S100" s="141">
        <f>AVERAGE('Costdrivere 2021'!S100,'Costdrivere 2022'!S100)</f>
        <v>43</v>
      </c>
      <c r="T100" s="119">
        <f>AVERAGE('Costdrivere 2021'!T100,'Costdrivere 2022'!T100)</f>
        <v>23</v>
      </c>
      <c r="U100" s="119">
        <f>AVERAGE('Costdrivere 2021'!U100,'Costdrivere 2022'!U100)</f>
        <v>92</v>
      </c>
      <c r="V100" s="119">
        <f>AVERAGE('Costdrivere 2021'!V100,'Costdrivere 2022'!V100)</f>
        <v>2851.5</v>
      </c>
      <c r="W100" s="159">
        <f>AVERAGE('Costdrivere 2021'!W100,'Costdrivere 2022'!W100)</f>
        <v>2520</v>
      </c>
      <c r="X100" s="58">
        <f>AVERAGE('Costdrivere 2021'!X100,'Costdrivere 2022'!X100)</f>
        <v>313383</v>
      </c>
      <c r="Y100" s="159">
        <f>AVERAGE('Costdrivere 2021'!Y100,'Costdrivere 2022'!Y100)</f>
        <v>122690</v>
      </c>
      <c r="Z100" s="58">
        <f>AVERAGE('Costdrivere 2021'!Z100,'Costdrivere 2022'!Z100)</f>
        <v>14510</v>
      </c>
      <c r="AA100" s="88">
        <f>AVERAGE('Costdrivere 2021'!AA100,'Costdrivere 2022'!AA100)</f>
        <v>13857609.955876615</v>
      </c>
      <c r="AB100" s="88">
        <f>AVERAGE('Costdrivere 2021'!AB100,'Costdrivere 2022'!AB100)</f>
        <v>0</v>
      </c>
      <c r="AC100" s="58">
        <f>AVERAGE('Costdrivere 2021'!AC100,'Costdrivere 2022'!AC100)</f>
        <v>1134.5</v>
      </c>
      <c r="AD100" s="290">
        <f>AVERAGE('Costdrivere 2021'!AD100,'Costdrivere 2022'!AD100)</f>
        <v>497.5</v>
      </c>
      <c r="AE100" s="145">
        <f>AVERAGE('Costdrivere 2021'!AE100,'Costdrivere 2022'!AE100)</f>
        <v>0</v>
      </c>
      <c r="AF100" s="58">
        <f>AVERAGE('Costdrivere 2021'!AF100,'Costdrivere 2022'!AF100)</f>
        <v>1399</v>
      </c>
      <c r="AG100" s="290">
        <f>AVERAGE('Costdrivere 2021'!AG100,'Costdrivere 2022'!AG100)</f>
        <v>0</v>
      </c>
      <c r="AH100" s="145">
        <f>AVERAGE('Costdrivere 2021'!AH100,'Costdrivere 2022'!AH100)</f>
        <v>0</v>
      </c>
      <c r="AI100" s="88">
        <f>AVERAGE('Costdrivere 2021'!AI100,'Costdrivere 2022'!AI100)</f>
        <v>15003</v>
      </c>
      <c r="AJ100" s="88">
        <f>AVERAGE('Costdrivere 2021'!AJ100,'Costdrivere 2022'!AJ100)</f>
        <v>2047841.5</v>
      </c>
      <c r="AK100" s="99" t="str">
        <f>'Costdrivere 2022'!AK100</f>
        <v>t+r</v>
      </c>
      <c r="AL100" s="150">
        <f>AVERAGE('Costdrivere 2021'!AL100,'Costdrivere 2022'!AL100)</f>
        <v>21306</v>
      </c>
      <c r="AM100" s="48"/>
      <c r="AN100" s="121">
        <f>AVERAGE('Costdrivere 2021'!AN100,'Costdrivere 2022'!AN100)</f>
        <v>19440683.42760792</v>
      </c>
      <c r="AO100" s="166">
        <f>AVERAGE('Costdrivere 2021'!AO100,'Costdrivere 2022'!AO100)</f>
        <v>81159974.339166656</v>
      </c>
      <c r="AP100" s="118">
        <f>AVERAGE('Costdrivere 2021'!AP100,'Costdrivere 2022'!AP100)</f>
        <v>1813553.3333333333</v>
      </c>
      <c r="AQ100" s="203"/>
    </row>
    <row r="101" spans="1:43" x14ac:dyDescent="0.25">
      <c r="A101" s="202" t="s">
        <v>213</v>
      </c>
      <c r="B101" s="202" t="s">
        <v>214</v>
      </c>
      <c r="C101" s="141">
        <f>AVERAGE('Costdrivere 2021'!C101,'Costdrivere 2022'!C101)</f>
        <v>2983353.5474757003</v>
      </c>
      <c r="D101" s="119">
        <f>AVERAGE('Costdrivere 2021'!D101,'Costdrivere 2022'!D101)</f>
        <v>9787170.8196500018</v>
      </c>
      <c r="E101" s="119">
        <f>AVERAGE('Costdrivere 2021'!E101,'Costdrivere 2022'!E101)</f>
        <v>464728.08290000004</v>
      </c>
      <c r="F101" s="119">
        <f>AVERAGE('Costdrivere 2021'!F101,'Costdrivere 2022'!F101)</f>
        <v>1255888.4170000001</v>
      </c>
      <c r="G101" s="119">
        <f>AVERAGE('Costdrivere 2021'!G101,'Costdrivere 2022'!G101)</f>
        <v>10086533.222892802</v>
      </c>
      <c r="H101" s="119">
        <f>AVERAGE('Costdrivere 2021'!H101,'Costdrivere 2022'!H101)</f>
        <v>45811.311999999998</v>
      </c>
      <c r="I101" s="119">
        <f>AVERAGE('Costdrivere 2021'!I101,'Costdrivere 2022'!I101)</f>
        <v>3271940.6200999999</v>
      </c>
      <c r="J101" s="119">
        <f>AVERAGE('Costdrivere 2021'!J101,'Costdrivere 2022'!J101)</f>
        <v>4228444.92985</v>
      </c>
      <c r="K101" s="119">
        <f>AVERAGE('Costdrivere 2021'!K101,'Costdrivere 2022'!K101)</f>
        <v>1639066.4709880147</v>
      </c>
      <c r="L101" s="159">
        <f>AVERAGE('Costdrivere 2021'!L101,'Costdrivere 2022'!L101)</f>
        <v>3566342.0776774497</v>
      </c>
      <c r="M101" s="292">
        <f>AVERAGE('Costdrivere 2021'!M101,'Costdrivere 2022'!M101)</f>
        <v>3.6431557526221979E-2</v>
      </c>
      <c r="N101" s="141">
        <f>AVERAGE('Costdrivere 2021'!N101,'Costdrivere 2022'!N101)</f>
        <v>423.05</v>
      </c>
      <c r="O101" s="119">
        <f>AVERAGE('Costdrivere 2021'!O101,'Costdrivere 2022'!O101)</f>
        <v>440.84500000000003</v>
      </c>
      <c r="P101" s="119">
        <f>AVERAGE('Costdrivere 2021'!P101,'Costdrivere 2022'!P101)</f>
        <v>0</v>
      </c>
      <c r="Q101" s="119">
        <f>AVERAGE('Costdrivere 2021'!Q101,'Costdrivere 2022'!Q101)</f>
        <v>0</v>
      </c>
      <c r="R101" s="159">
        <f>AVERAGE('Costdrivere 2021'!R101,'Costdrivere 2022'!R101)</f>
        <v>1.3660000000000001</v>
      </c>
      <c r="S101" s="141">
        <f>AVERAGE('Costdrivere 2021'!S101,'Costdrivere 2022'!S101)</f>
        <v>40</v>
      </c>
      <c r="T101" s="119">
        <f>AVERAGE('Costdrivere 2021'!T101,'Costdrivere 2022'!T101)</f>
        <v>434.5</v>
      </c>
      <c r="U101" s="119">
        <f>AVERAGE('Costdrivere 2021'!U101,'Costdrivere 2022'!U101)</f>
        <v>199</v>
      </c>
      <c r="V101" s="119">
        <f>AVERAGE('Costdrivere 2021'!V101,'Costdrivere 2022'!V101)</f>
        <v>700</v>
      </c>
      <c r="W101" s="159">
        <f>AVERAGE('Costdrivere 2021'!W101,'Costdrivere 2022'!W101)</f>
        <v>0</v>
      </c>
      <c r="X101" s="58">
        <f>AVERAGE('Costdrivere 2021'!X101,'Costdrivere 2022'!X101)</f>
        <v>37101</v>
      </c>
      <c r="Y101" s="159">
        <f>AVERAGE('Costdrivere 2021'!Y101,'Costdrivere 2022'!Y101)</f>
        <v>161297</v>
      </c>
      <c r="Z101" s="58">
        <f>AVERAGE('Costdrivere 2021'!Z101,'Costdrivere 2022'!Z101)</f>
        <v>205177</v>
      </c>
      <c r="AA101" s="88">
        <f>AVERAGE('Costdrivere 2021'!AA101,'Costdrivere 2022'!AA101)</f>
        <v>10086533.222892802</v>
      </c>
      <c r="AB101" s="88">
        <f>AVERAGE('Costdrivere 2021'!AB101,'Costdrivere 2022'!AB101)</f>
        <v>16</v>
      </c>
      <c r="AC101" s="58">
        <f>AVERAGE('Costdrivere 2021'!AC101,'Costdrivere 2022'!AC101)</f>
        <v>942</v>
      </c>
      <c r="AD101" s="290">
        <f>AVERAGE('Costdrivere 2021'!AD101,'Costdrivere 2022'!AD101)</f>
        <v>2960.5</v>
      </c>
      <c r="AE101" s="145">
        <f>AVERAGE('Costdrivere 2021'!AE101,'Costdrivere 2022'!AE101)</f>
        <v>0</v>
      </c>
      <c r="AF101" s="58">
        <f>AVERAGE('Costdrivere 2021'!AF101,'Costdrivere 2022'!AF101)</f>
        <v>3902.5</v>
      </c>
      <c r="AG101" s="290">
        <f>AVERAGE('Costdrivere 2021'!AG101,'Costdrivere 2022'!AG101)</f>
        <v>0</v>
      </c>
      <c r="AH101" s="145">
        <f>AVERAGE('Costdrivere 2021'!AH101,'Costdrivere 2022'!AH101)</f>
        <v>0</v>
      </c>
      <c r="AI101" s="88">
        <f>AVERAGE('Costdrivere 2021'!AI101,'Costdrivere 2022'!AI101)</f>
        <v>20171</v>
      </c>
      <c r="AJ101" s="88">
        <f>AVERAGE('Costdrivere 2021'!AJ101,'Costdrivere 2022'!AJ101)</f>
        <v>1913031.4</v>
      </c>
      <c r="AK101" s="99" t="str">
        <f>'Costdrivere 2022'!AK101</f>
        <v>t+r</v>
      </c>
      <c r="AL101" s="150">
        <f>AVERAGE('Costdrivere 2021'!AL101,'Costdrivere 2022'!AL101)</f>
        <v>23315</v>
      </c>
      <c r="AM101" s="48"/>
      <c r="AN101" s="121">
        <f>AVERAGE('Costdrivere 2021'!AN101,'Costdrivere 2022'!AN101)</f>
        <v>9209569.775413882</v>
      </c>
      <c r="AO101" s="166">
        <f>AVERAGE('Costdrivere 2021'!AO101,'Costdrivere 2022'!AO101)</f>
        <v>84673040.75</v>
      </c>
      <c r="AP101" s="118">
        <f>AVERAGE('Costdrivere 2021'!AP101,'Costdrivere 2022'!AP101)</f>
        <v>1755933.3333333333</v>
      </c>
      <c r="AQ101" s="203"/>
    </row>
    <row r="102" spans="1:43" x14ac:dyDescent="0.25">
      <c r="A102" s="202" t="s">
        <v>215</v>
      </c>
      <c r="B102" s="202" t="s">
        <v>216</v>
      </c>
      <c r="C102" s="141">
        <f>AVERAGE('Costdrivere 2021'!C102,'Costdrivere 2022'!C102)</f>
        <v>17373698.474018998</v>
      </c>
      <c r="D102" s="119">
        <f>AVERAGE('Costdrivere 2021'!D102,'Costdrivere 2022'!D102)</f>
        <v>7123436.6682500001</v>
      </c>
      <c r="E102" s="119">
        <f>AVERAGE('Costdrivere 2021'!E102,'Costdrivere 2022'!E102)</f>
        <v>1835907.63405</v>
      </c>
      <c r="F102" s="119">
        <f>AVERAGE('Costdrivere 2021'!F102,'Costdrivere 2022'!F102)</f>
        <v>142496.88</v>
      </c>
      <c r="G102" s="119">
        <f>AVERAGE('Costdrivere 2021'!G102,'Costdrivere 2022'!G102)</f>
        <v>26688660.407209322</v>
      </c>
      <c r="H102" s="119">
        <f>AVERAGE('Costdrivere 2021'!H102,'Costdrivere 2022'!H102)</f>
        <v>105938.659</v>
      </c>
      <c r="I102" s="119">
        <f>AVERAGE('Costdrivere 2021'!I102,'Costdrivere 2022'!I102)</f>
        <v>7639509.9779000003</v>
      </c>
      <c r="J102" s="119">
        <f>AVERAGE('Costdrivere 2021'!J102,'Costdrivere 2022'!J102)</f>
        <v>8902437.2315835003</v>
      </c>
      <c r="K102" s="119">
        <f>AVERAGE('Costdrivere 2021'!K102,'Costdrivere 2022'!K102)</f>
        <v>2423618.2877813396</v>
      </c>
      <c r="L102" s="159">
        <f>AVERAGE('Costdrivere 2021'!L102,'Costdrivere 2022'!L102)</f>
        <v>20622270.148055304</v>
      </c>
      <c r="M102" s="292">
        <f>AVERAGE('Costdrivere 2021'!M102,'Costdrivere 2022'!M102)</f>
        <v>8.3694952030221426E-2</v>
      </c>
      <c r="N102" s="141">
        <f>AVERAGE('Costdrivere 2021'!N102,'Costdrivere 2022'!N102)</f>
        <v>609.98500000000001</v>
      </c>
      <c r="O102" s="119">
        <f>AVERAGE('Costdrivere 2021'!O102,'Costdrivere 2022'!O102)</f>
        <v>1731.19</v>
      </c>
      <c r="P102" s="119">
        <f>AVERAGE('Costdrivere 2021'!P102,'Costdrivere 2022'!P102)</f>
        <v>116.215</v>
      </c>
      <c r="Q102" s="119">
        <f>AVERAGE('Costdrivere 2021'!Q102,'Costdrivere 2022'!Q102)</f>
        <v>159.10499999999999</v>
      </c>
      <c r="R102" s="159">
        <f>AVERAGE('Costdrivere 2021'!R102,'Costdrivere 2022'!R102)</f>
        <v>18.940000000000001</v>
      </c>
      <c r="S102" s="141">
        <f>AVERAGE('Costdrivere 2021'!S102,'Costdrivere 2022'!S102)</f>
        <v>5.5</v>
      </c>
      <c r="T102" s="119">
        <f>AVERAGE('Costdrivere 2021'!T102,'Costdrivere 2022'!T102)</f>
        <v>155</v>
      </c>
      <c r="U102" s="119">
        <f>AVERAGE('Costdrivere 2021'!U102,'Costdrivere 2022'!U102)</f>
        <v>120.5</v>
      </c>
      <c r="V102" s="119">
        <f>AVERAGE('Costdrivere 2021'!V102,'Costdrivere 2022'!V102)</f>
        <v>5720</v>
      </c>
      <c r="W102" s="159">
        <f>AVERAGE('Costdrivere 2021'!W102,'Costdrivere 2022'!W102)</f>
        <v>3624</v>
      </c>
      <c r="X102" s="58">
        <f>AVERAGE('Costdrivere 2021'!X102,'Costdrivere 2022'!X102)</f>
        <v>115702.5</v>
      </c>
      <c r="Y102" s="159">
        <f>AVERAGE('Costdrivere 2021'!Y102,'Costdrivere 2022'!Y102)</f>
        <v>655306.5</v>
      </c>
      <c r="Z102" s="58">
        <f>AVERAGE('Costdrivere 2021'!Z102,'Costdrivere 2022'!Z102)</f>
        <v>23280</v>
      </c>
      <c r="AA102" s="88">
        <f>AVERAGE('Costdrivere 2021'!AA102,'Costdrivere 2022'!AA102)</f>
        <v>26688660.407209322</v>
      </c>
      <c r="AB102" s="88">
        <f>AVERAGE('Costdrivere 2021'!AB102,'Costdrivere 2022'!AB102)</f>
        <v>37</v>
      </c>
      <c r="AC102" s="58">
        <f>AVERAGE('Costdrivere 2021'!AC102,'Costdrivere 2022'!AC102)</f>
        <v>0</v>
      </c>
      <c r="AD102" s="290">
        <f>AVERAGE('Costdrivere 2021'!AD102,'Costdrivere 2022'!AD102)</f>
        <v>8993.5</v>
      </c>
      <c r="AE102" s="145">
        <f>AVERAGE('Costdrivere 2021'!AE102,'Costdrivere 2022'!AE102)</f>
        <v>0</v>
      </c>
      <c r="AF102" s="58">
        <f>AVERAGE('Costdrivere 2021'!AF102,'Costdrivere 2022'!AF102)</f>
        <v>0</v>
      </c>
      <c r="AG102" s="290">
        <f>AVERAGE('Costdrivere 2021'!AG102,'Costdrivere 2022'!AG102)</f>
        <v>349.32499999999999</v>
      </c>
      <c r="AH102" s="145">
        <f>AVERAGE('Costdrivere 2021'!AH102,'Costdrivere 2022'!AH102)</f>
        <v>3860.5450000000001</v>
      </c>
      <c r="AI102" s="88">
        <f>AVERAGE('Costdrivere 2021'!AI102,'Costdrivere 2022'!AI102)</f>
        <v>54405.5</v>
      </c>
      <c r="AJ102" s="88">
        <f>AVERAGE('Costdrivere 2021'!AJ102,'Costdrivere 2022'!AJ102)</f>
        <v>11359561</v>
      </c>
      <c r="AK102" s="99" t="str">
        <f>'Costdrivere 2022'!AK102</f>
        <v>t+r</v>
      </c>
      <c r="AL102" s="150">
        <f>AVERAGE('Costdrivere 2021'!AL102,'Costdrivere 2022'!AL102)</f>
        <v>153852</v>
      </c>
      <c r="AM102" s="48"/>
      <c r="AN102" s="121">
        <f>AVERAGE('Costdrivere 2021'!AN102,'Costdrivere 2022'!AN102)</f>
        <v>39502366.34854643</v>
      </c>
      <c r="AO102" s="166">
        <f>AVERAGE('Costdrivere 2021'!AO102,'Costdrivere 2022'!AO102)</f>
        <v>208719011.34083325</v>
      </c>
      <c r="AP102" s="118">
        <f>AVERAGE('Costdrivere 2021'!AP102,'Costdrivere 2022'!AP102)</f>
        <v>0</v>
      </c>
      <c r="AQ102" s="203"/>
    </row>
    <row r="103" spans="1:43" x14ac:dyDescent="0.25">
      <c r="A103" s="202" t="s">
        <v>217</v>
      </c>
      <c r="B103" s="202" t="s">
        <v>218</v>
      </c>
      <c r="C103" s="141">
        <f>AVERAGE('Costdrivere 2021'!C103,'Costdrivere 2022'!C103)</f>
        <v>21548994.376249999</v>
      </c>
      <c r="D103" s="119">
        <f>AVERAGE('Costdrivere 2021'!D103,'Costdrivere 2022'!D103)</f>
        <v>7427235.9808999998</v>
      </c>
      <c r="E103" s="119">
        <f>AVERAGE('Costdrivere 2021'!E103,'Costdrivere 2022'!E103)</f>
        <v>5612874.1735999994</v>
      </c>
      <c r="F103" s="119">
        <f>AVERAGE('Costdrivere 2021'!F103,'Costdrivere 2022'!F103)</f>
        <v>646711.19449999998</v>
      </c>
      <c r="G103" s="119">
        <f>AVERAGE('Costdrivere 2021'!G103,'Costdrivere 2022'!G103)</f>
        <v>36608310.711909302</v>
      </c>
      <c r="H103" s="119">
        <f>AVERAGE('Costdrivere 2021'!H103,'Costdrivere 2022'!H103)</f>
        <v>635631.95399999991</v>
      </c>
      <c r="I103" s="119">
        <f>AVERAGE('Costdrivere 2021'!I103,'Costdrivere 2022'!I103)</f>
        <v>9865786.0182499997</v>
      </c>
      <c r="J103" s="119">
        <f>AVERAGE('Costdrivere 2021'!J103,'Costdrivere 2022'!J103)</f>
        <v>11845596.096449999</v>
      </c>
      <c r="K103" s="119">
        <f>AVERAGE('Costdrivere 2021'!K103,'Costdrivere 2022'!K103)</f>
        <v>2968645.9342441531</v>
      </c>
      <c r="L103" s="159">
        <f>AVERAGE('Costdrivere 2021'!L103,'Costdrivere 2022'!L103)</f>
        <v>28260651.623173177</v>
      </c>
      <c r="M103" s="292">
        <f>AVERAGE('Costdrivere 2021'!M103,'Costdrivere 2022'!M103)</f>
        <v>8.9082379518277188E-2</v>
      </c>
      <c r="N103" s="141">
        <f>AVERAGE('Costdrivere 2021'!N103,'Costdrivere 2022'!N103)</f>
        <v>464</v>
      </c>
      <c r="O103" s="119">
        <f>AVERAGE('Costdrivere 2021'!O103,'Costdrivere 2022'!O103)</f>
        <v>2977.5</v>
      </c>
      <c r="P103" s="119">
        <f>AVERAGE('Costdrivere 2021'!P103,'Costdrivere 2022'!P103)</f>
        <v>287.5</v>
      </c>
      <c r="Q103" s="119">
        <f>AVERAGE('Costdrivere 2021'!Q103,'Costdrivere 2022'!Q103)</f>
        <v>251.5</v>
      </c>
      <c r="R103" s="159">
        <f>AVERAGE('Costdrivere 2021'!R103,'Costdrivere 2022'!R103)</f>
        <v>4</v>
      </c>
      <c r="S103" s="141">
        <f>AVERAGE('Costdrivere 2021'!S103,'Costdrivere 2022'!S103)</f>
        <v>466.5</v>
      </c>
      <c r="T103" s="119">
        <f>AVERAGE('Costdrivere 2021'!T103,'Costdrivere 2022'!T103)</f>
        <v>67</v>
      </c>
      <c r="U103" s="119">
        <f>AVERAGE('Costdrivere 2021'!U103,'Costdrivere 2022'!U103)</f>
        <v>68</v>
      </c>
      <c r="V103" s="119">
        <f>AVERAGE('Costdrivere 2021'!V103,'Costdrivere 2022'!V103)</f>
        <v>2182</v>
      </c>
      <c r="W103" s="159">
        <f>AVERAGE('Costdrivere 2021'!W103,'Costdrivere 2022'!W103)</f>
        <v>14360</v>
      </c>
      <c r="X103" s="58">
        <f>AVERAGE('Costdrivere 2021'!X103,'Costdrivere 2022'!X103)</f>
        <v>431871.5</v>
      </c>
      <c r="Y103" s="159">
        <f>AVERAGE('Costdrivere 2021'!Y103,'Costdrivere 2022'!Y103)</f>
        <v>1957623</v>
      </c>
      <c r="Z103" s="58">
        <f>AVERAGE('Costdrivere 2021'!Z103,'Costdrivere 2022'!Z103)</f>
        <v>105654.5</v>
      </c>
      <c r="AA103" s="88">
        <f>AVERAGE('Costdrivere 2021'!AA103,'Costdrivere 2022'!AA103)</f>
        <v>36608310.711909302</v>
      </c>
      <c r="AB103" s="88">
        <f>AVERAGE('Costdrivere 2021'!AB103,'Costdrivere 2022'!AB103)</f>
        <v>222</v>
      </c>
      <c r="AC103" s="58">
        <f>AVERAGE('Costdrivere 2021'!AC103,'Costdrivere 2022'!AC103)</f>
        <v>45.5</v>
      </c>
      <c r="AD103" s="290">
        <f>AVERAGE('Costdrivere 2021'!AD103,'Costdrivere 2022'!AD103)</f>
        <v>11878.5</v>
      </c>
      <c r="AE103" s="145">
        <f>AVERAGE('Costdrivere 2021'!AE103,'Costdrivere 2022'!AE103)</f>
        <v>0</v>
      </c>
      <c r="AF103" s="58">
        <f>AVERAGE('Costdrivere 2021'!AF103,'Costdrivere 2022'!AF103)</f>
        <v>4076.5</v>
      </c>
      <c r="AG103" s="290">
        <f>AVERAGE('Costdrivere 2021'!AG103,'Costdrivere 2022'!AG103)</f>
        <v>2527</v>
      </c>
      <c r="AH103" s="145">
        <f>AVERAGE('Costdrivere 2021'!AH103,'Costdrivere 2022'!AH103)</f>
        <v>0</v>
      </c>
      <c r="AI103" s="88">
        <f>AVERAGE('Costdrivere 2021'!AI103,'Costdrivere 2022'!AI103)</f>
        <v>91016.5</v>
      </c>
      <c r="AJ103" s="88">
        <f>AVERAGE('Costdrivere 2021'!AJ103,'Costdrivere 2022'!AJ103)</f>
        <v>15641395</v>
      </c>
      <c r="AK103" s="99" t="str">
        <f>'Costdrivere 2022'!AK103</f>
        <v>t+r</v>
      </c>
      <c r="AL103" s="150">
        <f>AVERAGE('Costdrivere 2021'!AL103,'Costdrivere 2022'!AL103)</f>
        <v>215994.5</v>
      </c>
      <c r="AM103" s="48"/>
      <c r="AN103" s="121">
        <f>AVERAGE('Costdrivere 2021'!AN103,'Costdrivere 2022'!AN103)</f>
        <v>45616064.109240741</v>
      </c>
      <c r="AO103" s="166">
        <f>AVERAGE('Costdrivere 2021'!AO103,'Costdrivere 2022'!AO103)</f>
        <v>355429123.18333316</v>
      </c>
      <c r="AP103" s="118">
        <f>AVERAGE('Costdrivere 2021'!AP103,'Costdrivere 2022'!AP103)</f>
        <v>8157133.333333333</v>
      </c>
      <c r="AQ103" s="203"/>
    </row>
    <row r="104" spans="1:43" x14ac:dyDescent="0.25">
      <c r="A104" s="202" t="s">
        <v>219</v>
      </c>
      <c r="B104" s="202" t="s">
        <v>220</v>
      </c>
      <c r="C104" s="141">
        <f>AVERAGE('Costdrivere 2021'!C104,'Costdrivere 2022'!C104)</f>
        <v>0</v>
      </c>
      <c r="D104" s="119">
        <f>AVERAGE('Costdrivere 2021'!D104,'Costdrivere 2022'!D104)</f>
        <v>0</v>
      </c>
      <c r="E104" s="119">
        <f>AVERAGE('Costdrivere 2021'!E104,'Costdrivere 2022'!E104)</f>
        <v>0</v>
      </c>
      <c r="F104" s="119">
        <f>AVERAGE('Costdrivere 2021'!F104,'Costdrivere 2022'!F104)</f>
        <v>0</v>
      </c>
      <c r="G104" s="119">
        <f>AVERAGE('Costdrivere 2021'!G104,'Costdrivere 2022'!G104)</f>
        <v>16240724.514652757</v>
      </c>
      <c r="H104" s="119">
        <f>AVERAGE('Costdrivere 2021'!H104,'Costdrivere 2022'!H104)</f>
        <v>0</v>
      </c>
      <c r="I104" s="119">
        <f>AVERAGE('Costdrivere 2021'!I104,'Costdrivere 2022'!I104)</f>
        <v>2282043.4489500001</v>
      </c>
      <c r="J104" s="119">
        <f>AVERAGE('Costdrivere 2021'!J104,'Costdrivere 2022'!J104)</f>
        <v>2081235.4233500001</v>
      </c>
      <c r="K104" s="119">
        <f>AVERAGE('Costdrivere 2021'!K104,'Costdrivere 2022'!K104)</f>
        <v>50787.322169710002</v>
      </c>
      <c r="L104" s="159">
        <f>AVERAGE('Costdrivere 2021'!L104,'Costdrivere 2022'!L104)</f>
        <v>2229855.3536335994</v>
      </c>
      <c r="M104" s="292">
        <f>AVERAGE('Costdrivere 2021'!M104,'Costdrivere 2022'!M104)</f>
        <v>0</v>
      </c>
      <c r="N104" s="141">
        <f>AVERAGE('Costdrivere 2021'!N104,'Costdrivere 2022'!N104)</f>
        <v>0</v>
      </c>
      <c r="O104" s="119">
        <f>AVERAGE('Costdrivere 2021'!O104,'Costdrivere 2022'!O104)</f>
        <v>0</v>
      </c>
      <c r="P104" s="119">
        <f>AVERAGE('Costdrivere 2021'!P104,'Costdrivere 2022'!P104)</f>
        <v>0</v>
      </c>
      <c r="Q104" s="119">
        <f>AVERAGE('Costdrivere 2021'!Q104,'Costdrivere 2022'!Q104)</f>
        <v>0</v>
      </c>
      <c r="R104" s="159">
        <f>AVERAGE('Costdrivere 2021'!R104,'Costdrivere 2022'!R104)</f>
        <v>0</v>
      </c>
      <c r="S104" s="141">
        <f>AVERAGE('Costdrivere 2021'!S104,'Costdrivere 2022'!S104)</f>
        <v>0</v>
      </c>
      <c r="T104" s="119">
        <f>AVERAGE('Costdrivere 2021'!T104,'Costdrivere 2022'!T104)</f>
        <v>0</v>
      </c>
      <c r="U104" s="119">
        <f>AVERAGE('Costdrivere 2021'!U104,'Costdrivere 2022'!U104)</f>
        <v>0</v>
      </c>
      <c r="V104" s="119">
        <f>AVERAGE('Costdrivere 2021'!V104,'Costdrivere 2022'!V104)</f>
        <v>0</v>
      </c>
      <c r="W104" s="159">
        <f>AVERAGE('Costdrivere 2021'!W104,'Costdrivere 2022'!W104)</f>
        <v>0</v>
      </c>
      <c r="X104" s="58">
        <f>AVERAGE('Costdrivere 2021'!X104,'Costdrivere 2022'!X104)</f>
        <v>0</v>
      </c>
      <c r="Y104" s="159">
        <f>AVERAGE('Costdrivere 2021'!Y104,'Costdrivere 2022'!Y104)</f>
        <v>0</v>
      </c>
      <c r="Z104" s="58">
        <f>AVERAGE('Costdrivere 2021'!Z104,'Costdrivere 2022'!Z104)</f>
        <v>0</v>
      </c>
      <c r="AA104" s="88">
        <f>AVERAGE('Costdrivere 2021'!AA104,'Costdrivere 2022'!AA104)</f>
        <v>16240724.514652757</v>
      </c>
      <c r="AB104" s="88">
        <f>AVERAGE('Costdrivere 2021'!AB104,'Costdrivere 2022'!AB104)</f>
        <v>0</v>
      </c>
      <c r="AC104" s="58">
        <f>AVERAGE('Costdrivere 2021'!AC104,'Costdrivere 2022'!AC104)</f>
        <v>1341</v>
      </c>
      <c r="AD104" s="290">
        <f>AVERAGE('Costdrivere 2021'!AD104,'Costdrivere 2022'!AD104)</f>
        <v>1057.5</v>
      </c>
      <c r="AE104" s="145">
        <f>AVERAGE('Costdrivere 2021'!AE104,'Costdrivere 2022'!AE104)</f>
        <v>216.5</v>
      </c>
      <c r="AF104" s="58">
        <f>AVERAGE('Costdrivere 2021'!AF104,'Costdrivere 2022'!AF104)</f>
        <v>1749.5</v>
      </c>
      <c r="AG104" s="290">
        <f>AVERAGE('Costdrivere 2021'!AG104,'Costdrivere 2022'!AG104)</f>
        <v>0</v>
      </c>
      <c r="AH104" s="145">
        <f>AVERAGE('Costdrivere 2021'!AH104,'Costdrivere 2022'!AH104)</f>
        <v>0</v>
      </c>
      <c r="AI104" s="88">
        <f>AVERAGE('Costdrivere 2021'!AI104,'Costdrivere 2022'!AI104)</f>
        <v>3</v>
      </c>
      <c r="AJ104" s="88">
        <f>AVERAGE('Costdrivere 2021'!AJ104,'Costdrivere 2022'!AJ104)</f>
        <v>2553966.5</v>
      </c>
      <c r="AK104" s="99" t="str">
        <f>'Costdrivere 2022'!AK104</f>
        <v>r</v>
      </c>
      <c r="AL104" s="150">
        <f>AVERAGE('Costdrivere 2021'!AL104,'Costdrivere 2022'!AL104)</f>
        <v>3</v>
      </c>
      <c r="AM104" s="48"/>
      <c r="AN104" s="121">
        <f>AVERAGE('Costdrivere 2021'!AN104,'Costdrivere 2022'!AN104)</f>
        <v>13950397.466472976</v>
      </c>
      <c r="AO104" s="166">
        <f>AVERAGE('Costdrivere 2021'!AO104,'Costdrivere 2022'!AO104)</f>
        <v>0</v>
      </c>
      <c r="AP104" s="118">
        <f>AVERAGE('Costdrivere 2021'!AP104,'Costdrivere 2022'!AP104)</f>
        <v>827426.66666666663</v>
      </c>
      <c r="AQ104" s="203"/>
    </row>
    <row r="105" spans="1:43" ht="15.75" thickBot="1" x14ac:dyDescent="0.3">
      <c r="A105" s="205" t="s">
        <v>221</v>
      </c>
      <c r="B105" s="205" t="s">
        <v>222</v>
      </c>
      <c r="C105" s="151">
        <f>AVERAGE('Costdrivere 2021'!C105,'Costdrivere 2022'!C105)</f>
        <v>0</v>
      </c>
      <c r="D105" s="129">
        <f>AVERAGE('Costdrivere 2021'!D105,'Costdrivere 2022'!D105)</f>
        <v>0</v>
      </c>
      <c r="E105" s="129">
        <f>AVERAGE('Costdrivere 2021'!E105,'Costdrivere 2022'!E105)</f>
        <v>0</v>
      </c>
      <c r="F105" s="129">
        <f>AVERAGE('Costdrivere 2021'!F105,'Costdrivere 2022'!F105)</f>
        <v>73452</v>
      </c>
      <c r="G105" s="129">
        <f>AVERAGE('Costdrivere 2021'!G105,'Costdrivere 2022'!G105)</f>
        <v>6522620.8461249899</v>
      </c>
      <c r="H105" s="129">
        <f>AVERAGE('Costdrivere 2021'!H105,'Costdrivere 2022'!H105)</f>
        <v>0</v>
      </c>
      <c r="I105" s="129">
        <f>AVERAGE('Costdrivere 2021'!I105,'Costdrivere 2022'!I105)</f>
        <v>2236606.4602999999</v>
      </c>
      <c r="J105" s="129">
        <f>AVERAGE('Costdrivere 2021'!J105,'Costdrivere 2022'!J105)</f>
        <v>1699265.5018500001</v>
      </c>
      <c r="K105" s="129">
        <f>AVERAGE('Costdrivere 2021'!K105,'Costdrivere 2022'!K105)</f>
        <v>66745.399825033237</v>
      </c>
      <c r="L105" s="169">
        <f>AVERAGE('Costdrivere 2021'!L105,'Costdrivere 2022'!L105)</f>
        <v>1441720.0786547058</v>
      </c>
      <c r="M105" s="293">
        <f>AVERAGE('Costdrivere 2021'!M105,'Costdrivere 2022'!M105)</f>
        <v>0</v>
      </c>
      <c r="N105" s="151">
        <f>AVERAGE('Costdrivere 2021'!N105,'Costdrivere 2022'!N105)</f>
        <v>0</v>
      </c>
      <c r="O105" s="129">
        <f>AVERAGE('Costdrivere 2021'!O105,'Costdrivere 2022'!O105)</f>
        <v>0</v>
      </c>
      <c r="P105" s="129">
        <f>AVERAGE('Costdrivere 2021'!P105,'Costdrivere 2022'!P105)</f>
        <v>0</v>
      </c>
      <c r="Q105" s="129">
        <f>AVERAGE('Costdrivere 2021'!Q105,'Costdrivere 2022'!Q105)</f>
        <v>0</v>
      </c>
      <c r="R105" s="169">
        <f>AVERAGE('Costdrivere 2021'!R105,'Costdrivere 2022'!R105)</f>
        <v>0</v>
      </c>
      <c r="S105" s="151">
        <f>AVERAGE('Costdrivere 2021'!S105,'Costdrivere 2022'!S105)</f>
        <v>0</v>
      </c>
      <c r="T105" s="129">
        <f>AVERAGE('Costdrivere 2021'!T105,'Costdrivere 2022'!T105)</f>
        <v>0</v>
      </c>
      <c r="U105" s="129">
        <f>AVERAGE('Costdrivere 2021'!U105,'Costdrivere 2022'!U105)</f>
        <v>0</v>
      </c>
      <c r="V105" s="129">
        <f>AVERAGE('Costdrivere 2021'!V105,'Costdrivere 2022'!V105)</f>
        <v>0</v>
      </c>
      <c r="W105" s="169">
        <f>AVERAGE('Costdrivere 2021'!W105,'Costdrivere 2022'!W105)</f>
        <v>0</v>
      </c>
      <c r="X105" s="152">
        <f>AVERAGE('Costdrivere 2021'!X105,'Costdrivere 2022'!X105)</f>
        <v>0</v>
      </c>
      <c r="Y105" s="169">
        <f>AVERAGE('Costdrivere 2021'!Y105,'Costdrivere 2022'!Y105)</f>
        <v>0</v>
      </c>
      <c r="Z105" s="152">
        <f>AVERAGE('Costdrivere 2021'!Z105,'Costdrivere 2022'!Z105)</f>
        <v>12000</v>
      </c>
      <c r="AA105" s="108">
        <f>AVERAGE('Costdrivere 2021'!AA105,'Costdrivere 2022'!AA105)</f>
        <v>6522620.8461249899</v>
      </c>
      <c r="AB105" s="108">
        <f>AVERAGE('Costdrivere 2021'!AB105,'Costdrivere 2022'!AB105)</f>
        <v>0</v>
      </c>
      <c r="AC105" s="152">
        <f>AVERAGE('Costdrivere 2021'!AC105,'Costdrivere 2022'!AC105)</f>
        <v>0</v>
      </c>
      <c r="AD105" s="294">
        <f>AVERAGE('Costdrivere 2021'!AD105,'Costdrivere 2022'!AD105)</f>
        <v>1952</v>
      </c>
      <c r="AE105" s="155">
        <f>AVERAGE('Costdrivere 2021'!AE105,'Costdrivere 2022'!AE105)</f>
        <v>0</v>
      </c>
      <c r="AF105" s="152">
        <f>AVERAGE('Costdrivere 2021'!AF105,'Costdrivere 2022'!AF105)</f>
        <v>1366.5</v>
      </c>
      <c r="AG105" s="294">
        <f>AVERAGE('Costdrivere 2021'!AG105,'Costdrivere 2022'!AG105)</f>
        <v>0</v>
      </c>
      <c r="AH105" s="155">
        <f>AVERAGE('Costdrivere 2021'!AH105,'Costdrivere 2022'!AH105)</f>
        <v>0</v>
      </c>
      <c r="AI105" s="108">
        <f>AVERAGE('Costdrivere 2021'!AI105,'Costdrivere 2022'!AI105)</f>
        <v>6</v>
      </c>
      <c r="AJ105" s="108">
        <f>AVERAGE('Costdrivere 2021'!AJ105,'Costdrivere 2022'!AJ105)</f>
        <v>1323022</v>
      </c>
      <c r="AK105" s="154" t="str">
        <f>'Costdrivere 2022'!AK105</f>
        <v>r</v>
      </c>
      <c r="AL105" s="295">
        <f>AVERAGE('Costdrivere 2021'!AL105,'Costdrivere 2022'!AL105)</f>
        <v>6</v>
      </c>
      <c r="AM105" s="48"/>
      <c r="AN105" s="131">
        <f>AVERAGE('Costdrivere 2021'!AN105,'Costdrivere 2022'!AN105)</f>
        <v>15939229.883641876</v>
      </c>
      <c r="AO105" s="172">
        <f>AVERAGE('Costdrivere 2021'!AO105,'Costdrivere 2022'!AO105)</f>
        <v>1632000</v>
      </c>
      <c r="AP105" s="128">
        <f>AVERAGE('Costdrivere 2021'!AP105,'Costdrivere 2022'!AP105)</f>
        <v>649060</v>
      </c>
      <c r="AQ105" s="203"/>
    </row>
    <row r="106" spans="1:43" x14ac:dyDescent="0.25">
      <c r="A106" s="71"/>
      <c r="B106" s="71"/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177"/>
      <c r="AD106" s="177"/>
      <c r="AE106" s="177"/>
      <c r="AF106" s="177"/>
      <c r="AG106" s="177"/>
      <c r="AH106" s="177"/>
      <c r="AI106" s="71"/>
      <c r="AJ106" s="71"/>
      <c r="AK106" s="71"/>
      <c r="AL106" s="71"/>
      <c r="AM106" s="48"/>
      <c r="AN106" s="71"/>
      <c r="AO106" s="71"/>
      <c r="AP106" s="71"/>
      <c r="AQ106" s="48"/>
    </row>
    <row r="107" spans="1:43" x14ac:dyDescent="0.25">
      <c r="A107" s="48"/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  <c r="AK107" s="48"/>
      <c r="AL107" s="48"/>
      <c r="AM107" s="48"/>
      <c r="AN107" s="48"/>
      <c r="AO107" s="48"/>
      <c r="AP107" s="48"/>
      <c r="AQ107" s="48"/>
    </row>
    <row r="108" spans="1:43" x14ac:dyDescent="0.25">
      <c r="A108" s="48"/>
      <c r="B108" s="48"/>
      <c r="C108" s="296"/>
      <c r="D108" s="296"/>
      <c r="E108" s="296"/>
      <c r="F108" s="296"/>
      <c r="G108" s="296"/>
      <c r="H108" s="296"/>
      <c r="I108" s="296"/>
      <c r="J108" s="296"/>
      <c r="K108" s="296"/>
      <c r="L108" s="296"/>
      <c r="M108" s="203"/>
      <c r="N108" s="203"/>
      <c r="O108" s="203"/>
      <c r="P108" s="203"/>
      <c r="Q108" s="203"/>
      <c r="R108" s="203"/>
      <c r="S108" s="203"/>
      <c r="T108" s="203"/>
      <c r="U108" s="203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  <c r="AK108" s="48"/>
      <c r="AL108" s="48"/>
      <c r="AM108" s="48"/>
      <c r="AN108" s="48"/>
      <c r="AO108" s="48"/>
      <c r="AP108" s="48"/>
      <c r="AQ108" s="48"/>
    </row>
    <row r="109" spans="1:43" x14ac:dyDescent="0.25">
      <c r="A109" s="48"/>
      <c r="B109" s="48"/>
      <c r="C109" s="296"/>
      <c r="D109" s="296"/>
      <c r="E109" s="296"/>
      <c r="F109" s="296"/>
      <c r="G109" s="296"/>
      <c r="H109" s="296"/>
      <c r="I109" s="296"/>
      <c r="J109" s="296"/>
      <c r="K109" s="296"/>
      <c r="L109" s="296"/>
      <c r="M109" s="203"/>
      <c r="N109" s="203"/>
      <c r="O109" s="203"/>
      <c r="P109" s="203"/>
      <c r="Q109" s="203"/>
      <c r="R109" s="203"/>
      <c r="S109" s="203"/>
      <c r="T109" s="203"/>
      <c r="U109" s="203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/>
      <c r="AL109" s="48"/>
      <c r="AM109" s="48"/>
      <c r="AN109" s="48"/>
      <c r="AO109" s="48"/>
      <c r="AP109" s="48"/>
      <c r="AQ109" s="48"/>
    </row>
    <row r="110" spans="1:43" x14ac:dyDescent="0.25">
      <c r="A110" s="48"/>
      <c r="B110" s="48"/>
      <c r="C110" s="296"/>
      <c r="D110" s="296"/>
      <c r="E110" s="296"/>
      <c r="F110" s="296"/>
      <c r="G110" s="296"/>
      <c r="H110" s="296"/>
      <c r="I110" s="296"/>
      <c r="J110" s="296"/>
      <c r="K110" s="296"/>
      <c r="L110" s="296"/>
      <c r="M110" s="203"/>
      <c r="N110" s="203"/>
      <c r="O110" s="203"/>
      <c r="P110" s="203"/>
      <c r="Q110" s="203"/>
      <c r="R110" s="203"/>
      <c r="S110" s="203"/>
      <c r="T110" s="203"/>
      <c r="U110" s="203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  <c r="AJ110" s="48"/>
      <c r="AK110" s="48"/>
      <c r="AL110" s="48"/>
      <c r="AM110" s="48"/>
      <c r="AN110" s="48"/>
      <c r="AO110" s="48"/>
      <c r="AP110" s="48"/>
      <c r="AQ110" s="48"/>
    </row>
    <row r="111" spans="1:43" x14ac:dyDescent="0.25">
      <c r="A111" s="48"/>
      <c r="B111" s="48"/>
      <c r="C111" s="296"/>
      <c r="D111" s="296"/>
      <c r="E111" s="296"/>
      <c r="F111" s="296"/>
      <c r="G111" s="296"/>
      <c r="H111" s="296"/>
      <c r="I111" s="296"/>
      <c r="J111" s="296"/>
      <c r="K111" s="296"/>
      <c r="L111" s="296"/>
      <c r="M111" s="203"/>
      <c r="N111" s="203"/>
      <c r="O111" s="203"/>
      <c r="P111" s="203"/>
      <c r="Q111" s="203"/>
      <c r="R111" s="203"/>
      <c r="S111" s="203"/>
      <c r="T111" s="203"/>
      <c r="U111" s="203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K111" s="48"/>
      <c r="AL111" s="48"/>
      <c r="AM111" s="48"/>
      <c r="AN111" s="48"/>
      <c r="AO111" s="48"/>
      <c r="AP111" s="48"/>
      <c r="AQ111" s="48"/>
    </row>
    <row r="112" spans="1:43" x14ac:dyDescent="0.25">
      <c r="A112" s="48"/>
      <c r="B112" s="48"/>
      <c r="C112" s="296"/>
      <c r="D112" s="296"/>
      <c r="E112" s="296"/>
      <c r="F112" s="296"/>
      <c r="G112" s="296"/>
      <c r="H112" s="296"/>
      <c r="I112" s="296"/>
      <c r="J112" s="296"/>
      <c r="K112" s="296"/>
      <c r="L112" s="296"/>
      <c r="M112" s="203"/>
      <c r="N112" s="203"/>
      <c r="O112" s="203"/>
      <c r="P112" s="203"/>
      <c r="Q112" s="203"/>
      <c r="R112" s="203"/>
      <c r="S112" s="203"/>
      <c r="T112" s="203"/>
      <c r="U112" s="203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48"/>
      <c r="AN112" s="48"/>
      <c r="AO112" s="48"/>
      <c r="AP112" s="48"/>
      <c r="AQ112" s="48"/>
    </row>
    <row r="113" spans="1:43" x14ac:dyDescent="0.25">
      <c r="A113" s="48"/>
      <c r="B113" s="48"/>
      <c r="C113" s="296"/>
      <c r="D113" s="296"/>
      <c r="E113" s="296"/>
      <c r="F113" s="296"/>
      <c r="G113" s="296"/>
      <c r="H113" s="296"/>
      <c r="I113" s="296"/>
      <c r="J113" s="296"/>
      <c r="K113" s="296"/>
      <c r="L113" s="296"/>
      <c r="M113" s="203"/>
      <c r="N113" s="203"/>
      <c r="O113" s="203"/>
      <c r="P113" s="203"/>
      <c r="Q113" s="203"/>
      <c r="R113" s="203"/>
      <c r="S113" s="203"/>
      <c r="T113" s="203"/>
      <c r="U113" s="203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48"/>
      <c r="AK113" s="48"/>
      <c r="AL113" s="48"/>
      <c r="AM113" s="48"/>
      <c r="AN113" s="48"/>
      <c r="AO113" s="48"/>
      <c r="AP113" s="48"/>
      <c r="AQ113" s="48"/>
    </row>
    <row r="114" spans="1:43" x14ac:dyDescent="0.25">
      <c r="A114" s="48"/>
      <c r="B114" s="48"/>
      <c r="C114" s="296"/>
      <c r="D114" s="296"/>
      <c r="E114" s="296"/>
      <c r="F114" s="296"/>
      <c r="G114" s="296"/>
      <c r="H114" s="296"/>
      <c r="I114" s="296"/>
      <c r="J114" s="296"/>
      <c r="K114" s="296"/>
      <c r="L114" s="296"/>
      <c r="M114" s="203"/>
      <c r="N114" s="203"/>
      <c r="O114" s="203"/>
      <c r="P114" s="203"/>
      <c r="Q114" s="203"/>
      <c r="R114" s="203"/>
      <c r="S114" s="203"/>
      <c r="T114" s="203"/>
      <c r="U114" s="203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48"/>
      <c r="AN114" s="48"/>
      <c r="AO114" s="48"/>
      <c r="AP114" s="48"/>
      <c r="AQ114" s="48"/>
    </row>
    <row r="115" spans="1:43" x14ac:dyDescent="0.25">
      <c r="A115" s="48"/>
      <c r="B115" s="48"/>
      <c r="C115" s="296"/>
      <c r="D115" s="296"/>
      <c r="E115" s="296"/>
      <c r="F115" s="296"/>
      <c r="G115" s="296"/>
      <c r="H115" s="296"/>
      <c r="I115" s="296"/>
      <c r="J115" s="296"/>
      <c r="K115" s="296"/>
      <c r="L115" s="296"/>
      <c r="M115" s="203"/>
      <c r="N115" s="203"/>
      <c r="O115" s="203"/>
      <c r="P115" s="203"/>
      <c r="Q115" s="203"/>
      <c r="R115" s="203"/>
      <c r="S115" s="203"/>
      <c r="T115" s="203"/>
      <c r="U115" s="203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48"/>
      <c r="AL115" s="48"/>
      <c r="AM115" s="48"/>
      <c r="AN115" s="48"/>
      <c r="AO115" s="48"/>
      <c r="AP115" s="48"/>
      <c r="AQ115" s="48"/>
    </row>
    <row r="116" spans="1:43" x14ac:dyDescent="0.25">
      <c r="A116" s="48"/>
      <c r="B116" s="48"/>
      <c r="C116" s="296"/>
      <c r="D116" s="296"/>
      <c r="E116" s="296"/>
      <c r="F116" s="296"/>
      <c r="G116" s="296"/>
      <c r="H116" s="296"/>
      <c r="I116" s="296"/>
      <c r="J116" s="296"/>
      <c r="K116" s="296"/>
      <c r="L116" s="296"/>
      <c r="M116" s="203"/>
      <c r="N116" s="203"/>
      <c r="O116" s="203"/>
      <c r="P116" s="203"/>
      <c r="Q116" s="203"/>
      <c r="R116" s="203"/>
      <c r="S116" s="203"/>
      <c r="T116" s="203"/>
      <c r="U116" s="203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  <c r="AM116" s="48"/>
      <c r="AN116" s="48"/>
      <c r="AO116" s="48"/>
      <c r="AP116" s="48"/>
      <c r="AQ116" s="48"/>
    </row>
    <row r="117" spans="1:43" x14ac:dyDescent="0.25">
      <c r="A117" s="48"/>
      <c r="B117" s="48"/>
      <c r="C117" s="296"/>
      <c r="D117" s="296"/>
      <c r="E117" s="296"/>
      <c r="F117" s="296"/>
      <c r="G117" s="296"/>
      <c r="H117" s="296"/>
      <c r="I117" s="296"/>
      <c r="J117" s="296"/>
      <c r="K117" s="296"/>
      <c r="L117" s="296"/>
      <c r="M117" s="203"/>
      <c r="N117" s="203"/>
      <c r="O117" s="203"/>
      <c r="P117" s="203"/>
      <c r="Q117" s="203"/>
      <c r="R117" s="203"/>
      <c r="S117" s="203"/>
      <c r="T117" s="203"/>
      <c r="U117" s="203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48"/>
      <c r="AL117" s="48"/>
      <c r="AM117" s="48"/>
      <c r="AN117" s="48"/>
      <c r="AO117" s="48"/>
      <c r="AP117" s="48"/>
      <c r="AQ117" s="48"/>
    </row>
    <row r="118" spans="1:43" x14ac:dyDescent="0.25">
      <c r="A118" s="48"/>
      <c r="B118" s="48"/>
      <c r="C118" s="296"/>
      <c r="D118" s="296"/>
      <c r="E118" s="296"/>
      <c r="F118" s="296"/>
      <c r="G118" s="296"/>
      <c r="H118" s="296"/>
      <c r="I118" s="296"/>
      <c r="J118" s="296"/>
      <c r="K118" s="296"/>
      <c r="L118" s="296"/>
      <c r="M118" s="203"/>
      <c r="N118" s="203"/>
      <c r="O118" s="203"/>
      <c r="P118" s="203"/>
      <c r="Q118" s="203"/>
      <c r="R118" s="203"/>
      <c r="S118" s="203"/>
      <c r="T118" s="203"/>
      <c r="U118" s="203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48"/>
      <c r="AN118" s="48"/>
      <c r="AO118" s="48"/>
      <c r="AP118" s="48"/>
      <c r="AQ118" s="48"/>
    </row>
    <row r="119" spans="1:43" x14ac:dyDescent="0.25">
      <c r="A119" s="48"/>
      <c r="B119" s="48"/>
      <c r="C119" s="296"/>
      <c r="D119" s="296"/>
      <c r="E119" s="296"/>
      <c r="F119" s="296"/>
      <c r="G119" s="296"/>
      <c r="H119" s="296"/>
      <c r="I119" s="296"/>
      <c r="J119" s="296"/>
      <c r="K119" s="296"/>
      <c r="L119" s="296"/>
      <c r="M119" s="203"/>
      <c r="N119" s="203"/>
      <c r="O119" s="203"/>
      <c r="P119" s="203"/>
      <c r="Q119" s="203"/>
      <c r="R119" s="203"/>
      <c r="S119" s="203"/>
      <c r="T119" s="203"/>
      <c r="U119" s="203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48"/>
      <c r="AL119" s="48"/>
      <c r="AM119" s="48"/>
      <c r="AN119" s="48"/>
      <c r="AO119" s="48"/>
      <c r="AP119" s="48"/>
      <c r="AQ119" s="48"/>
    </row>
    <row r="120" spans="1:43" x14ac:dyDescent="0.25">
      <c r="A120" s="48"/>
      <c r="B120" s="48"/>
      <c r="C120" s="296"/>
      <c r="D120" s="296"/>
      <c r="E120" s="296"/>
      <c r="F120" s="296"/>
      <c r="G120" s="296"/>
      <c r="H120" s="296"/>
      <c r="I120" s="296"/>
      <c r="J120" s="296"/>
      <c r="K120" s="296"/>
      <c r="L120" s="296"/>
      <c r="M120" s="203"/>
      <c r="N120" s="203"/>
      <c r="O120" s="203"/>
      <c r="P120" s="203"/>
      <c r="Q120" s="203"/>
      <c r="R120" s="203"/>
      <c r="S120" s="203"/>
      <c r="T120" s="203"/>
      <c r="U120" s="203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48"/>
      <c r="AL120" s="48"/>
      <c r="AM120" s="48"/>
      <c r="AN120" s="48"/>
      <c r="AO120" s="48"/>
      <c r="AP120" s="48"/>
      <c r="AQ120" s="48"/>
    </row>
    <row r="121" spans="1:43" x14ac:dyDescent="0.25">
      <c r="A121" s="48"/>
      <c r="B121" s="48"/>
      <c r="C121" s="296"/>
      <c r="D121" s="296"/>
      <c r="E121" s="296"/>
      <c r="F121" s="296"/>
      <c r="G121" s="296"/>
      <c r="H121" s="296"/>
      <c r="I121" s="296"/>
      <c r="J121" s="296"/>
      <c r="K121" s="296"/>
      <c r="L121" s="296"/>
      <c r="M121" s="203"/>
      <c r="N121" s="203"/>
      <c r="O121" s="203"/>
      <c r="P121" s="203"/>
      <c r="Q121" s="203"/>
      <c r="R121" s="203"/>
      <c r="S121" s="203"/>
      <c r="T121" s="203"/>
      <c r="U121" s="203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48"/>
      <c r="AL121" s="48"/>
      <c r="AM121" s="48"/>
      <c r="AN121" s="48"/>
      <c r="AO121" s="48"/>
      <c r="AP121" s="48"/>
      <c r="AQ121" s="48"/>
    </row>
    <row r="122" spans="1:43" x14ac:dyDescent="0.25">
      <c r="A122" s="48"/>
      <c r="B122" s="48"/>
      <c r="C122" s="296"/>
      <c r="D122" s="296"/>
      <c r="E122" s="296"/>
      <c r="F122" s="296"/>
      <c r="G122" s="296"/>
      <c r="H122" s="296"/>
      <c r="I122" s="296"/>
      <c r="J122" s="296"/>
      <c r="K122" s="296"/>
      <c r="L122" s="296"/>
      <c r="M122" s="203"/>
      <c r="N122" s="203"/>
      <c r="O122" s="203"/>
      <c r="P122" s="203"/>
      <c r="Q122" s="203"/>
      <c r="R122" s="203"/>
      <c r="S122" s="203"/>
      <c r="T122" s="203"/>
      <c r="U122" s="203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48"/>
      <c r="AN122" s="48"/>
      <c r="AO122" s="48"/>
      <c r="AP122" s="48"/>
      <c r="AQ122" s="48"/>
    </row>
    <row r="123" spans="1:43" x14ac:dyDescent="0.25">
      <c r="A123" s="48"/>
      <c r="B123" s="48"/>
      <c r="C123" s="296"/>
      <c r="D123" s="296"/>
      <c r="E123" s="296"/>
      <c r="F123" s="296"/>
      <c r="G123" s="296"/>
      <c r="H123" s="296"/>
      <c r="I123" s="296"/>
      <c r="J123" s="296"/>
      <c r="K123" s="296"/>
      <c r="L123" s="296"/>
      <c r="M123" s="203"/>
      <c r="N123" s="203"/>
      <c r="O123" s="203"/>
      <c r="P123" s="203"/>
      <c r="Q123" s="203"/>
      <c r="R123" s="203"/>
      <c r="S123" s="203"/>
      <c r="T123" s="203"/>
      <c r="U123" s="203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  <c r="AJ123" s="48"/>
      <c r="AK123" s="48"/>
      <c r="AL123" s="48"/>
      <c r="AM123" s="48"/>
      <c r="AN123" s="48"/>
      <c r="AO123" s="48"/>
      <c r="AP123" s="48"/>
      <c r="AQ123" s="48"/>
    </row>
    <row r="124" spans="1:43" x14ac:dyDescent="0.25">
      <c r="A124" s="48"/>
      <c r="B124" s="48"/>
      <c r="C124" s="296"/>
      <c r="D124" s="296"/>
      <c r="E124" s="296"/>
      <c r="F124" s="296"/>
      <c r="G124" s="296"/>
      <c r="H124" s="296"/>
      <c r="I124" s="296"/>
      <c r="J124" s="296"/>
      <c r="K124" s="296"/>
      <c r="L124" s="296"/>
      <c r="M124" s="203"/>
      <c r="N124" s="203"/>
      <c r="O124" s="203"/>
      <c r="P124" s="203"/>
      <c r="Q124" s="203"/>
      <c r="R124" s="203"/>
      <c r="S124" s="203"/>
      <c r="T124" s="203"/>
      <c r="U124" s="203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  <c r="AM124" s="48"/>
      <c r="AN124" s="48"/>
      <c r="AO124" s="48"/>
      <c r="AP124" s="48"/>
      <c r="AQ124" s="48"/>
    </row>
    <row r="125" spans="1:43" x14ac:dyDescent="0.25">
      <c r="A125" s="48"/>
      <c r="B125" s="48"/>
      <c r="C125" s="296"/>
      <c r="D125" s="296"/>
      <c r="E125" s="296"/>
      <c r="F125" s="296"/>
      <c r="G125" s="296"/>
      <c r="H125" s="296"/>
      <c r="I125" s="296"/>
      <c r="J125" s="296"/>
      <c r="K125" s="296"/>
      <c r="L125" s="296"/>
      <c r="M125" s="203"/>
      <c r="N125" s="203"/>
      <c r="O125" s="203"/>
      <c r="P125" s="203"/>
      <c r="Q125" s="203"/>
      <c r="R125" s="203"/>
      <c r="S125" s="203"/>
      <c r="T125" s="203"/>
      <c r="U125" s="203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  <c r="AM125" s="48"/>
      <c r="AN125" s="48"/>
      <c r="AO125" s="48"/>
      <c r="AP125" s="48"/>
      <c r="AQ125" s="48"/>
    </row>
    <row r="126" spans="1:43" x14ac:dyDescent="0.25">
      <c r="A126" s="48"/>
      <c r="B126" s="48"/>
      <c r="C126" s="296"/>
      <c r="D126" s="296"/>
      <c r="E126" s="296"/>
      <c r="F126" s="296"/>
      <c r="G126" s="296"/>
      <c r="H126" s="296"/>
      <c r="I126" s="296"/>
      <c r="J126" s="296"/>
      <c r="K126" s="296"/>
      <c r="L126" s="296"/>
      <c r="M126" s="203"/>
      <c r="N126" s="203"/>
      <c r="O126" s="203"/>
      <c r="P126" s="203"/>
      <c r="Q126" s="203"/>
      <c r="R126" s="203"/>
      <c r="S126" s="203"/>
      <c r="T126" s="203"/>
      <c r="U126" s="203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48"/>
      <c r="AL126" s="48"/>
      <c r="AM126" s="48"/>
      <c r="AN126" s="48"/>
      <c r="AO126" s="48"/>
      <c r="AP126" s="48"/>
      <c r="AQ126" s="48"/>
    </row>
    <row r="127" spans="1:43" x14ac:dyDescent="0.25">
      <c r="A127" s="48"/>
      <c r="B127" s="48"/>
      <c r="C127" s="296"/>
      <c r="D127" s="296"/>
      <c r="E127" s="296"/>
      <c r="F127" s="296"/>
      <c r="G127" s="296"/>
      <c r="H127" s="296"/>
      <c r="I127" s="296"/>
      <c r="J127" s="296"/>
      <c r="K127" s="296"/>
      <c r="L127" s="296"/>
      <c r="M127" s="203"/>
      <c r="N127" s="203"/>
      <c r="O127" s="203"/>
      <c r="P127" s="203"/>
      <c r="Q127" s="203"/>
      <c r="R127" s="203"/>
      <c r="S127" s="203"/>
      <c r="T127" s="203"/>
      <c r="U127" s="203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48"/>
      <c r="AK127" s="48"/>
      <c r="AL127" s="48"/>
      <c r="AM127" s="48"/>
      <c r="AN127" s="48"/>
      <c r="AO127" s="48"/>
      <c r="AP127" s="48"/>
      <c r="AQ127" s="48"/>
    </row>
    <row r="128" spans="1:43" x14ac:dyDescent="0.25">
      <c r="A128" s="48"/>
      <c r="B128" s="48"/>
      <c r="C128" s="296"/>
      <c r="D128" s="296"/>
      <c r="E128" s="296"/>
      <c r="F128" s="296"/>
      <c r="G128" s="296"/>
      <c r="H128" s="296"/>
      <c r="I128" s="296"/>
      <c r="J128" s="296"/>
      <c r="K128" s="296"/>
      <c r="L128" s="296"/>
      <c r="M128" s="203"/>
      <c r="N128" s="203"/>
      <c r="O128" s="203"/>
      <c r="P128" s="203"/>
      <c r="Q128" s="203"/>
      <c r="R128" s="203"/>
      <c r="S128" s="203"/>
      <c r="T128" s="203"/>
      <c r="U128" s="203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48"/>
      <c r="AL128" s="48"/>
      <c r="AM128" s="48"/>
      <c r="AN128" s="48"/>
      <c r="AO128" s="48"/>
      <c r="AP128" s="48"/>
      <c r="AQ128" s="48"/>
    </row>
    <row r="129" spans="1:43" x14ac:dyDescent="0.25">
      <c r="A129" s="48"/>
      <c r="B129" s="48"/>
      <c r="C129" s="296"/>
      <c r="D129" s="296"/>
      <c r="E129" s="296"/>
      <c r="F129" s="296"/>
      <c r="G129" s="296"/>
      <c r="H129" s="296"/>
      <c r="I129" s="296"/>
      <c r="J129" s="296"/>
      <c r="K129" s="296"/>
      <c r="L129" s="296"/>
      <c r="M129" s="203"/>
      <c r="N129" s="203"/>
      <c r="O129" s="203"/>
      <c r="P129" s="203"/>
      <c r="Q129" s="203"/>
      <c r="R129" s="203"/>
      <c r="S129" s="203"/>
      <c r="T129" s="203"/>
      <c r="U129" s="203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  <c r="AI129" s="48"/>
      <c r="AJ129" s="48"/>
      <c r="AK129" s="48"/>
      <c r="AL129" s="48"/>
      <c r="AM129" s="48"/>
      <c r="AN129" s="48"/>
      <c r="AO129" s="48"/>
      <c r="AP129" s="48"/>
      <c r="AQ129" s="48"/>
    </row>
    <row r="130" spans="1:43" x14ac:dyDescent="0.25">
      <c r="A130" s="48"/>
      <c r="B130" s="48"/>
      <c r="C130" s="296"/>
      <c r="D130" s="296"/>
      <c r="E130" s="296"/>
      <c r="F130" s="296"/>
      <c r="G130" s="296"/>
      <c r="H130" s="296"/>
      <c r="I130" s="296"/>
      <c r="J130" s="296"/>
      <c r="K130" s="296"/>
      <c r="L130" s="296"/>
      <c r="M130" s="203"/>
      <c r="N130" s="203"/>
      <c r="O130" s="203"/>
      <c r="P130" s="203"/>
      <c r="Q130" s="203"/>
      <c r="R130" s="203"/>
      <c r="S130" s="203"/>
      <c r="T130" s="203"/>
      <c r="U130" s="203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48"/>
      <c r="AM130" s="48"/>
      <c r="AN130" s="48"/>
      <c r="AO130" s="48"/>
      <c r="AP130" s="48"/>
      <c r="AQ130" s="48"/>
    </row>
    <row r="131" spans="1:43" x14ac:dyDescent="0.25">
      <c r="A131" s="48"/>
      <c r="B131" s="48"/>
      <c r="C131" s="296"/>
      <c r="D131" s="296"/>
      <c r="E131" s="296"/>
      <c r="F131" s="296"/>
      <c r="G131" s="296"/>
      <c r="H131" s="296"/>
      <c r="I131" s="296"/>
      <c r="J131" s="296"/>
      <c r="K131" s="296"/>
      <c r="L131" s="296"/>
      <c r="M131" s="203"/>
      <c r="N131" s="203"/>
      <c r="O131" s="203"/>
      <c r="P131" s="203"/>
      <c r="Q131" s="203"/>
      <c r="R131" s="203"/>
      <c r="S131" s="203"/>
      <c r="T131" s="203"/>
      <c r="U131" s="203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48"/>
      <c r="AL131" s="48"/>
      <c r="AM131" s="48"/>
      <c r="AN131" s="48"/>
      <c r="AO131" s="48"/>
      <c r="AP131" s="48"/>
      <c r="AQ131" s="48"/>
    </row>
    <row r="132" spans="1:43" x14ac:dyDescent="0.25">
      <c r="A132" s="48"/>
      <c r="B132" s="48"/>
      <c r="C132" s="296"/>
      <c r="D132" s="296"/>
      <c r="E132" s="296"/>
      <c r="F132" s="296"/>
      <c r="G132" s="296"/>
      <c r="H132" s="296"/>
      <c r="I132" s="296"/>
      <c r="J132" s="296"/>
      <c r="K132" s="296"/>
      <c r="L132" s="296"/>
      <c r="M132" s="203"/>
      <c r="N132" s="203"/>
      <c r="O132" s="203"/>
      <c r="P132" s="203"/>
      <c r="Q132" s="203"/>
      <c r="R132" s="203"/>
      <c r="S132" s="203"/>
      <c r="T132" s="203"/>
      <c r="U132" s="203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48"/>
      <c r="AK132" s="48"/>
      <c r="AL132" s="48"/>
      <c r="AM132" s="48"/>
      <c r="AN132" s="48"/>
      <c r="AO132" s="48"/>
      <c r="AP132" s="48"/>
      <c r="AQ132" s="48"/>
    </row>
    <row r="133" spans="1:43" x14ac:dyDescent="0.25">
      <c r="A133" s="48"/>
      <c r="B133" s="48"/>
      <c r="C133" s="296"/>
      <c r="D133" s="296"/>
      <c r="E133" s="296"/>
      <c r="F133" s="296"/>
      <c r="G133" s="296"/>
      <c r="H133" s="296"/>
      <c r="I133" s="296"/>
      <c r="J133" s="296"/>
      <c r="K133" s="296"/>
      <c r="L133" s="296"/>
      <c r="M133" s="203"/>
      <c r="N133" s="203"/>
      <c r="O133" s="203"/>
      <c r="P133" s="203"/>
      <c r="Q133" s="203"/>
      <c r="R133" s="203"/>
      <c r="S133" s="203"/>
      <c r="T133" s="203"/>
      <c r="U133" s="203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  <c r="AK133" s="48"/>
      <c r="AL133" s="48"/>
      <c r="AM133" s="48"/>
      <c r="AN133" s="48"/>
      <c r="AO133" s="48"/>
      <c r="AP133" s="48"/>
      <c r="AQ133" s="48"/>
    </row>
    <row r="134" spans="1:43" x14ac:dyDescent="0.25">
      <c r="A134" s="48"/>
      <c r="B134" s="48"/>
      <c r="C134" s="296"/>
      <c r="D134" s="296"/>
      <c r="E134" s="296"/>
      <c r="F134" s="296"/>
      <c r="G134" s="296"/>
      <c r="H134" s="296"/>
      <c r="I134" s="296"/>
      <c r="J134" s="296"/>
      <c r="K134" s="296"/>
      <c r="L134" s="296"/>
      <c r="M134" s="203"/>
      <c r="N134" s="203"/>
      <c r="O134" s="203"/>
      <c r="P134" s="203"/>
      <c r="Q134" s="203"/>
      <c r="R134" s="203"/>
      <c r="S134" s="203"/>
      <c r="T134" s="203"/>
      <c r="U134" s="203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  <c r="AK134" s="48"/>
      <c r="AL134" s="48"/>
      <c r="AM134" s="48"/>
      <c r="AN134" s="48"/>
      <c r="AO134" s="48"/>
      <c r="AP134" s="48"/>
      <c r="AQ134" s="48"/>
    </row>
    <row r="135" spans="1:43" x14ac:dyDescent="0.25">
      <c r="A135" s="48"/>
      <c r="B135" s="48"/>
      <c r="C135" s="296"/>
      <c r="D135" s="296"/>
      <c r="E135" s="296"/>
      <c r="F135" s="296"/>
      <c r="G135" s="296"/>
      <c r="H135" s="296"/>
      <c r="I135" s="296"/>
      <c r="J135" s="296"/>
      <c r="K135" s="296"/>
      <c r="L135" s="296"/>
      <c r="M135" s="203"/>
      <c r="N135" s="203"/>
      <c r="O135" s="203"/>
      <c r="P135" s="203"/>
      <c r="Q135" s="203"/>
      <c r="R135" s="203"/>
      <c r="S135" s="203"/>
      <c r="T135" s="203"/>
      <c r="U135" s="203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  <c r="AI135" s="48"/>
      <c r="AJ135" s="48"/>
      <c r="AK135" s="48"/>
      <c r="AL135" s="48"/>
      <c r="AM135" s="48"/>
      <c r="AN135" s="48"/>
      <c r="AO135" s="48"/>
      <c r="AP135" s="48"/>
      <c r="AQ135" s="48"/>
    </row>
    <row r="136" spans="1:43" x14ac:dyDescent="0.25">
      <c r="A136" s="48"/>
      <c r="B136" s="48"/>
      <c r="C136" s="296"/>
      <c r="D136" s="296"/>
      <c r="E136" s="296"/>
      <c r="F136" s="296"/>
      <c r="G136" s="296"/>
      <c r="H136" s="296"/>
      <c r="I136" s="296"/>
      <c r="J136" s="296"/>
      <c r="K136" s="296"/>
      <c r="L136" s="296"/>
      <c r="M136" s="203"/>
      <c r="N136" s="203"/>
      <c r="O136" s="203"/>
      <c r="P136" s="203"/>
      <c r="Q136" s="203"/>
      <c r="R136" s="203"/>
      <c r="S136" s="203"/>
      <c r="T136" s="203"/>
      <c r="U136" s="203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  <c r="AJ136" s="48"/>
      <c r="AK136" s="48"/>
      <c r="AL136" s="48"/>
      <c r="AM136" s="48"/>
      <c r="AN136" s="48"/>
      <c r="AO136" s="48"/>
      <c r="AP136" s="48"/>
      <c r="AQ136" s="48"/>
    </row>
    <row r="137" spans="1:43" x14ac:dyDescent="0.25">
      <c r="A137" s="48"/>
      <c r="B137" s="48"/>
      <c r="C137" s="296"/>
      <c r="D137" s="296"/>
      <c r="E137" s="296"/>
      <c r="F137" s="296"/>
      <c r="G137" s="296"/>
      <c r="H137" s="296"/>
      <c r="I137" s="296"/>
      <c r="J137" s="296"/>
      <c r="K137" s="296"/>
      <c r="L137" s="296"/>
      <c r="M137" s="203"/>
      <c r="N137" s="203"/>
      <c r="O137" s="203"/>
      <c r="P137" s="203"/>
      <c r="Q137" s="203"/>
      <c r="R137" s="203"/>
      <c r="S137" s="203"/>
      <c r="T137" s="203"/>
      <c r="U137" s="203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  <c r="AK137" s="48"/>
      <c r="AL137" s="48"/>
      <c r="AM137" s="48"/>
      <c r="AN137" s="48"/>
      <c r="AO137" s="48"/>
      <c r="AP137" s="48"/>
      <c r="AQ137" s="48"/>
    </row>
    <row r="138" spans="1:43" x14ac:dyDescent="0.25">
      <c r="A138" s="48"/>
      <c r="B138" s="48"/>
      <c r="C138" s="296"/>
      <c r="D138" s="296"/>
      <c r="E138" s="296"/>
      <c r="F138" s="296"/>
      <c r="G138" s="296"/>
      <c r="H138" s="296"/>
      <c r="I138" s="296"/>
      <c r="J138" s="296"/>
      <c r="K138" s="296"/>
      <c r="L138" s="296"/>
      <c r="M138" s="203"/>
      <c r="N138" s="203"/>
      <c r="O138" s="203"/>
      <c r="P138" s="203"/>
      <c r="Q138" s="203"/>
      <c r="R138" s="203"/>
      <c r="S138" s="203"/>
      <c r="T138" s="203"/>
      <c r="U138" s="203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  <c r="AJ138" s="48"/>
      <c r="AK138" s="48"/>
      <c r="AL138" s="48"/>
      <c r="AM138" s="48"/>
      <c r="AN138" s="48"/>
      <c r="AO138" s="48"/>
      <c r="AP138" s="48"/>
      <c r="AQ138" s="48"/>
    </row>
    <row r="139" spans="1:43" x14ac:dyDescent="0.25">
      <c r="A139" s="48"/>
      <c r="B139" s="48"/>
      <c r="C139" s="296"/>
      <c r="D139" s="296"/>
      <c r="E139" s="296"/>
      <c r="F139" s="296"/>
      <c r="G139" s="296"/>
      <c r="H139" s="296"/>
      <c r="I139" s="296"/>
      <c r="J139" s="296"/>
      <c r="K139" s="296"/>
      <c r="L139" s="296"/>
      <c r="M139" s="203"/>
      <c r="N139" s="203"/>
      <c r="O139" s="203"/>
      <c r="P139" s="203"/>
      <c r="Q139" s="203"/>
      <c r="R139" s="203"/>
      <c r="S139" s="203"/>
      <c r="T139" s="203"/>
      <c r="U139" s="203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48"/>
      <c r="AK139" s="48"/>
      <c r="AL139" s="48"/>
      <c r="AM139" s="48"/>
      <c r="AN139" s="48"/>
      <c r="AO139" s="48"/>
      <c r="AP139" s="48"/>
      <c r="AQ139" s="48"/>
    </row>
    <row r="140" spans="1:43" x14ac:dyDescent="0.25">
      <c r="A140" s="48"/>
      <c r="B140" s="48"/>
      <c r="C140" s="296"/>
      <c r="D140" s="296"/>
      <c r="E140" s="296"/>
      <c r="F140" s="296"/>
      <c r="G140" s="296"/>
      <c r="H140" s="296"/>
      <c r="I140" s="296"/>
      <c r="J140" s="296"/>
      <c r="K140" s="296"/>
      <c r="L140" s="296"/>
      <c r="M140" s="203"/>
      <c r="N140" s="203"/>
      <c r="O140" s="203"/>
      <c r="P140" s="203"/>
      <c r="Q140" s="203"/>
      <c r="R140" s="203"/>
      <c r="S140" s="203"/>
      <c r="T140" s="203"/>
      <c r="U140" s="203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48"/>
      <c r="AL140" s="48"/>
      <c r="AM140" s="48"/>
      <c r="AN140" s="48"/>
      <c r="AO140" s="48"/>
      <c r="AP140" s="48"/>
      <c r="AQ140" s="48"/>
    </row>
    <row r="141" spans="1:43" x14ac:dyDescent="0.25">
      <c r="A141" s="48"/>
      <c r="B141" s="48"/>
      <c r="C141" s="296"/>
      <c r="D141" s="296"/>
      <c r="E141" s="296"/>
      <c r="F141" s="296"/>
      <c r="G141" s="296"/>
      <c r="H141" s="296"/>
      <c r="I141" s="296"/>
      <c r="J141" s="296"/>
      <c r="K141" s="296"/>
      <c r="L141" s="296"/>
      <c r="M141" s="203"/>
      <c r="N141" s="203"/>
      <c r="O141" s="203"/>
      <c r="P141" s="203"/>
      <c r="Q141" s="203"/>
      <c r="R141" s="203"/>
      <c r="S141" s="203"/>
      <c r="T141" s="203"/>
      <c r="U141" s="203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  <c r="AJ141" s="48"/>
      <c r="AK141" s="48"/>
      <c r="AL141" s="48"/>
      <c r="AM141" s="48"/>
      <c r="AN141" s="48"/>
      <c r="AO141" s="48"/>
      <c r="AP141" s="48"/>
      <c r="AQ141" s="48"/>
    </row>
    <row r="142" spans="1:43" x14ac:dyDescent="0.25">
      <c r="A142" s="48"/>
      <c r="B142" s="48"/>
      <c r="C142" s="296"/>
      <c r="D142" s="296"/>
      <c r="E142" s="296"/>
      <c r="F142" s="296"/>
      <c r="G142" s="296"/>
      <c r="H142" s="296"/>
      <c r="I142" s="296"/>
      <c r="J142" s="296"/>
      <c r="K142" s="296"/>
      <c r="L142" s="296"/>
      <c r="M142" s="203"/>
      <c r="N142" s="203"/>
      <c r="O142" s="203"/>
      <c r="P142" s="203"/>
      <c r="Q142" s="203"/>
      <c r="R142" s="203"/>
      <c r="S142" s="203"/>
      <c r="T142" s="203"/>
      <c r="U142" s="203"/>
      <c r="V142" s="48"/>
      <c r="W142" s="48"/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  <c r="AI142" s="48"/>
      <c r="AJ142" s="48"/>
      <c r="AK142" s="48"/>
      <c r="AL142" s="48"/>
      <c r="AM142" s="48"/>
      <c r="AN142" s="48"/>
      <c r="AO142" s="48"/>
      <c r="AP142" s="48"/>
      <c r="AQ142" s="48"/>
    </row>
    <row r="143" spans="1:43" x14ac:dyDescent="0.25">
      <c r="A143" s="48"/>
      <c r="B143" s="48"/>
      <c r="C143" s="296"/>
      <c r="D143" s="296"/>
      <c r="E143" s="296"/>
      <c r="F143" s="296"/>
      <c r="G143" s="296"/>
      <c r="H143" s="296"/>
      <c r="I143" s="296"/>
      <c r="J143" s="296"/>
      <c r="K143" s="296"/>
      <c r="L143" s="296"/>
      <c r="M143" s="203"/>
      <c r="N143" s="203"/>
      <c r="O143" s="203"/>
      <c r="P143" s="203"/>
      <c r="Q143" s="203"/>
      <c r="R143" s="203"/>
      <c r="S143" s="203"/>
      <c r="T143" s="203"/>
      <c r="U143" s="203"/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  <c r="AI143" s="48"/>
      <c r="AJ143" s="48"/>
      <c r="AK143" s="48"/>
      <c r="AL143" s="48"/>
      <c r="AM143" s="48"/>
      <c r="AN143" s="48"/>
      <c r="AO143" s="48"/>
      <c r="AP143" s="48"/>
      <c r="AQ143" s="48"/>
    </row>
    <row r="144" spans="1:43" x14ac:dyDescent="0.25">
      <c r="A144" s="48"/>
      <c r="B144" s="48"/>
      <c r="C144" s="296"/>
      <c r="D144" s="296"/>
      <c r="E144" s="296"/>
      <c r="F144" s="296"/>
      <c r="G144" s="296"/>
      <c r="H144" s="296"/>
      <c r="I144" s="296"/>
      <c r="J144" s="296"/>
      <c r="K144" s="296"/>
      <c r="L144" s="296"/>
      <c r="M144" s="203"/>
      <c r="N144" s="203"/>
      <c r="O144" s="203"/>
      <c r="P144" s="203"/>
      <c r="Q144" s="203"/>
      <c r="R144" s="203"/>
      <c r="S144" s="203"/>
      <c r="T144" s="203"/>
      <c r="U144" s="203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  <c r="AI144" s="48"/>
      <c r="AJ144" s="48"/>
      <c r="AK144" s="48"/>
      <c r="AL144" s="48"/>
      <c r="AM144" s="48"/>
      <c r="AN144" s="48"/>
      <c r="AO144" s="48"/>
      <c r="AP144" s="48"/>
      <c r="AQ144" s="48"/>
    </row>
    <row r="145" spans="1:43" x14ac:dyDescent="0.25">
      <c r="A145" s="48"/>
      <c r="B145" s="48"/>
      <c r="C145" s="296"/>
      <c r="D145" s="296"/>
      <c r="E145" s="296"/>
      <c r="F145" s="296"/>
      <c r="G145" s="296"/>
      <c r="H145" s="296"/>
      <c r="I145" s="296"/>
      <c r="J145" s="296"/>
      <c r="K145" s="296"/>
      <c r="L145" s="296"/>
      <c r="M145" s="203"/>
      <c r="N145" s="203"/>
      <c r="O145" s="203"/>
      <c r="P145" s="203"/>
      <c r="Q145" s="203"/>
      <c r="R145" s="203"/>
      <c r="S145" s="203"/>
      <c r="T145" s="203"/>
      <c r="U145" s="203"/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  <c r="AG145" s="48"/>
      <c r="AH145" s="48"/>
      <c r="AI145" s="48"/>
      <c r="AJ145" s="48"/>
      <c r="AK145" s="48"/>
      <c r="AL145" s="48"/>
      <c r="AM145" s="48"/>
      <c r="AN145" s="48"/>
      <c r="AO145" s="48"/>
      <c r="AP145" s="48"/>
      <c r="AQ145" s="48"/>
    </row>
    <row r="146" spans="1:43" x14ac:dyDescent="0.25">
      <c r="A146" s="48"/>
      <c r="B146" s="48"/>
      <c r="C146" s="296"/>
      <c r="D146" s="296"/>
      <c r="E146" s="296"/>
      <c r="F146" s="296"/>
      <c r="G146" s="296"/>
      <c r="H146" s="296"/>
      <c r="I146" s="296"/>
      <c r="J146" s="296"/>
      <c r="K146" s="296"/>
      <c r="L146" s="296"/>
      <c r="M146" s="203"/>
      <c r="N146" s="203"/>
      <c r="O146" s="203"/>
      <c r="P146" s="203"/>
      <c r="Q146" s="203"/>
      <c r="R146" s="203"/>
      <c r="S146" s="203"/>
      <c r="T146" s="203"/>
      <c r="U146" s="203"/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  <c r="AI146" s="48"/>
      <c r="AJ146" s="48"/>
      <c r="AK146" s="48"/>
      <c r="AL146" s="48"/>
      <c r="AM146" s="48"/>
      <c r="AN146" s="48"/>
      <c r="AO146" s="48"/>
      <c r="AP146" s="48"/>
      <c r="AQ146" s="48"/>
    </row>
    <row r="147" spans="1:43" x14ac:dyDescent="0.25">
      <c r="A147" s="48"/>
      <c r="B147" s="48"/>
      <c r="C147" s="296"/>
      <c r="D147" s="296"/>
      <c r="E147" s="296"/>
      <c r="F147" s="296"/>
      <c r="G147" s="296"/>
      <c r="H147" s="296"/>
      <c r="I147" s="296"/>
      <c r="J147" s="296"/>
      <c r="K147" s="296"/>
      <c r="L147" s="296"/>
      <c r="M147" s="203"/>
      <c r="N147" s="203"/>
      <c r="O147" s="203"/>
      <c r="P147" s="203"/>
      <c r="Q147" s="203"/>
      <c r="R147" s="203"/>
      <c r="S147" s="203"/>
      <c r="T147" s="203"/>
      <c r="U147" s="203"/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8"/>
      <c r="AG147" s="48"/>
      <c r="AH147" s="48"/>
      <c r="AI147" s="48"/>
      <c r="AJ147" s="48"/>
      <c r="AK147" s="48"/>
      <c r="AL147" s="48"/>
      <c r="AM147" s="48"/>
      <c r="AN147" s="48"/>
      <c r="AO147" s="48"/>
      <c r="AP147" s="48"/>
      <c r="AQ147" s="48"/>
    </row>
    <row r="148" spans="1:43" x14ac:dyDescent="0.25">
      <c r="A148" s="48"/>
      <c r="B148" s="48"/>
      <c r="C148" s="296"/>
      <c r="D148" s="296"/>
      <c r="E148" s="296"/>
      <c r="F148" s="296"/>
      <c r="G148" s="296"/>
      <c r="H148" s="296"/>
      <c r="I148" s="296"/>
      <c r="J148" s="296"/>
      <c r="K148" s="296"/>
      <c r="L148" s="296"/>
      <c r="M148" s="203"/>
      <c r="N148" s="203"/>
      <c r="O148" s="203"/>
      <c r="P148" s="203"/>
      <c r="Q148" s="203"/>
      <c r="R148" s="203"/>
      <c r="S148" s="203"/>
      <c r="T148" s="203"/>
      <c r="U148" s="203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  <c r="AI148" s="48"/>
      <c r="AJ148" s="48"/>
      <c r="AK148" s="48"/>
      <c r="AL148" s="48"/>
      <c r="AM148" s="48"/>
      <c r="AN148" s="48"/>
      <c r="AO148" s="48"/>
      <c r="AP148" s="48"/>
      <c r="AQ148" s="48"/>
    </row>
    <row r="149" spans="1:43" x14ac:dyDescent="0.25">
      <c r="A149" s="48"/>
      <c r="B149" s="48"/>
      <c r="C149" s="296"/>
      <c r="D149" s="296"/>
      <c r="E149" s="296"/>
      <c r="F149" s="296"/>
      <c r="G149" s="296"/>
      <c r="H149" s="296"/>
      <c r="I149" s="296"/>
      <c r="J149" s="296"/>
      <c r="K149" s="296"/>
      <c r="L149" s="296"/>
      <c r="M149" s="203"/>
      <c r="N149" s="203"/>
      <c r="O149" s="203"/>
      <c r="P149" s="203"/>
      <c r="Q149" s="203"/>
      <c r="R149" s="203"/>
      <c r="S149" s="203"/>
      <c r="T149" s="203"/>
      <c r="U149" s="203"/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  <c r="AI149" s="48"/>
      <c r="AJ149" s="48"/>
      <c r="AK149" s="48"/>
      <c r="AL149" s="48"/>
      <c r="AM149" s="48"/>
      <c r="AN149" s="48"/>
      <c r="AO149" s="48"/>
      <c r="AP149" s="48"/>
      <c r="AQ149" s="48"/>
    </row>
    <row r="150" spans="1:43" x14ac:dyDescent="0.25">
      <c r="A150" s="48"/>
      <c r="B150" s="48"/>
      <c r="C150" s="296"/>
      <c r="D150" s="296"/>
      <c r="E150" s="296"/>
      <c r="F150" s="296"/>
      <c r="G150" s="296"/>
      <c r="H150" s="296"/>
      <c r="I150" s="296"/>
      <c r="J150" s="296"/>
      <c r="K150" s="296"/>
      <c r="L150" s="296"/>
      <c r="M150" s="203"/>
      <c r="N150" s="203"/>
      <c r="O150" s="203"/>
      <c r="P150" s="203"/>
      <c r="Q150" s="203"/>
      <c r="R150" s="203"/>
      <c r="S150" s="203"/>
      <c r="T150" s="203"/>
      <c r="U150" s="203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  <c r="AJ150" s="48"/>
      <c r="AK150" s="48"/>
      <c r="AL150" s="48"/>
      <c r="AM150" s="48"/>
      <c r="AN150" s="48"/>
      <c r="AO150" s="48"/>
      <c r="AP150" s="48"/>
      <c r="AQ150" s="48"/>
    </row>
    <row r="151" spans="1:43" x14ac:dyDescent="0.25">
      <c r="A151" s="48"/>
      <c r="B151" s="48"/>
      <c r="C151" s="296"/>
      <c r="D151" s="296"/>
      <c r="E151" s="296"/>
      <c r="F151" s="296"/>
      <c r="G151" s="296"/>
      <c r="H151" s="296"/>
      <c r="I151" s="296"/>
      <c r="J151" s="296"/>
      <c r="K151" s="296"/>
      <c r="L151" s="296"/>
      <c r="M151" s="203"/>
      <c r="N151" s="203"/>
      <c r="O151" s="203"/>
      <c r="P151" s="203"/>
      <c r="Q151" s="203"/>
      <c r="R151" s="203"/>
      <c r="S151" s="203"/>
      <c r="T151" s="203"/>
      <c r="U151" s="203"/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  <c r="AG151" s="48"/>
      <c r="AH151" s="48"/>
      <c r="AI151" s="48"/>
      <c r="AJ151" s="48"/>
      <c r="AK151" s="48"/>
      <c r="AL151" s="48"/>
      <c r="AM151" s="48"/>
      <c r="AN151" s="48"/>
      <c r="AO151" s="48"/>
      <c r="AP151" s="48"/>
      <c r="AQ151" s="48"/>
    </row>
    <row r="152" spans="1:43" x14ac:dyDescent="0.25">
      <c r="A152" s="48"/>
      <c r="B152" s="48"/>
      <c r="C152" s="296"/>
      <c r="D152" s="296"/>
      <c r="E152" s="296"/>
      <c r="F152" s="296"/>
      <c r="G152" s="296"/>
      <c r="H152" s="296"/>
      <c r="I152" s="296"/>
      <c r="J152" s="296"/>
      <c r="K152" s="296"/>
      <c r="L152" s="296"/>
      <c r="M152" s="203"/>
      <c r="N152" s="203"/>
      <c r="O152" s="203"/>
      <c r="P152" s="203"/>
      <c r="Q152" s="203"/>
      <c r="R152" s="203"/>
      <c r="S152" s="203"/>
      <c r="T152" s="203"/>
      <c r="U152" s="203"/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  <c r="AI152" s="48"/>
      <c r="AJ152" s="48"/>
      <c r="AK152" s="48"/>
      <c r="AL152" s="48"/>
      <c r="AM152" s="48"/>
      <c r="AN152" s="48"/>
      <c r="AO152" s="48"/>
      <c r="AP152" s="48"/>
      <c r="AQ152" s="48"/>
    </row>
    <row r="153" spans="1:43" x14ac:dyDescent="0.25">
      <c r="A153" s="48"/>
      <c r="B153" s="48"/>
      <c r="C153" s="296"/>
      <c r="D153" s="296"/>
      <c r="E153" s="296"/>
      <c r="F153" s="296"/>
      <c r="G153" s="296"/>
      <c r="H153" s="296"/>
      <c r="I153" s="296"/>
      <c r="J153" s="296"/>
      <c r="K153" s="296"/>
      <c r="L153" s="296"/>
      <c r="M153" s="203"/>
      <c r="N153" s="203"/>
      <c r="O153" s="203"/>
      <c r="P153" s="203"/>
      <c r="Q153" s="203"/>
      <c r="R153" s="203"/>
      <c r="S153" s="203"/>
      <c r="T153" s="203"/>
      <c r="U153" s="203"/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  <c r="AG153" s="48"/>
      <c r="AH153" s="48"/>
      <c r="AI153" s="48"/>
      <c r="AJ153" s="48"/>
      <c r="AK153" s="48"/>
      <c r="AL153" s="48"/>
      <c r="AM153" s="48"/>
      <c r="AN153" s="48"/>
      <c r="AO153" s="48"/>
      <c r="AP153" s="48"/>
      <c r="AQ153" s="48"/>
    </row>
    <row r="154" spans="1:43" x14ac:dyDescent="0.25">
      <c r="A154" s="48"/>
      <c r="B154" s="48"/>
      <c r="C154" s="296"/>
      <c r="D154" s="296"/>
      <c r="E154" s="296"/>
      <c r="F154" s="296"/>
      <c r="G154" s="296"/>
      <c r="H154" s="296"/>
      <c r="I154" s="296"/>
      <c r="J154" s="296"/>
      <c r="K154" s="296"/>
      <c r="L154" s="296"/>
      <c r="M154" s="203"/>
      <c r="N154" s="203"/>
      <c r="O154" s="203"/>
      <c r="P154" s="203"/>
      <c r="Q154" s="203"/>
      <c r="R154" s="203"/>
      <c r="S154" s="203"/>
      <c r="T154" s="203"/>
      <c r="U154" s="203"/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  <c r="AJ154" s="48"/>
      <c r="AK154" s="48"/>
      <c r="AL154" s="48"/>
      <c r="AM154" s="48"/>
      <c r="AN154" s="48"/>
      <c r="AO154" s="48"/>
      <c r="AP154" s="48"/>
      <c r="AQ154" s="48"/>
    </row>
    <row r="155" spans="1:43" x14ac:dyDescent="0.25">
      <c r="A155" s="48"/>
      <c r="B155" s="48"/>
      <c r="C155" s="296"/>
      <c r="D155" s="296"/>
      <c r="E155" s="296"/>
      <c r="F155" s="296"/>
      <c r="G155" s="296"/>
      <c r="H155" s="296"/>
      <c r="I155" s="296"/>
      <c r="J155" s="296"/>
      <c r="K155" s="296"/>
      <c r="L155" s="296"/>
      <c r="M155" s="203"/>
      <c r="N155" s="203"/>
      <c r="O155" s="203"/>
      <c r="P155" s="203"/>
      <c r="Q155" s="203"/>
      <c r="R155" s="203"/>
      <c r="S155" s="203"/>
      <c r="T155" s="203"/>
      <c r="U155" s="203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48"/>
      <c r="AH155" s="48"/>
      <c r="AI155" s="48"/>
      <c r="AJ155" s="48"/>
      <c r="AK155" s="48"/>
      <c r="AL155" s="48"/>
      <c r="AM155" s="48"/>
      <c r="AN155" s="48"/>
      <c r="AO155" s="48"/>
      <c r="AP155" s="48"/>
      <c r="AQ155" s="48"/>
    </row>
    <row r="156" spans="1:43" x14ac:dyDescent="0.25">
      <c r="A156" s="48"/>
      <c r="B156" s="48"/>
      <c r="C156" s="296"/>
      <c r="D156" s="296"/>
      <c r="E156" s="296"/>
      <c r="F156" s="296"/>
      <c r="G156" s="296"/>
      <c r="H156" s="296"/>
      <c r="I156" s="296"/>
      <c r="J156" s="296"/>
      <c r="K156" s="296"/>
      <c r="L156" s="296"/>
      <c r="M156" s="203"/>
      <c r="N156" s="203"/>
      <c r="O156" s="203"/>
      <c r="P156" s="203"/>
      <c r="Q156" s="203"/>
      <c r="R156" s="203"/>
      <c r="S156" s="203"/>
      <c r="T156" s="203"/>
      <c r="U156" s="203"/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  <c r="AI156" s="48"/>
      <c r="AJ156" s="48"/>
      <c r="AK156" s="48"/>
      <c r="AL156" s="48"/>
      <c r="AM156" s="48"/>
      <c r="AN156" s="48"/>
      <c r="AO156" s="48"/>
      <c r="AP156" s="48"/>
      <c r="AQ156" s="48"/>
    </row>
    <row r="157" spans="1:43" x14ac:dyDescent="0.25">
      <c r="A157" s="48"/>
      <c r="B157" s="48"/>
      <c r="C157" s="296"/>
      <c r="D157" s="296"/>
      <c r="E157" s="296"/>
      <c r="F157" s="296"/>
      <c r="G157" s="296"/>
      <c r="H157" s="296"/>
      <c r="I157" s="296"/>
      <c r="J157" s="296"/>
      <c r="K157" s="296"/>
      <c r="L157" s="296"/>
      <c r="M157" s="203"/>
      <c r="N157" s="203"/>
      <c r="O157" s="203"/>
      <c r="P157" s="203"/>
      <c r="Q157" s="203"/>
      <c r="R157" s="203"/>
      <c r="S157" s="203"/>
      <c r="T157" s="203"/>
      <c r="U157" s="203"/>
      <c r="V157" s="48"/>
      <c r="W157" s="48"/>
      <c r="X157" s="48"/>
      <c r="Y157" s="48"/>
      <c r="Z157" s="48"/>
      <c r="AA157" s="48"/>
      <c r="AB157" s="48"/>
      <c r="AC157" s="48"/>
      <c r="AD157" s="48"/>
      <c r="AE157" s="48"/>
      <c r="AF157" s="48"/>
      <c r="AG157" s="48"/>
      <c r="AH157" s="48"/>
      <c r="AI157" s="48"/>
      <c r="AJ157" s="48"/>
      <c r="AK157" s="48"/>
      <c r="AL157" s="48"/>
      <c r="AM157" s="48"/>
      <c r="AN157" s="48"/>
      <c r="AO157" s="48"/>
      <c r="AP157" s="48"/>
      <c r="AQ157" s="48"/>
    </row>
    <row r="158" spans="1:43" x14ac:dyDescent="0.25">
      <c r="A158" s="48"/>
      <c r="B158" s="48"/>
      <c r="C158" s="296"/>
      <c r="D158" s="296"/>
      <c r="E158" s="296"/>
      <c r="F158" s="296"/>
      <c r="G158" s="296"/>
      <c r="H158" s="296"/>
      <c r="I158" s="296"/>
      <c r="J158" s="296"/>
      <c r="K158" s="296"/>
      <c r="L158" s="296"/>
      <c r="M158" s="203"/>
      <c r="N158" s="203"/>
      <c r="O158" s="203"/>
      <c r="P158" s="203"/>
      <c r="Q158" s="203"/>
      <c r="R158" s="203"/>
      <c r="S158" s="203"/>
      <c r="T158" s="203"/>
      <c r="U158" s="203"/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8"/>
      <c r="AG158" s="48"/>
      <c r="AH158" s="48"/>
      <c r="AI158" s="48"/>
      <c r="AJ158" s="48"/>
      <c r="AK158" s="48"/>
      <c r="AL158" s="48"/>
      <c r="AM158" s="48"/>
      <c r="AN158" s="48"/>
      <c r="AO158" s="48"/>
      <c r="AP158" s="48"/>
      <c r="AQ158" s="48"/>
    </row>
    <row r="159" spans="1:43" x14ac:dyDescent="0.25">
      <c r="A159" s="48"/>
      <c r="B159" s="48"/>
      <c r="C159" s="296"/>
      <c r="D159" s="296"/>
      <c r="E159" s="296"/>
      <c r="F159" s="296"/>
      <c r="G159" s="296"/>
      <c r="H159" s="296"/>
      <c r="I159" s="296"/>
      <c r="J159" s="296"/>
      <c r="K159" s="296"/>
      <c r="L159" s="296"/>
      <c r="M159" s="203"/>
      <c r="N159" s="203"/>
      <c r="O159" s="203"/>
      <c r="P159" s="203"/>
      <c r="Q159" s="203"/>
      <c r="R159" s="203"/>
      <c r="S159" s="203"/>
      <c r="T159" s="203"/>
      <c r="U159" s="203"/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  <c r="AG159" s="48"/>
      <c r="AH159" s="48"/>
      <c r="AI159" s="48"/>
      <c r="AJ159" s="48"/>
      <c r="AK159" s="48"/>
      <c r="AL159" s="48"/>
      <c r="AM159" s="48"/>
      <c r="AN159" s="48"/>
      <c r="AO159" s="48"/>
      <c r="AP159" s="48"/>
      <c r="AQ159" s="48"/>
    </row>
    <row r="160" spans="1:43" x14ac:dyDescent="0.25">
      <c r="A160" s="48"/>
      <c r="B160" s="48"/>
      <c r="C160" s="296"/>
      <c r="D160" s="296"/>
      <c r="E160" s="296"/>
      <c r="F160" s="296"/>
      <c r="G160" s="296"/>
      <c r="H160" s="296"/>
      <c r="I160" s="296"/>
      <c r="J160" s="296"/>
      <c r="K160" s="296"/>
      <c r="L160" s="296"/>
      <c r="M160" s="203"/>
      <c r="N160" s="203"/>
      <c r="O160" s="203"/>
      <c r="P160" s="203"/>
      <c r="Q160" s="203"/>
      <c r="R160" s="203"/>
      <c r="S160" s="203"/>
      <c r="T160" s="203"/>
      <c r="U160" s="203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48"/>
      <c r="AH160" s="48"/>
      <c r="AI160" s="48"/>
      <c r="AJ160" s="48"/>
      <c r="AK160" s="48"/>
      <c r="AL160" s="48"/>
      <c r="AM160" s="48"/>
      <c r="AN160" s="48"/>
      <c r="AO160" s="48"/>
      <c r="AP160" s="48"/>
      <c r="AQ160" s="48"/>
    </row>
    <row r="161" spans="1:43" x14ac:dyDescent="0.25">
      <c r="A161" s="48"/>
      <c r="B161" s="48"/>
      <c r="C161" s="296"/>
      <c r="D161" s="296"/>
      <c r="E161" s="296"/>
      <c r="F161" s="296"/>
      <c r="G161" s="296"/>
      <c r="H161" s="296"/>
      <c r="I161" s="296"/>
      <c r="J161" s="296"/>
      <c r="K161" s="296"/>
      <c r="L161" s="296"/>
      <c r="M161" s="203"/>
      <c r="N161" s="203"/>
      <c r="O161" s="203"/>
      <c r="P161" s="203"/>
      <c r="Q161" s="203"/>
      <c r="R161" s="203"/>
      <c r="S161" s="203"/>
      <c r="T161" s="203"/>
      <c r="U161" s="203"/>
      <c r="V161" s="48"/>
      <c r="W161" s="48"/>
      <c r="X161" s="48"/>
      <c r="Y161" s="48"/>
      <c r="Z161" s="48"/>
      <c r="AA161" s="48"/>
      <c r="AB161" s="48"/>
      <c r="AC161" s="48"/>
      <c r="AD161" s="48"/>
      <c r="AE161" s="48"/>
      <c r="AF161" s="48"/>
      <c r="AG161" s="48"/>
      <c r="AH161" s="48"/>
      <c r="AI161" s="48"/>
      <c r="AJ161" s="48"/>
      <c r="AK161" s="48"/>
      <c r="AL161" s="48"/>
      <c r="AM161" s="48"/>
      <c r="AN161" s="48"/>
      <c r="AO161" s="48"/>
      <c r="AP161" s="48"/>
      <c r="AQ161" s="48"/>
    </row>
    <row r="162" spans="1:43" x14ac:dyDescent="0.25">
      <c r="A162" s="48"/>
      <c r="B162" s="48"/>
      <c r="C162" s="296"/>
      <c r="D162" s="296"/>
      <c r="E162" s="296"/>
      <c r="F162" s="296"/>
      <c r="G162" s="296"/>
      <c r="H162" s="296"/>
      <c r="I162" s="296"/>
      <c r="J162" s="296"/>
      <c r="K162" s="296"/>
      <c r="L162" s="296"/>
      <c r="M162" s="203"/>
      <c r="N162" s="203"/>
      <c r="O162" s="203"/>
      <c r="P162" s="203"/>
      <c r="Q162" s="203"/>
      <c r="R162" s="203"/>
      <c r="S162" s="203"/>
      <c r="T162" s="203"/>
      <c r="U162" s="203"/>
      <c r="V162" s="48"/>
      <c r="W162" s="48"/>
      <c r="X162" s="48"/>
      <c r="Y162" s="48"/>
      <c r="Z162" s="48"/>
      <c r="AA162" s="48"/>
      <c r="AB162" s="48"/>
      <c r="AC162" s="48"/>
      <c r="AD162" s="48"/>
      <c r="AE162" s="48"/>
      <c r="AF162" s="48"/>
      <c r="AG162" s="48"/>
      <c r="AH162" s="48"/>
      <c r="AI162" s="48"/>
      <c r="AJ162" s="48"/>
      <c r="AK162" s="48"/>
      <c r="AL162" s="48"/>
      <c r="AM162" s="48"/>
      <c r="AN162" s="48"/>
      <c r="AO162" s="48"/>
      <c r="AP162" s="48"/>
      <c r="AQ162" s="48"/>
    </row>
    <row r="163" spans="1:43" x14ac:dyDescent="0.25">
      <c r="A163" s="48"/>
      <c r="B163" s="48"/>
      <c r="C163" s="296"/>
      <c r="D163" s="296"/>
      <c r="E163" s="296"/>
      <c r="F163" s="296"/>
      <c r="G163" s="296"/>
      <c r="H163" s="296"/>
      <c r="I163" s="296"/>
      <c r="J163" s="296"/>
      <c r="K163" s="296"/>
      <c r="L163" s="296"/>
      <c r="M163" s="203"/>
      <c r="N163" s="203"/>
      <c r="O163" s="203"/>
      <c r="P163" s="203"/>
      <c r="Q163" s="203"/>
      <c r="R163" s="203"/>
      <c r="S163" s="203"/>
      <c r="T163" s="203"/>
      <c r="U163" s="203"/>
      <c r="V163" s="48"/>
      <c r="W163" s="48"/>
      <c r="X163" s="48"/>
      <c r="Y163" s="48"/>
      <c r="Z163" s="48"/>
      <c r="AA163" s="48"/>
      <c r="AB163" s="48"/>
      <c r="AC163" s="48"/>
      <c r="AD163" s="48"/>
      <c r="AE163" s="48"/>
      <c r="AF163" s="48"/>
      <c r="AG163" s="48"/>
      <c r="AH163" s="48"/>
      <c r="AI163" s="48"/>
      <c r="AJ163" s="48"/>
      <c r="AK163" s="48"/>
      <c r="AL163" s="48"/>
      <c r="AM163" s="48"/>
      <c r="AN163" s="48"/>
      <c r="AO163" s="48"/>
      <c r="AP163" s="48"/>
      <c r="AQ163" s="48"/>
    </row>
    <row r="164" spans="1:43" x14ac:dyDescent="0.25">
      <c r="A164" s="48"/>
      <c r="B164" s="48"/>
      <c r="C164" s="296"/>
      <c r="D164" s="296"/>
      <c r="E164" s="296"/>
      <c r="F164" s="296"/>
      <c r="G164" s="296"/>
      <c r="H164" s="296"/>
      <c r="I164" s="296"/>
      <c r="J164" s="296"/>
      <c r="K164" s="296"/>
      <c r="L164" s="296"/>
      <c r="M164" s="203"/>
      <c r="N164" s="203"/>
      <c r="O164" s="203"/>
      <c r="P164" s="203"/>
      <c r="Q164" s="203"/>
      <c r="R164" s="203"/>
      <c r="S164" s="203"/>
      <c r="T164" s="203"/>
      <c r="U164" s="203"/>
      <c r="V164" s="48"/>
      <c r="W164" s="48"/>
      <c r="X164" s="48"/>
      <c r="Y164" s="48"/>
      <c r="Z164" s="48"/>
      <c r="AA164" s="48"/>
      <c r="AB164" s="48"/>
      <c r="AC164" s="48"/>
      <c r="AD164" s="48"/>
      <c r="AE164" s="48"/>
      <c r="AF164" s="48"/>
      <c r="AG164" s="48"/>
      <c r="AH164" s="48"/>
      <c r="AI164" s="48"/>
      <c r="AJ164" s="48"/>
      <c r="AK164" s="48"/>
      <c r="AL164" s="48"/>
      <c r="AM164" s="48"/>
      <c r="AN164" s="48"/>
      <c r="AO164" s="48"/>
      <c r="AP164" s="48"/>
      <c r="AQ164" s="48"/>
    </row>
    <row r="165" spans="1:43" x14ac:dyDescent="0.25">
      <c r="A165" s="48"/>
      <c r="B165" s="48"/>
      <c r="C165" s="296"/>
      <c r="D165" s="296"/>
      <c r="E165" s="296"/>
      <c r="F165" s="296"/>
      <c r="G165" s="296"/>
      <c r="H165" s="296"/>
      <c r="I165" s="296"/>
      <c r="J165" s="296"/>
      <c r="K165" s="296"/>
      <c r="L165" s="296"/>
      <c r="M165" s="203"/>
      <c r="N165" s="203"/>
      <c r="O165" s="203"/>
      <c r="P165" s="203"/>
      <c r="Q165" s="203"/>
      <c r="R165" s="203"/>
      <c r="S165" s="203"/>
      <c r="T165" s="203"/>
      <c r="U165" s="203"/>
      <c r="V165" s="48"/>
      <c r="W165" s="48"/>
      <c r="X165" s="48"/>
      <c r="Y165" s="48"/>
      <c r="Z165" s="48"/>
      <c r="AA165" s="48"/>
      <c r="AB165" s="48"/>
      <c r="AC165" s="48"/>
      <c r="AD165" s="48"/>
      <c r="AE165" s="48"/>
      <c r="AF165" s="48"/>
      <c r="AG165" s="48"/>
      <c r="AH165" s="48"/>
      <c r="AI165" s="48"/>
      <c r="AJ165" s="48"/>
      <c r="AK165" s="48"/>
      <c r="AL165" s="48"/>
      <c r="AM165" s="48"/>
      <c r="AN165" s="48"/>
      <c r="AO165" s="48"/>
      <c r="AP165" s="48"/>
      <c r="AQ165" s="48"/>
    </row>
    <row r="166" spans="1:43" x14ac:dyDescent="0.25">
      <c r="A166" s="48"/>
      <c r="B166" s="48"/>
      <c r="C166" s="296"/>
      <c r="D166" s="296"/>
      <c r="E166" s="296"/>
      <c r="F166" s="296"/>
      <c r="G166" s="296"/>
      <c r="H166" s="296"/>
      <c r="I166" s="296"/>
      <c r="J166" s="296"/>
      <c r="K166" s="296"/>
      <c r="L166" s="296"/>
      <c r="M166" s="203"/>
      <c r="N166" s="203"/>
      <c r="O166" s="203"/>
      <c r="P166" s="203"/>
      <c r="Q166" s="203"/>
      <c r="R166" s="203"/>
      <c r="S166" s="203"/>
      <c r="T166" s="203"/>
      <c r="U166" s="203"/>
      <c r="V166" s="48"/>
      <c r="W166" s="48"/>
      <c r="X166" s="48"/>
      <c r="Y166" s="48"/>
      <c r="Z166" s="48"/>
      <c r="AA166" s="48"/>
      <c r="AB166" s="48"/>
      <c r="AC166" s="48"/>
      <c r="AD166" s="48"/>
      <c r="AE166" s="48"/>
      <c r="AF166" s="48"/>
      <c r="AG166" s="48"/>
      <c r="AH166" s="48"/>
      <c r="AI166" s="48"/>
      <c r="AJ166" s="48"/>
      <c r="AK166" s="48"/>
      <c r="AL166" s="48"/>
      <c r="AM166" s="48"/>
      <c r="AN166" s="48"/>
      <c r="AO166" s="48"/>
      <c r="AP166" s="48"/>
      <c r="AQ166" s="48"/>
    </row>
    <row r="167" spans="1:43" x14ac:dyDescent="0.25">
      <c r="A167" s="48"/>
      <c r="B167" s="48"/>
      <c r="C167" s="296"/>
      <c r="D167" s="296"/>
      <c r="E167" s="296"/>
      <c r="F167" s="296"/>
      <c r="G167" s="296"/>
      <c r="H167" s="296"/>
      <c r="I167" s="296"/>
      <c r="J167" s="296"/>
      <c r="K167" s="296"/>
      <c r="L167" s="296"/>
      <c r="M167" s="203"/>
      <c r="N167" s="203"/>
      <c r="O167" s="203"/>
      <c r="P167" s="203"/>
      <c r="Q167" s="203"/>
      <c r="R167" s="203"/>
      <c r="S167" s="203"/>
      <c r="T167" s="203"/>
      <c r="U167" s="203"/>
      <c r="V167" s="48"/>
      <c r="W167" s="48"/>
      <c r="X167" s="48"/>
      <c r="Y167" s="48"/>
      <c r="Z167" s="48"/>
      <c r="AA167" s="48"/>
      <c r="AB167" s="48"/>
      <c r="AC167" s="48"/>
      <c r="AD167" s="48"/>
      <c r="AE167" s="48"/>
      <c r="AF167" s="48"/>
      <c r="AG167" s="48"/>
      <c r="AH167" s="48"/>
      <c r="AI167" s="48"/>
      <c r="AJ167" s="48"/>
      <c r="AK167" s="48"/>
      <c r="AL167" s="48"/>
      <c r="AM167" s="48"/>
      <c r="AN167" s="48"/>
      <c r="AO167" s="48"/>
      <c r="AP167" s="48"/>
      <c r="AQ167" s="48"/>
    </row>
    <row r="168" spans="1:43" x14ac:dyDescent="0.25">
      <c r="A168" s="48"/>
      <c r="B168" s="48"/>
      <c r="C168" s="296"/>
      <c r="D168" s="296"/>
      <c r="E168" s="296"/>
      <c r="F168" s="296"/>
      <c r="G168" s="296"/>
      <c r="H168" s="296"/>
      <c r="I168" s="296"/>
      <c r="J168" s="296"/>
      <c r="K168" s="296"/>
      <c r="L168" s="296"/>
      <c r="M168" s="203"/>
      <c r="N168" s="203"/>
      <c r="O168" s="203"/>
      <c r="P168" s="203"/>
      <c r="Q168" s="203"/>
      <c r="R168" s="203"/>
      <c r="S168" s="203"/>
      <c r="T168" s="203"/>
      <c r="U168" s="203"/>
      <c r="V168" s="48"/>
      <c r="W168" s="48"/>
      <c r="X168" s="48"/>
      <c r="Y168" s="48"/>
      <c r="Z168" s="48"/>
      <c r="AA168" s="48"/>
      <c r="AB168" s="48"/>
      <c r="AC168" s="48"/>
      <c r="AD168" s="48"/>
      <c r="AE168" s="48"/>
      <c r="AF168" s="48"/>
      <c r="AG168" s="48"/>
      <c r="AH168" s="48"/>
      <c r="AI168" s="48"/>
      <c r="AJ168" s="48"/>
      <c r="AK168" s="48"/>
      <c r="AL168" s="48"/>
      <c r="AM168" s="48"/>
      <c r="AN168" s="48"/>
      <c r="AO168" s="48"/>
      <c r="AP168" s="48"/>
      <c r="AQ168" s="48"/>
    </row>
    <row r="169" spans="1:43" x14ac:dyDescent="0.25">
      <c r="A169" s="48"/>
      <c r="B169" s="48"/>
      <c r="C169" s="296"/>
      <c r="D169" s="296"/>
      <c r="E169" s="296"/>
      <c r="F169" s="296"/>
      <c r="G169" s="296"/>
      <c r="H169" s="296"/>
      <c r="I169" s="296"/>
      <c r="J169" s="296"/>
      <c r="K169" s="296"/>
      <c r="L169" s="296"/>
      <c r="M169" s="203"/>
      <c r="N169" s="203"/>
      <c r="O169" s="203"/>
      <c r="P169" s="203"/>
      <c r="Q169" s="203"/>
      <c r="R169" s="203"/>
      <c r="S169" s="203"/>
      <c r="T169" s="203"/>
      <c r="U169" s="203"/>
      <c r="V169" s="48"/>
      <c r="W169" s="48"/>
      <c r="X169" s="48"/>
      <c r="Y169" s="48"/>
      <c r="Z169" s="48"/>
      <c r="AA169" s="48"/>
      <c r="AB169" s="48"/>
      <c r="AC169" s="48"/>
      <c r="AD169" s="48"/>
      <c r="AE169" s="48"/>
      <c r="AF169" s="48"/>
      <c r="AG169" s="48"/>
      <c r="AH169" s="48"/>
      <c r="AI169" s="48"/>
      <c r="AJ169" s="48"/>
      <c r="AK169" s="48"/>
      <c r="AL169" s="48"/>
      <c r="AM169" s="48"/>
      <c r="AN169" s="48"/>
      <c r="AO169" s="48"/>
      <c r="AP169" s="48"/>
      <c r="AQ169" s="48"/>
    </row>
    <row r="170" spans="1:43" x14ac:dyDescent="0.25">
      <c r="A170" s="48"/>
      <c r="B170" s="48"/>
      <c r="C170" s="296"/>
      <c r="D170" s="296"/>
      <c r="E170" s="296"/>
      <c r="F170" s="296"/>
      <c r="G170" s="296"/>
      <c r="H170" s="296"/>
      <c r="I170" s="296"/>
      <c r="J170" s="296"/>
      <c r="K170" s="296"/>
      <c r="L170" s="296"/>
      <c r="M170" s="203"/>
      <c r="N170" s="203"/>
      <c r="O170" s="203"/>
      <c r="P170" s="203"/>
      <c r="Q170" s="203"/>
      <c r="R170" s="203"/>
      <c r="S170" s="203"/>
      <c r="T170" s="203"/>
      <c r="U170" s="203"/>
      <c r="V170" s="48"/>
      <c r="W170" s="48"/>
      <c r="X170" s="48"/>
      <c r="Y170" s="48"/>
      <c r="Z170" s="48"/>
      <c r="AA170" s="48"/>
      <c r="AB170" s="48"/>
      <c r="AC170" s="48"/>
      <c r="AD170" s="48"/>
      <c r="AE170" s="48"/>
      <c r="AF170" s="48"/>
      <c r="AG170" s="48"/>
      <c r="AH170" s="48"/>
      <c r="AI170" s="48"/>
      <c r="AJ170" s="48"/>
      <c r="AK170" s="48"/>
      <c r="AL170" s="48"/>
      <c r="AM170" s="48"/>
      <c r="AN170" s="48"/>
      <c r="AO170" s="48"/>
      <c r="AP170" s="48"/>
      <c r="AQ170" s="48"/>
    </row>
    <row r="171" spans="1:43" x14ac:dyDescent="0.25">
      <c r="A171" s="48"/>
      <c r="B171" s="48"/>
      <c r="C171" s="296"/>
      <c r="D171" s="296"/>
      <c r="E171" s="296"/>
      <c r="F171" s="296"/>
      <c r="G171" s="296"/>
      <c r="H171" s="296"/>
      <c r="I171" s="296"/>
      <c r="J171" s="296"/>
      <c r="K171" s="296"/>
      <c r="L171" s="296"/>
      <c r="M171" s="203"/>
      <c r="N171" s="203"/>
      <c r="O171" s="203"/>
      <c r="P171" s="203"/>
      <c r="Q171" s="203"/>
      <c r="R171" s="203"/>
      <c r="S171" s="203"/>
      <c r="T171" s="203"/>
      <c r="U171" s="203"/>
      <c r="V171" s="48"/>
      <c r="W171" s="48"/>
      <c r="X171" s="48"/>
      <c r="Y171" s="48"/>
      <c r="Z171" s="48"/>
      <c r="AA171" s="48"/>
      <c r="AB171" s="48"/>
      <c r="AC171" s="48"/>
      <c r="AD171" s="48"/>
      <c r="AE171" s="48"/>
      <c r="AF171" s="48"/>
      <c r="AG171" s="48"/>
      <c r="AH171" s="48"/>
      <c r="AI171" s="48"/>
      <c r="AJ171" s="48"/>
      <c r="AK171" s="48"/>
      <c r="AL171" s="48"/>
      <c r="AM171" s="48"/>
      <c r="AN171" s="48"/>
      <c r="AO171" s="48"/>
      <c r="AP171" s="48"/>
      <c r="AQ171" s="48"/>
    </row>
    <row r="172" spans="1:43" x14ac:dyDescent="0.25">
      <c r="A172" s="48"/>
      <c r="B172" s="48"/>
      <c r="C172" s="296"/>
      <c r="D172" s="296"/>
      <c r="E172" s="296"/>
      <c r="F172" s="296"/>
      <c r="G172" s="296"/>
      <c r="H172" s="296"/>
      <c r="I172" s="296"/>
      <c r="J172" s="296"/>
      <c r="K172" s="296"/>
      <c r="L172" s="296"/>
      <c r="M172" s="203"/>
      <c r="N172" s="203"/>
      <c r="O172" s="203"/>
      <c r="P172" s="203"/>
      <c r="Q172" s="203"/>
      <c r="R172" s="203"/>
      <c r="S172" s="203"/>
      <c r="T172" s="203"/>
      <c r="U172" s="203"/>
      <c r="V172" s="48"/>
      <c r="W172" s="48"/>
      <c r="X172" s="48"/>
      <c r="Y172" s="48"/>
      <c r="Z172" s="48"/>
      <c r="AA172" s="48"/>
      <c r="AB172" s="48"/>
      <c r="AC172" s="48"/>
      <c r="AD172" s="48"/>
      <c r="AE172" s="48"/>
      <c r="AF172" s="48"/>
      <c r="AG172" s="48"/>
      <c r="AH172" s="48"/>
      <c r="AI172" s="48"/>
      <c r="AJ172" s="48"/>
      <c r="AK172" s="48"/>
      <c r="AL172" s="48"/>
      <c r="AM172" s="48"/>
      <c r="AN172" s="48"/>
      <c r="AO172" s="48"/>
      <c r="AP172" s="48"/>
      <c r="AQ172" s="48"/>
    </row>
    <row r="173" spans="1:43" x14ac:dyDescent="0.25">
      <c r="A173" s="48"/>
      <c r="B173" s="48"/>
      <c r="C173" s="296"/>
      <c r="D173" s="296"/>
      <c r="E173" s="296"/>
      <c r="F173" s="296"/>
      <c r="G173" s="296"/>
      <c r="H173" s="296"/>
      <c r="I173" s="296"/>
      <c r="J173" s="296"/>
      <c r="K173" s="296"/>
      <c r="L173" s="296"/>
      <c r="M173" s="203"/>
      <c r="N173" s="203"/>
      <c r="O173" s="203"/>
      <c r="P173" s="203"/>
      <c r="Q173" s="203"/>
      <c r="R173" s="203"/>
      <c r="S173" s="203"/>
      <c r="T173" s="203"/>
      <c r="U173" s="203"/>
      <c r="V173" s="48"/>
      <c r="W173" s="48"/>
      <c r="X173" s="48"/>
      <c r="Y173" s="48"/>
      <c r="Z173" s="48"/>
      <c r="AA173" s="48"/>
      <c r="AB173" s="48"/>
      <c r="AC173" s="48"/>
      <c r="AD173" s="48"/>
      <c r="AE173" s="48"/>
      <c r="AF173" s="48"/>
      <c r="AG173" s="48"/>
      <c r="AH173" s="48"/>
      <c r="AI173" s="48"/>
      <c r="AJ173" s="48"/>
      <c r="AK173" s="48"/>
      <c r="AL173" s="48"/>
      <c r="AM173" s="48"/>
      <c r="AN173" s="48"/>
      <c r="AO173" s="48"/>
      <c r="AP173" s="48"/>
      <c r="AQ173" s="48"/>
    </row>
    <row r="174" spans="1:43" x14ac:dyDescent="0.25">
      <c r="A174" s="48"/>
      <c r="B174" s="48"/>
      <c r="C174" s="296"/>
      <c r="D174" s="296"/>
      <c r="E174" s="296"/>
      <c r="F174" s="296"/>
      <c r="G174" s="296"/>
      <c r="H174" s="296"/>
      <c r="I174" s="296"/>
      <c r="J174" s="296"/>
      <c r="K174" s="296"/>
      <c r="L174" s="296"/>
      <c r="M174" s="203"/>
      <c r="N174" s="203"/>
      <c r="O174" s="203"/>
      <c r="P174" s="203"/>
      <c r="Q174" s="203"/>
      <c r="R174" s="203"/>
      <c r="S174" s="203"/>
      <c r="T174" s="203"/>
      <c r="U174" s="203"/>
      <c r="V174" s="48"/>
      <c r="W174" s="48"/>
      <c r="X174" s="48"/>
      <c r="Y174" s="48"/>
      <c r="Z174" s="48"/>
      <c r="AA174" s="48"/>
      <c r="AB174" s="48"/>
      <c r="AC174" s="48"/>
      <c r="AD174" s="48"/>
      <c r="AE174" s="48"/>
      <c r="AF174" s="48"/>
      <c r="AG174" s="48"/>
      <c r="AH174" s="48"/>
      <c r="AI174" s="48"/>
      <c r="AJ174" s="48"/>
      <c r="AK174" s="48"/>
      <c r="AL174" s="48"/>
      <c r="AM174" s="48"/>
      <c r="AN174" s="48"/>
      <c r="AO174" s="48"/>
      <c r="AP174" s="48"/>
      <c r="AQ174" s="48"/>
    </row>
    <row r="175" spans="1:43" x14ac:dyDescent="0.25">
      <c r="A175" s="48"/>
      <c r="B175" s="48"/>
      <c r="C175" s="296"/>
      <c r="D175" s="296"/>
      <c r="E175" s="296"/>
      <c r="F175" s="296"/>
      <c r="G175" s="296"/>
      <c r="H175" s="296"/>
      <c r="I175" s="296"/>
      <c r="J175" s="296"/>
      <c r="K175" s="296"/>
      <c r="L175" s="296"/>
      <c r="M175" s="203"/>
      <c r="N175" s="203"/>
      <c r="O175" s="203"/>
      <c r="P175" s="203"/>
      <c r="Q175" s="203"/>
      <c r="R175" s="203"/>
      <c r="S175" s="203"/>
      <c r="T175" s="203"/>
      <c r="U175" s="203"/>
      <c r="V175" s="48"/>
      <c r="W175" s="48"/>
      <c r="X175" s="48"/>
      <c r="Y175" s="48"/>
      <c r="Z175" s="48"/>
      <c r="AA175" s="48"/>
      <c r="AB175" s="48"/>
      <c r="AC175" s="48"/>
      <c r="AD175" s="48"/>
      <c r="AE175" s="48"/>
      <c r="AF175" s="48"/>
      <c r="AG175" s="48"/>
      <c r="AH175" s="48"/>
      <c r="AI175" s="48"/>
      <c r="AJ175" s="48"/>
      <c r="AK175" s="48"/>
      <c r="AL175" s="48"/>
      <c r="AM175" s="48"/>
      <c r="AN175" s="48"/>
      <c r="AO175" s="48"/>
      <c r="AP175" s="48"/>
      <c r="AQ175" s="48"/>
    </row>
    <row r="176" spans="1:43" x14ac:dyDescent="0.25">
      <c r="A176" s="48"/>
      <c r="B176" s="48"/>
      <c r="C176" s="296"/>
      <c r="D176" s="296"/>
      <c r="E176" s="296"/>
      <c r="F176" s="296"/>
      <c r="G176" s="296"/>
      <c r="H176" s="296"/>
      <c r="I176" s="296"/>
      <c r="J176" s="296"/>
      <c r="K176" s="296"/>
      <c r="L176" s="296"/>
      <c r="M176" s="203"/>
      <c r="N176" s="203"/>
      <c r="O176" s="203"/>
      <c r="P176" s="203"/>
      <c r="Q176" s="203"/>
      <c r="R176" s="203"/>
      <c r="S176" s="203"/>
      <c r="T176" s="203"/>
      <c r="U176" s="203"/>
      <c r="V176" s="48"/>
      <c r="W176" s="48"/>
      <c r="X176" s="48"/>
      <c r="Y176" s="48"/>
      <c r="Z176" s="48"/>
      <c r="AA176" s="48"/>
      <c r="AB176" s="48"/>
      <c r="AC176" s="48"/>
      <c r="AD176" s="48"/>
      <c r="AE176" s="48"/>
      <c r="AF176" s="48"/>
      <c r="AG176" s="48"/>
      <c r="AH176" s="48"/>
      <c r="AI176" s="48"/>
      <c r="AJ176" s="48"/>
      <c r="AK176" s="48"/>
      <c r="AL176" s="48"/>
      <c r="AM176" s="48"/>
      <c r="AN176" s="48"/>
      <c r="AO176" s="48"/>
      <c r="AP176" s="48"/>
      <c r="AQ176" s="48"/>
    </row>
    <row r="177" spans="1:43" x14ac:dyDescent="0.25">
      <c r="A177" s="48"/>
      <c r="B177" s="48"/>
      <c r="C177" s="296"/>
      <c r="D177" s="296"/>
      <c r="E177" s="296"/>
      <c r="F177" s="296"/>
      <c r="G177" s="296"/>
      <c r="H177" s="296"/>
      <c r="I177" s="296"/>
      <c r="J177" s="296"/>
      <c r="K177" s="296"/>
      <c r="L177" s="296"/>
      <c r="M177" s="203"/>
      <c r="N177" s="203"/>
      <c r="O177" s="203"/>
      <c r="P177" s="203"/>
      <c r="Q177" s="203"/>
      <c r="R177" s="203"/>
      <c r="S177" s="203"/>
      <c r="T177" s="203"/>
      <c r="U177" s="203"/>
      <c r="V177" s="48"/>
      <c r="W177" s="48"/>
      <c r="X177" s="48"/>
      <c r="Y177" s="48"/>
      <c r="Z177" s="48"/>
      <c r="AA177" s="48"/>
      <c r="AB177" s="48"/>
      <c r="AC177" s="48"/>
      <c r="AD177" s="48"/>
      <c r="AE177" s="48"/>
      <c r="AF177" s="48"/>
      <c r="AG177" s="48"/>
      <c r="AH177" s="48"/>
      <c r="AI177" s="48"/>
      <c r="AJ177" s="48"/>
      <c r="AK177" s="48"/>
      <c r="AL177" s="48"/>
      <c r="AM177" s="48"/>
      <c r="AN177" s="48"/>
      <c r="AO177" s="48"/>
      <c r="AP177" s="48"/>
      <c r="AQ177" s="48"/>
    </row>
    <row r="178" spans="1:43" x14ac:dyDescent="0.25">
      <c r="A178" s="48"/>
      <c r="B178" s="48"/>
      <c r="C178" s="296"/>
      <c r="D178" s="296"/>
      <c r="E178" s="296"/>
      <c r="F178" s="296"/>
      <c r="G178" s="296"/>
      <c r="H178" s="296"/>
      <c r="I178" s="296"/>
      <c r="J178" s="296"/>
      <c r="K178" s="296"/>
      <c r="L178" s="296"/>
      <c r="M178" s="203"/>
      <c r="N178" s="203"/>
      <c r="O178" s="203"/>
      <c r="P178" s="203"/>
      <c r="Q178" s="203"/>
      <c r="R178" s="203"/>
      <c r="S178" s="203"/>
      <c r="T178" s="203"/>
      <c r="U178" s="203"/>
      <c r="V178" s="48"/>
      <c r="W178" s="48"/>
      <c r="X178" s="48"/>
      <c r="Y178" s="48"/>
      <c r="Z178" s="48"/>
      <c r="AA178" s="48"/>
      <c r="AB178" s="48"/>
      <c r="AC178" s="48"/>
      <c r="AD178" s="48"/>
      <c r="AE178" s="48"/>
      <c r="AF178" s="48"/>
      <c r="AG178" s="48"/>
      <c r="AH178" s="48"/>
      <c r="AI178" s="48"/>
      <c r="AJ178" s="48"/>
      <c r="AK178" s="48"/>
      <c r="AL178" s="48"/>
      <c r="AM178" s="48"/>
      <c r="AN178" s="48"/>
      <c r="AO178" s="48"/>
      <c r="AP178" s="48"/>
      <c r="AQ178" s="48"/>
    </row>
    <row r="179" spans="1:43" x14ac:dyDescent="0.25">
      <c r="A179" s="48"/>
      <c r="B179" s="48"/>
      <c r="C179" s="296"/>
      <c r="D179" s="296"/>
      <c r="E179" s="296"/>
      <c r="F179" s="296"/>
      <c r="G179" s="296"/>
      <c r="H179" s="296"/>
      <c r="I179" s="296"/>
      <c r="J179" s="296"/>
      <c r="K179" s="296"/>
      <c r="L179" s="296"/>
      <c r="M179" s="203"/>
      <c r="N179" s="203"/>
      <c r="O179" s="203"/>
      <c r="P179" s="203"/>
      <c r="Q179" s="203"/>
      <c r="R179" s="203"/>
      <c r="S179" s="203"/>
      <c r="T179" s="203"/>
      <c r="U179" s="203"/>
      <c r="V179" s="48"/>
      <c r="W179" s="48"/>
      <c r="X179" s="48"/>
      <c r="Y179" s="48"/>
      <c r="Z179" s="48"/>
      <c r="AA179" s="48"/>
      <c r="AB179" s="48"/>
      <c r="AC179" s="48"/>
      <c r="AD179" s="48"/>
      <c r="AE179" s="48"/>
      <c r="AF179" s="48"/>
      <c r="AG179" s="48"/>
      <c r="AH179" s="48"/>
      <c r="AI179" s="48"/>
      <c r="AJ179" s="48"/>
      <c r="AK179" s="48"/>
      <c r="AL179" s="48"/>
      <c r="AM179" s="48"/>
      <c r="AN179" s="48"/>
      <c r="AO179" s="48"/>
      <c r="AP179" s="48"/>
      <c r="AQ179" s="48"/>
    </row>
    <row r="180" spans="1:43" x14ac:dyDescent="0.25">
      <c r="A180" s="48"/>
      <c r="B180" s="48"/>
      <c r="C180" s="296"/>
      <c r="D180" s="296"/>
      <c r="E180" s="296"/>
      <c r="F180" s="296"/>
      <c r="G180" s="296"/>
      <c r="H180" s="296"/>
      <c r="I180" s="296"/>
      <c r="J180" s="296"/>
      <c r="K180" s="296"/>
      <c r="L180" s="296"/>
      <c r="M180" s="203"/>
      <c r="N180" s="203"/>
      <c r="O180" s="203"/>
      <c r="P180" s="203"/>
      <c r="Q180" s="203"/>
      <c r="R180" s="203"/>
      <c r="S180" s="203"/>
      <c r="T180" s="203"/>
      <c r="U180" s="203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48"/>
      <c r="AG180" s="48"/>
      <c r="AH180" s="48"/>
      <c r="AI180" s="48"/>
      <c r="AJ180" s="48"/>
      <c r="AK180" s="48"/>
      <c r="AL180" s="48"/>
      <c r="AM180" s="48"/>
      <c r="AN180" s="48"/>
      <c r="AO180" s="48"/>
      <c r="AP180" s="48"/>
      <c r="AQ180" s="48"/>
    </row>
    <row r="181" spans="1:43" x14ac:dyDescent="0.25">
      <c r="A181" s="48"/>
      <c r="B181" s="48"/>
      <c r="C181" s="296"/>
      <c r="D181" s="296"/>
      <c r="E181" s="296"/>
      <c r="F181" s="296"/>
      <c r="G181" s="296"/>
      <c r="H181" s="296"/>
      <c r="I181" s="296"/>
      <c r="J181" s="296"/>
      <c r="K181" s="296"/>
      <c r="L181" s="296"/>
      <c r="M181" s="203"/>
      <c r="N181" s="203"/>
      <c r="O181" s="203"/>
      <c r="P181" s="203"/>
      <c r="Q181" s="203"/>
      <c r="R181" s="203"/>
      <c r="S181" s="203"/>
      <c r="T181" s="203"/>
      <c r="U181" s="203"/>
      <c r="V181" s="48"/>
      <c r="W181" s="48"/>
      <c r="X181" s="48"/>
      <c r="Y181" s="48"/>
      <c r="Z181" s="48"/>
      <c r="AA181" s="48"/>
      <c r="AB181" s="48"/>
      <c r="AC181" s="48"/>
      <c r="AD181" s="48"/>
      <c r="AE181" s="48"/>
      <c r="AF181" s="48"/>
      <c r="AG181" s="48"/>
      <c r="AH181" s="48"/>
      <c r="AI181" s="48"/>
      <c r="AJ181" s="48"/>
      <c r="AK181" s="48"/>
      <c r="AL181" s="48"/>
      <c r="AM181" s="48"/>
      <c r="AN181" s="48"/>
      <c r="AO181" s="48"/>
      <c r="AP181" s="48"/>
      <c r="AQ181" s="48"/>
    </row>
    <row r="182" spans="1:43" x14ac:dyDescent="0.25">
      <c r="A182" s="48"/>
      <c r="B182" s="48"/>
      <c r="C182" s="296"/>
      <c r="D182" s="296"/>
      <c r="E182" s="296"/>
      <c r="F182" s="296"/>
      <c r="G182" s="296"/>
      <c r="H182" s="296"/>
      <c r="I182" s="296"/>
      <c r="J182" s="296"/>
      <c r="K182" s="296"/>
      <c r="L182" s="296"/>
      <c r="M182" s="203"/>
      <c r="N182" s="203"/>
      <c r="O182" s="203"/>
      <c r="P182" s="203"/>
      <c r="Q182" s="203"/>
      <c r="R182" s="203"/>
      <c r="S182" s="203"/>
      <c r="T182" s="203"/>
      <c r="U182" s="203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 s="48"/>
      <c r="AJ182" s="48"/>
      <c r="AK182" s="48"/>
      <c r="AL182" s="48"/>
      <c r="AM182" s="48"/>
      <c r="AN182" s="48"/>
      <c r="AO182" s="48"/>
      <c r="AP182" s="48"/>
      <c r="AQ182" s="48"/>
    </row>
    <row r="183" spans="1:43" x14ac:dyDescent="0.25">
      <c r="A183" s="48"/>
      <c r="B183" s="48"/>
      <c r="C183" s="296"/>
      <c r="D183" s="296"/>
      <c r="E183" s="296"/>
      <c r="F183" s="296"/>
      <c r="G183" s="296"/>
      <c r="H183" s="296"/>
      <c r="I183" s="296"/>
      <c r="J183" s="296"/>
      <c r="K183" s="296"/>
      <c r="L183" s="296"/>
      <c r="M183" s="203"/>
      <c r="N183" s="203"/>
      <c r="O183" s="203"/>
      <c r="P183" s="203"/>
      <c r="Q183" s="203"/>
      <c r="R183" s="203"/>
      <c r="S183" s="203"/>
      <c r="T183" s="203"/>
      <c r="U183" s="203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48"/>
      <c r="AG183" s="48"/>
      <c r="AH183" s="48"/>
      <c r="AI183" s="48"/>
      <c r="AJ183" s="48"/>
      <c r="AK183" s="48"/>
      <c r="AL183" s="48"/>
      <c r="AM183" s="48"/>
      <c r="AN183" s="48"/>
      <c r="AO183" s="48"/>
      <c r="AP183" s="48"/>
      <c r="AQ183" s="48"/>
    </row>
    <row r="184" spans="1:43" x14ac:dyDescent="0.25">
      <c r="A184" s="48"/>
      <c r="B184" s="48"/>
      <c r="C184" s="296"/>
      <c r="D184" s="296"/>
      <c r="E184" s="296"/>
      <c r="F184" s="296"/>
      <c r="G184" s="296"/>
      <c r="H184" s="296"/>
      <c r="I184" s="296"/>
      <c r="J184" s="296"/>
      <c r="K184" s="296"/>
      <c r="L184" s="296"/>
      <c r="M184" s="203"/>
      <c r="N184" s="203"/>
      <c r="O184" s="203"/>
      <c r="P184" s="203"/>
      <c r="Q184" s="203"/>
      <c r="R184" s="203"/>
      <c r="S184" s="203"/>
      <c r="T184" s="203"/>
      <c r="U184" s="203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  <c r="AG184" s="48"/>
      <c r="AH184" s="48"/>
      <c r="AI184" s="48"/>
      <c r="AJ184" s="48"/>
      <c r="AK184" s="48"/>
      <c r="AL184" s="48"/>
      <c r="AM184" s="48"/>
      <c r="AN184" s="48"/>
      <c r="AO184" s="48"/>
      <c r="AP184" s="48"/>
      <c r="AQ184" s="48"/>
    </row>
    <row r="185" spans="1:43" x14ac:dyDescent="0.25">
      <c r="A185" s="48"/>
      <c r="B185" s="48"/>
      <c r="C185" s="296"/>
      <c r="D185" s="296"/>
      <c r="E185" s="296"/>
      <c r="F185" s="296"/>
      <c r="G185" s="296"/>
      <c r="H185" s="296"/>
      <c r="I185" s="296"/>
      <c r="J185" s="296"/>
      <c r="K185" s="296"/>
      <c r="L185" s="296"/>
      <c r="M185" s="203"/>
      <c r="N185" s="203"/>
      <c r="O185" s="203"/>
      <c r="P185" s="203"/>
      <c r="Q185" s="203"/>
      <c r="R185" s="203"/>
      <c r="S185" s="203"/>
      <c r="T185" s="203"/>
      <c r="U185" s="203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48"/>
      <c r="AG185" s="48"/>
      <c r="AH185" s="48"/>
      <c r="AI185" s="48"/>
      <c r="AJ185" s="48"/>
      <c r="AK185" s="48"/>
      <c r="AL185" s="48"/>
      <c r="AM185" s="48"/>
      <c r="AN185" s="48"/>
      <c r="AO185" s="48"/>
      <c r="AP185" s="48"/>
      <c r="AQ185" s="48"/>
    </row>
    <row r="186" spans="1:43" x14ac:dyDescent="0.25">
      <c r="A186" s="48"/>
      <c r="B186" s="48"/>
      <c r="C186" s="296"/>
      <c r="D186" s="296"/>
      <c r="E186" s="296"/>
      <c r="F186" s="296"/>
      <c r="G186" s="296"/>
      <c r="H186" s="296"/>
      <c r="I186" s="296"/>
      <c r="J186" s="296"/>
      <c r="K186" s="296"/>
      <c r="L186" s="296"/>
      <c r="M186" s="203"/>
      <c r="N186" s="203"/>
      <c r="O186" s="203"/>
      <c r="P186" s="203"/>
      <c r="Q186" s="203"/>
      <c r="R186" s="203"/>
      <c r="S186" s="203"/>
      <c r="T186" s="203"/>
      <c r="U186" s="203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  <c r="AF186" s="48"/>
      <c r="AG186" s="48"/>
      <c r="AH186" s="48"/>
      <c r="AI186" s="48"/>
      <c r="AJ186" s="48"/>
      <c r="AK186" s="48"/>
      <c r="AL186" s="48"/>
      <c r="AM186" s="48"/>
      <c r="AN186" s="48"/>
      <c r="AO186" s="48"/>
      <c r="AP186" s="48"/>
      <c r="AQ186" s="48"/>
    </row>
    <row r="187" spans="1:43" x14ac:dyDescent="0.25">
      <c r="A187" s="48"/>
      <c r="B187" s="48"/>
      <c r="C187" s="296"/>
      <c r="D187" s="296"/>
      <c r="E187" s="296"/>
      <c r="F187" s="296"/>
      <c r="G187" s="296"/>
      <c r="H187" s="296"/>
      <c r="I187" s="296"/>
      <c r="J187" s="296"/>
      <c r="K187" s="296"/>
      <c r="L187" s="296"/>
      <c r="M187" s="203"/>
      <c r="N187" s="203"/>
      <c r="O187" s="203"/>
      <c r="P187" s="203"/>
      <c r="Q187" s="203"/>
      <c r="R187" s="203"/>
      <c r="S187" s="203"/>
      <c r="T187" s="203"/>
      <c r="U187" s="203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  <c r="AF187" s="48"/>
      <c r="AG187" s="48"/>
      <c r="AH187" s="48"/>
      <c r="AI187" s="48"/>
      <c r="AJ187" s="48"/>
      <c r="AK187" s="48"/>
      <c r="AL187" s="48"/>
      <c r="AM187" s="48"/>
      <c r="AN187" s="48"/>
      <c r="AO187" s="48"/>
      <c r="AP187" s="48"/>
      <c r="AQ187" s="48"/>
    </row>
    <row r="188" spans="1:43" x14ac:dyDescent="0.25">
      <c r="A188" s="48"/>
      <c r="B188" s="48"/>
      <c r="C188" s="296"/>
      <c r="D188" s="296"/>
      <c r="E188" s="296"/>
      <c r="F188" s="296"/>
      <c r="G188" s="296"/>
      <c r="H188" s="296"/>
      <c r="I188" s="296"/>
      <c r="J188" s="296"/>
      <c r="K188" s="296"/>
      <c r="L188" s="296"/>
      <c r="M188" s="203"/>
      <c r="N188" s="203"/>
      <c r="O188" s="203"/>
      <c r="P188" s="203"/>
      <c r="Q188" s="203"/>
      <c r="R188" s="203"/>
      <c r="S188" s="203"/>
      <c r="T188" s="203"/>
      <c r="U188" s="203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  <c r="AF188" s="48"/>
      <c r="AG188" s="48"/>
      <c r="AH188" s="48"/>
      <c r="AI188" s="48"/>
      <c r="AJ188" s="48"/>
      <c r="AK188" s="48"/>
      <c r="AL188" s="48"/>
      <c r="AM188" s="48"/>
      <c r="AN188" s="48"/>
      <c r="AO188" s="48"/>
      <c r="AP188" s="48"/>
      <c r="AQ188" s="48"/>
    </row>
    <row r="189" spans="1:43" x14ac:dyDescent="0.25">
      <c r="A189" s="48"/>
      <c r="B189" s="48"/>
      <c r="C189" s="296"/>
      <c r="D189" s="296"/>
      <c r="E189" s="296"/>
      <c r="F189" s="296"/>
      <c r="G189" s="296"/>
      <c r="H189" s="296"/>
      <c r="I189" s="296"/>
      <c r="J189" s="296"/>
      <c r="K189" s="296"/>
      <c r="L189" s="296"/>
      <c r="M189" s="203"/>
      <c r="N189" s="203"/>
      <c r="O189" s="203"/>
      <c r="P189" s="203"/>
      <c r="Q189" s="203"/>
      <c r="R189" s="203"/>
      <c r="S189" s="203"/>
      <c r="T189" s="203"/>
      <c r="U189" s="203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 s="48"/>
      <c r="AJ189" s="48"/>
      <c r="AK189" s="48"/>
      <c r="AL189" s="48"/>
      <c r="AM189" s="48"/>
      <c r="AN189" s="48"/>
      <c r="AO189" s="48"/>
      <c r="AP189" s="48"/>
      <c r="AQ189" s="48"/>
    </row>
    <row r="190" spans="1:43" x14ac:dyDescent="0.25">
      <c r="A190" s="48"/>
      <c r="B190" s="48"/>
      <c r="C190" s="296"/>
      <c r="D190" s="296"/>
      <c r="E190" s="296"/>
      <c r="F190" s="296"/>
      <c r="G190" s="296"/>
      <c r="H190" s="296"/>
      <c r="I190" s="296"/>
      <c r="J190" s="296"/>
      <c r="K190" s="296"/>
      <c r="L190" s="296"/>
      <c r="M190" s="203"/>
      <c r="N190" s="203"/>
      <c r="O190" s="203"/>
      <c r="P190" s="203"/>
      <c r="Q190" s="203"/>
      <c r="R190" s="203"/>
      <c r="S190" s="203"/>
      <c r="T190" s="203"/>
      <c r="U190" s="203"/>
      <c r="V190" s="48"/>
      <c r="W190" s="48"/>
      <c r="X190" s="48"/>
      <c r="Y190" s="48"/>
      <c r="Z190" s="48"/>
      <c r="AA190" s="48"/>
      <c r="AB190" s="48"/>
      <c r="AC190" s="48"/>
      <c r="AD190" s="48"/>
      <c r="AE190" s="48"/>
      <c r="AF190" s="48"/>
      <c r="AG190" s="48"/>
      <c r="AH190" s="48"/>
      <c r="AI190" s="48"/>
      <c r="AJ190" s="48"/>
      <c r="AK190" s="48"/>
      <c r="AL190" s="48"/>
      <c r="AM190" s="48"/>
      <c r="AN190" s="48"/>
      <c r="AO190" s="48"/>
      <c r="AP190" s="48"/>
      <c r="AQ190" s="48"/>
    </row>
    <row r="191" spans="1:43" x14ac:dyDescent="0.25">
      <c r="A191" s="48"/>
      <c r="B191" s="48"/>
      <c r="C191" s="296"/>
      <c r="D191" s="296"/>
      <c r="E191" s="296"/>
      <c r="F191" s="296"/>
      <c r="G191" s="296"/>
      <c r="H191" s="296"/>
      <c r="I191" s="296"/>
      <c r="J191" s="296"/>
      <c r="K191" s="296"/>
      <c r="L191" s="296"/>
      <c r="M191" s="203"/>
      <c r="N191" s="203"/>
      <c r="O191" s="203"/>
      <c r="P191" s="203"/>
      <c r="Q191" s="203"/>
      <c r="R191" s="203"/>
      <c r="S191" s="203"/>
      <c r="T191" s="203"/>
      <c r="U191" s="203"/>
      <c r="V191" s="48"/>
      <c r="W191" s="48"/>
      <c r="X191" s="48"/>
      <c r="Y191" s="48"/>
      <c r="Z191" s="48"/>
      <c r="AA191" s="48"/>
      <c r="AB191" s="48"/>
      <c r="AC191" s="48"/>
      <c r="AD191" s="48"/>
      <c r="AE191" s="48"/>
      <c r="AF191" s="48"/>
      <c r="AG191" s="48"/>
      <c r="AH191" s="48"/>
      <c r="AI191" s="48"/>
      <c r="AJ191" s="48"/>
      <c r="AK191" s="48"/>
      <c r="AL191" s="48"/>
      <c r="AM191" s="48"/>
      <c r="AN191" s="48"/>
      <c r="AO191" s="48"/>
      <c r="AP191" s="48"/>
      <c r="AQ191" s="48"/>
    </row>
    <row r="192" spans="1:43" x14ac:dyDescent="0.25">
      <c r="A192" s="48"/>
      <c r="B192" s="48"/>
      <c r="C192" s="296"/>
      <c r="D192" s="296"/>
      <c r="E192" s="296"/>
      <c r="F192" s="296"/>
      <c r="G192" s="296"/>
      <c r="H192" s="296"/>
      <c r="I192" s="296"/>
      <c r="J192" s="296"/>
      <c r="K192" s="296"/>
      <c r="L192" s="296"/>
      <c r="M192" s="203"/>
      <c r="N192" s="203"/>
      <c r="O192" s="203"/>
      <c r="P192" s="203"/>
      <c r="Q192" s="203"/>
      <c r="R192" s="203"/>
      <c r="S192" s="203"/>
      <c r="T192" s="203"/>
      <c r="U192" s="203"/>
      <c r="V192" s="48"/>
      <c r="W192" s="48"/>
      <c r="X192" s="48"/>
      <c r="Y192" s="48"/>
      <c r="Z192" s="48"/>
      <c r="AA192" s="48"/>
      <c r="AB192" s="48"/>
      <c r="AC192" s="48"/>
      <c r="AD192" s="48"/>
      <c r="AE192" s="48"/>
      <c r="AF192" s="48"/>
      <c r="AG192" s="48"/>
      <c r="AH192" s="48"/>
      <c r="AI192" s="48"/>
      <c r="AJ192" s="48"/>
      <c r="AK192" s="48"/>
      <c r="AL192" s="48"/>
      <c r="AM192" s="48"/>
      <c r="AN192" s="48"/>
      <c r="AO192" s="48"/>
      <c r="AP192" s="48"/>
      <c r="AQ192" s="48"/>
    </row>
    <row r="193" spans="1:43" x14ac:dyDescent="0.25">
      <c r="A193" s="48"/>
      <c r="B193" s="48"/>
      <c r="C193" s="296"/>
      <c r="D193" s="296"/>
      <c r="E193" s="296"/>
      <c r="F193" s="296"/>
      <c r="G193" s="296"/>
      <c r="H193" s="296"/>
      <c r="I193" s="296"/>
      <c r="J193" s="296"/>
      <c r="K193" s="296"/>
      <c r="L193" s="296"/>
      <c r="M193" s="203"/>
      <c r="N193" s="203"/>
      <c r="O193" s="203"/>
      <c r="P193" s="203"/>
      <c r="Q193" s="203"/>
      <c r="R193" s="203"/>
      <c r="S193" s="203"/>
      <c r="T193" s="203"/>
      <c r="U193" s="203"/>
      <c r="V193" s="48"/>
      <c r="W193" s="48"/>
      <c r="X193" s="48"/>
      <c r="Y193" s="48"/>
      <c r="Z193" s="48"/>
      <c r="AA193" s="48"/>
      <c r="AB193" s="48"/>
      <c r="AC193" s="48"/>
      <c r="AD193" s="48"/>
      <c r="AE193" s="48"/>
      <c r="AF193" s="48"/>
      <c r="AG193" s="48"/>
      <c r="AH193" s="48"/>
      <c r="AI193" s="48"/>
      <c r="AJ193" s="48"/>
      <c r="AK193" s="48"/>
      <c r="AL193" s="48"/>
      <c r="AM193" s="48"/>
      <c r="AN193" s="48"/>
      <c r="AO193" s="48"/>
      <c r="AP193" s="48"/>
      <c r="AQ193" s="48"/>
    </row>
    <row r="194" spans="1:43" x14ac:dyDescent="0.25">
      <c r="A194" s="48"/>
      <c r="B194" s="48"/>
      <c r="C194" s="296"/>
      <c r="D194" s="296"/>
      <c r="E194" s="296"/>
      <c r="F194" s="296"/>
      <c r="G194" s="296"/>
      <c r="H194" s="296"/>
      <c r="I194" s="296"/>
      <c r="J194" s="296"/>
      <c r="K194" s="296"/>
      <c r="L194" s="296"/>
      <c r="M194" s="203"/>
      <c r="N194" s="203"/>
      <c r="O194" s="203"/>
      <c r="P194" s="203"/>
      <c r="Q194" s="203"/>
      <c r="R194" s="203"/>
      <c r="S194" s="203"/>
      <c r="T194" s="203"/>
      <c r="U194" s="203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48"/>
      <c r="AG194" s="48"/>
      <c r="AH194" s="48"/>
      <c r="AI194" s="48"/>
      <c r="AJ194" s="48"/>
      <c r="AK194" s="48"/>
      <c r="AL194" s="48"/>
      <c r="AM194" s="48"/>
      <c r="AN194" s="48"/>
      <c r="AO194" s="48"/>
      <c r="AP194" s="48"/>
      <c r="AQ194" s="48"/>
    </row>
    <row r="195" spans="1:43" x14ac:dyDescent="0.25">
      <c r="A195" s="48"/>
      <c r="B195" s="48"/>
      <c r="C195" s="296"/>
      <c r="D195" s="296"/>
      <c r="E195" s="296"/>
      <c r="F195" s="296"/>
      <c r="G195" s="296"/>
      <c r="H195" s="296"/>
      <c r="I195" s="296"/>
      <c r="J195" s="296"/>
      <c r="K195" s="296"/>
      <c r="L195" s="296"/>
      <c r="M195" s="203"/>
      <c r="N195" s="203"/>
      <c r="O195" s="203"/>
      <c r="P195" s="203"/>
      <c r="Q195" s="203"/>
      <c r="R195" s="203"/>
      <c r="S195" s="203"/>
      <c r="T195" s="203"/>
      <c r="U195" s="203"/>
      <c r="V195" s="48"/>
      <c r="W195" s="48"/>
      <c r="X195" s="48"/>
      <c r="Y195" s="48"/>
      <c r="Z195" s="48"/>
      <c r="AA195" s="48"/>
      <c r="AB195" s="48"/>
      <c r="AC195" s="48"/>
      <c r="AD195" s="48"/>
      <c r="AE195" s="48"/>
      <c r="AF195" s="48"/>
      <c r="AG195" s="48"/>
      <c r="AH195" s="48"/>
      <c r="AI195" s="48"/>
      <c r="AJ195" s="48"/>
      <c r="AK195" s="48"/>
      <c r="AL195" s="48"/>
      <c r="AM195" s="48"/>
      <c r="AN195" s="48"/>
      <c r="AO195" s="48"/>
      <c r="AP195" s="48"/>
      <c r="AQ195" s="48"/>
    </row>
    <row r="196" spans="1:43" x14ac:dyDescent="0.25">
      <c r="A196" s="48"/>
      <c r="B196" s="48"/>
      <c r="C196" s="296"/>
      <c r="D196" s="296"/>
      <c r="E196" s="296"/>
      <c r="F196" s="296"/>
      <c r="G196" s="296"/>
      <c r="H196" s="296"/>
      <c r="I196" s="296"/>
      <c r="J196" s="296"/>
      <c r="K196" s="296"/>
      <c r="L196" s="296"/>
      <c r="M196" s="203"/>
      <c r="N196" s="203"/>
      <c r="O196" s="203"/>
      <c r="P196" s="203"/>
      <c r="Q196" s="203"/>
      <c r="R196" s="203"/>
      <c r="S196" s="203"/>
      <c r="T196" s="203"/>
      <c r="U196" s="203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  <c r="AF196" s="48"/>
      <c r="AG196" s="48"/>
      <c r="AH196" s="48"/>
      <c r="AI196" s="48"/>
      <c r="AJ196" s="48"/>
      <c r="AK196" s="48"/>
      <c r="AL196" s="48"/>
      <c r="AM196" s="48"/>
      <c r="AN196" s="48"/>
      <c r="AO196" s="48"/>
      <c r="AP196" s="48"/>
      <c r="AQ196" s="48"/>
    </row>
    <row r="197" spans="1:43" x14ac:dyDescent="0.25">
      <c r="A197" s="48"/>
      <c r="B197" s="48"/>
      <c r="C197" s="296"/>
      <c r="D197" s="296"/>
      <c r="E197" s="296"/>
      <c r="F197" s="296"/>
      <c r="G197" s="296"/>
      <c r="H197" s="296"/>
      <c r="I197" s="296"/>
      <c r="J197" s="296"/>
      <c r="K197" s="296"/>
      <c r="L197" s="296"/>
      <c r="M197" s="203"/>
      <c r="N197" s="203"/>
      <c r="O197" s="203"/>
      <c r="P197" s="203"/>
      <c r="Q197" s="203"/>
      <c r="R197" s="203"/>
      <c r="S197" s="203"/>
      <c r="T197" s="203"/>
      <c r="U197" s="203"/>
      <c r="V197" s="48"/>
      <c r="W197" s="48"/>
      <c r="X197" s="48"/>
      <c r="Y197" s="48"/>
      <c r="Z197" s="48"/>
      <c r="AA197" s="48"/>
      <c r="AB197" s="48"/>
      <c r="AC197" s="48"/>
      <c r="AD197" s="48"/>
      <c r="AE197" s="48"/>
      <c r="AF197" s="48"/>
      <c r="AG197" s="48"/>
      <c r="AH197" s="48"/>
      <c r="AI197" s="48"/>
      <c r="AJ197" s="48"/>
      <c r="AK197" s="48"/>
      <c r="AL197" s="48"/>
      <c r="AM197" s="48"/>
      <c r="AN197" s="48"/>
      <c r="AO197" s="48"/>
      <c r="AP197" s="48"/>
      <c r="AQ197" s="48"/>
    </row>
    <row r="198" spans="1:43" x14ac:dyDescent="0.25">
      <c r="A198" s="48"/>
      <c r="B198" s="48"/>
      <c r="C198" s="296"/>
      <c r="D198" s="296"/>
      <c r="E198" s="296"/>
      <c r="F198" s="296"/>
      <c r="G198" s="296"/>
      <c r="H198" s="296"/>
      <c r="I198" s="296"/>
      <c r="J198" s="296"/>
      <c r="K198" s="296"/>
      <c r="L198" s="296"/>
      <c r="M198" s="203"/>
      <c r="N198" s="203"/>
      <c r="O198" s="203"/>
      <c r="P198" s="203"/>
      <c r="Q198" s="203"/>
      <c r="R198" s="203"/>
      <c r="S198" s="203"/>
      <c r="T198" s="203"/>
      <c r="U198" s="203"/>
      <c r="V198" s="48"/>
      <c r="W198" s="48"/>
      <c r="X198" s="48"/>
      <c r="Y198" s="48"/>
      <c r="Z198" s="48"/>
      <c r="AA198" s="48"/>
      <c r="AB198" s="48"/>
      <c r="AC198" s="48"/>
      <c r="AD198" s="48"/>
      <c r="AE198" s="48"/>
      <c r="AF198" s="48"/>
      <c r="AG198" s="48"/>
      <c r="AH198" s="48"/>
      <c r="AI198" s="48"/>
      <c r="AJ198" s="48"/>
      <c r="AK198" s="48"/>
      <c r="AL198" s="48"/>
      <c r="AM198" s="48"/>
      <c r="AN198" s="48"/>
      <c r="AO198" s="48"/>
      <c r="AP198" s="48"/>
      <c r="AQ198" s="48"/>
    </row>
    <row r="199" spans="1:43" x14ac:dyDescent="0.25">
      <c r="A199" s="48"/>
      <c r="B199" s="48"/>
      <c r="C199" s="296"/>
      <c r="D199" s="296"/>
      <c r="E199" s="296"/>
      <c r="F199" s="296"/>
      <c r="G199" s="296"/>
      <c r="H199" s="296"/>
      <c r="I199" s="296"/>
      <c r="J199" s="296"/>
      <c r="K199" s="296"/>
      <c r="L199" s="296"/>
      <c r="M199" s="203"/>
      <c r="N199" s="203"/>
      <c r="O199" s="203"/>
      <c r="P199" s="203"/>
      <c r="Q199" s="203"/>
      <c r="R199" s="203"/>
      <c r="S199" s="203"/>
      <c r="T199" s="203"/>
      <c r="U199" s="203"/>
      <c r="V199" s="48"/>
      <c r="W199" s="48"/>
      <c r="X199" s="48"/>
      <c r="Y199" s="48"/>
      <c r="Z199" s="48"/>
      <c r="AA199" s="48"/>
      <c r="AB199" s="48"/>
      <c r="AC199" s="48"/>
      <c r="AD199" s="48"/>
      <c r="AE199" s="48"/>
      <c r="AF199" s="48"/>
      <c r="AG199" s="48"/>
      <c r="AH199" s="48"/>
      <c r="AI199" s="48"/>
      <c r="AJ199" s="48"/>
      <c r="AK199" s="48"/>
      <c r="AL199" s="48"/>
      <c r="AM199" s="48"/>
      <c r="AN199" s="48"/>
      <c r="AO199" s="48"/>
      <c r="AP199" s="48"/>
      <c r="AQ199" s="48"/>
    </row>
    <row r="200" spans="1:43" x14ac:dyDescent="0.25">
      <c r="A200" s="48"/>
      <c r="B200" s="48"/>
      <c r="C200" s="296"/>
      <c r="D200" s="296"/>
      <c r="E200" s="296"/>
      <c r="F200" s="296"/>
      <c r="G200" s="296"/>
      <c r="H200" s="296"/>
      <c r="I200" s="296"/>
      <c r="J200" s="296"/>
      <c r="K200" s="296"/>
      <c r="L200" s="296"/>
      <c r="M200" s="203"/>
      <c r="N200" s="203"/>
      <c r="O200" s="203"/>
      <c r="P200" s="203"/>
      <c r="Q200" s="203"/>
      <c r="R200" s="203"/>
      <c r="S200" s="203"/>
      <c r="T200" s="203"/>
      <c r="U200" s="203"/>
      <c r="V200" s="48"/>
      <c r="W200" s="48"/>
      <c r="X200" s="48"/>
      <c r="Y200" s="48"/>
      <c r="Z200" s="48"/>
      <c r="AA200" s="48"/>
      <c r="AB200" s="48"/>
      <c r="AC200" s="48"/>
      <c r="AD200" s="48"/>
      <c r="AE200" s="48"/>
      <c r="AF200" s="48"/>
      <c r="AG200" s="48"/>
      <c r="AH200" s="48"/>
      <c r="AI200" s="48"/>
      <c r="AJ200" s="48"/>
      <c r="AK200" s="48"/>
      <c r="AL200" s="48"/>
      <c r="AM200" s="48"/>
      <c r="AN200" s="48"/>
      <c r="AO200" s="48"/>
      <c r="AP200" s="48"/>
      <c r="AQ200" s="48"/>
    </row>
    <row r="201" spans="1:43" x14ac:dyDescent="0.25">
      <c r="A201" s="48"/>
      <c r="B201" s="48"/>
      <c r="C201" s="296"/>
      <c r="D201" s="296"/>
      <c r="E201" s="296"/>
      <c r="F201" s="296"/>
      <c r="G201" s="296"/>
      <c r="H201" s="296"/>
      <c r="I201" s="296"/>
      <c r="J201" s="296"/>
      <c r="K201" s="296"/>
      <c r="L201" s="296"/>
      <c r="M201" s="203"/>
      <c r="N201" s="203"/>
      <c r="O201" s="203"/>
      <c r="P201" s="203"/>
      <c r="Q201" s="203"/>
      <c r="R201" s="203"/>
      <c r="S201" s="203"/>
      <c r="T201" s="203"/>
      <c r="U201" s="203"/>
      <c r="V201" s="48"/>
      <c r="W201" s="48"/>
      <c r="X201" s="48"/>
      <c r="Y201" s="48"/>
      <c r="Z201" s="48"/>
      <c r="AA201" s="48"/>
      <c r="AB201" s="48"/>
      <c r="AC201" s="48"/>
      <c r="AD201" s="48"/>
      <c r="AE201" s="48"/>
      <c r="AF201" s="48"/>
      <c r="AG201" s="48"/>
      <c r="AH201" s="48"/>
      <c r="AI201" s="48"/>
      <c r="AJ201" s="48"/>
      <c r="AK201" s="48"/>
      <c r="AL201" s="48"/>
      <c r="AM201" s="48"/>
      <c r="AN201" s="48"/>
      <c r="AO201" s="48"/>
      <c r="AP201" s="48"/>
      <c r="AQ201" s="48"/>
    </row>
    <row r="202" spans="1:43" x14ac:dyDescent="0.25">
      <c r="A202" s="48"/>
      <c r="B202" s="48"/>
      <c r="C202" s="296"/>
      <c r="D202" s="296"/>
      <c r="E202" s="296"/>
      <c r="F202" s="296"/>
      <c r="G202" s="296"/>
      <c r="H202" s="296"/>
      <c r="I202" s="296"/>
      <c r="J202" s="296"/>
      <c r="K202" s="296"/>
      <c r="L202" s="296"/>
      <c r="M202" s="203"/>
      <c r="N202" s="203"/>
      <c r="O202" s="203"/>
      <c r="P202" s="203"/>
      <c r="Q202" s="203"/>
      <c r="R202" s="203"/>
      <c r="S202" s="203"/>
      <c r="T202" s="203"/>
      <c r="U202" s="203"/>
      <c r="V202" s="48"/>
      <c r="W202" s="48"/>
      <c r="X202" s="48"/>
      <c r="Y202" s="48"/>
      <c r="Z202" s="48"/>
      <c r="AA202" s="48"/>
      <c r="AB202" s="48"/>
      <c r="AC202" s="48"/>
      <c r="AD202" s="48"/>
      <c r="AE202" s="48"/>
      <c r="AF202" s="48"/>
      <c r="AG202" s="48"/>
      <c r="AH202" s="48"/>
      <c r="AI202" s="48"/>
      <c r="AJ202" s="48"/>
      <c r="AK202" s="48"/>
      <c r="AL202" s="48"/>
      <c r="AM202" s="48"/>
      <c r="AN202" s="48"/>
      <c r="AO202" s="48"/>
      <c r="AP202" s="48"/>
      <c r="AQ202" s="48"/>
    </row>
    <row r="203" spans="1:43" x14ac:dyDescent="0.25">
      <c r="A203" s="48"/>
      <c r="B203" s="48"/>
      <c r="C203" s="296"/>
      <c r="D203" s="296"/>
      <c r="E203" s="296"/>
      <c r="F203" s="296"/>
      <c r="G203" s="296"/>
      <c r="H203" s="296"/>
      <c r="I203" s="296"/>
      <c r="J203" s="296"/>
      <c r="K203" s="296"/>
      <c r="L203" s="296"/>
      <c r="M203" s="203"/>
      <c r="N203" s="203"/>
      <c r="O203" s="203"/>
      <c r="P203" s="203"/>
      <c r="Q203" s="203"/>
      <c r="R203" s="203"/>
      <c r="S203" s="203"/>
      <c r="T203" s="203"/>
      <c r="U203" s="203"/>
      <c r="V203" s="48"/>
      <c r="W203" s="48"/>
      <c r="X203" s="48"/>
      <c r="Y203" s="48"/>
      <c r="Z203" s="48"/>
      <c r="AA203" s="48"/>
      <c r="AB203" s="48"/>
      <c r="AC203" s="48"/>
      <c r="AD203" s="48"/>
      <c r="AE203" s="48"/>
      <c r="AF203" s="48"/>
      <c r="AG203" s="48"/>
      <c r="AH203" s="48"/>
      <c r="AI203" s="48"/>
      <c r="AJ203" s="48"/>
      <c r="AK203" s="48"/>
      <c r="AL203" s="48"/>
      <c r="AM203" s="48"/>
      <c r="AN203" s="48"/>
      <c r="AO203" s="48"/>
      <c r="AP203" s="48"/>
      <c r="AQ203" s="48"/>
    </row>
    <row r="204" spans="1:43" x14ac:dyDescent="0.25">
      <c r="A204" s="48"/>
      <c r="B204" s="48"/>
      <c r="C204" s="296"/>
      <c r="D204" s="296"/>
      <c r="E204" s="296"/>
      <c r="F204" s="296"/>
      <c r="G204" s="296"/>
      <c r="H204" s="296"/>
      <c r="I204" s="296"/>
      <c r="J204" s="296"/>
      <c r="K204" s="296"/>
      <c r="L204" s="296"/>
      <c r="M204" s="203"/>
      <c r="N204" s="203"/>
      <c r="O204" s="203"/>
      <c r="P204" s="203"/>
      <c r="Q204" s="203"/>
      <c r="R204" s="203"/>
      <c r="S204" s="203"/>
      <c r="T204" s="203"/>
      <c r="U204" s="203"/>
      <c r="V204" s="48"/>
      <c r="W204" s="48"/>
      <c r="X204" s="48"/>
      <c r="Y204" s="48"/>
      <c r="Z204" s="48"/>
      <c r="AA204" s="48"/>
      <c r="AB204" s="48"/>
      <c r="AC204" s="48"/>
      <c r="AD204" s="48"/>
      <c r="AE204" s="48"/>
      <c r="AF204" s="48"/>
      <c r="AG204" s="48"/>
      <c r="AH204" s="48"/>
      <c r="AI204" s="48"/>
      <c r="AJ204" s="48"/>
      <c r="AK204" s="48"/>
      <c r="AL204" s="48"/>
      <c r="AM204" s="48"/>
      <c r="AN204" s="48"/>
      <c r="AO204" s="48"/>
      <c r="AP204" s="48"/>
      <c r="AQ204" s="48"/>
    </row>
    <row r="205" spans="1:43" x14ac:dyDescent="0.25">
      <c r="A205" s="48"/>
      <c r="B205" s="48"/>
      <c r="C205" s="296"/>
      <c r="D205" s="296"/>
      <c r="E205" s="296"/>
      <c r="F205" s="296"/>
      <c r="G205" s="296"/>
      <c r="H205" s="296"/>
      <c r="I205" s="296"/>
      <c r="J205" s="296"/>
      <c r="K205" s="296"/>
      <c r="L205" s="296"/>
      <c r="M205" s="203"/>
      <c r="N205" s="203"/>
      <c r="O205" s="203"/>
      <c r="P205" s="203"/>
      <c r="Q205" s="203"/>
      <c r="R205" s="203"/>
      <c r="S205" s="203"/>
      <c r="T205" s="203"/>
      <c r="U205" s="203"/>
      <c r="V205" s="48"/>
      <c r="W205" s="48"/>
      <c r="X205" s="48"/>
      <c r="Y205" s="48"/>
      <c r="Z205" s="48"/>
      <c r="AA205" s="48"/>
      <c r="AB205" s="48"/>
      <c r="AC205" s="48"/>
      <c r="AD205" s="48"/>
      <c r="AE205" s="48"/>
      <c r="AF205" s="48"/>
      <c r="AG205" s="48"/>
      <c r="AH205" s="48"/>
      <c r="AI205" s="48"/>
      <c r="AJ205" s="48"/>
      <c r="AK205" s="48"/>
      <c r="AL205" s="48"/>
      <c r="AM205" s="48"/>
      <c r="AN205" s="48"/>
      <c r="AO205" s="48"/>
      <c r="AP205" s="48"/>
      <c r="AQ205" s="48"/>
    </row>
    <row r="206" spans="1:43" x14ac:dyDescent="0.25">
      <c r="A206" s="48"/>
      <c r="B206" s="48"/>
      <c r="C206" s="296"/>
      <c r="D206" s="296"/>
      <c r="E206" s="296"/>
      <c r="F206" s="296"/>
      <c r="G206" s="296"/>
      <c r="H206" s="296"/>
      <c r="I206" s="296"/>
      <c r="J206" s="296"/>
      <c r="K206" s="296"/>
      <c r="L206" s="296"/>
      <c r="M206" s="203"/>
      <c r="N206" s="203"/>
      <c r="O206" s="203"/>
      <c r="P206" s="203"/>
      <c r="Q206" s="203"/>
      <c r="R206" s="203"/>
      <c r="S206" s="203"/>
      <c r="T206" s="203"/>
      <c r="U206" s="203"/>
      <c r="V206" s="48"/>
      <c r="W206" s="48"/>
      <c r="X206" s="48"/>
      <c r="Y206" s="48"/>
      <c r="Z206" s="48"/>
      <c r="AA206" s="48"/>
      <c r="AB206" s="48"/>
      <c r="AC206" s="48"/>
      <c r="AD206" s="48"/>
      <c r="AE206" s="48"/>
      <c r="AF206" s="48"/>
      <c r="AG206" s="48"/>
      <c r="AH206" s="48"/>
      <c r="AI206" s="48"/>
      <c r="AJ206" s="48"/>
      <c r="AK206" s="48"/>
      <c r="AL206" s="48"/>
      <c r="AM206" s="48"/>
      <c r="AN206" s="48"/>
      <c r="AO206" s="48"/>
      <c r="AP206" s="48"/>
      <c r="AQ206" s="48"/>
    </row>
    <row r="207" spans="1:43" x14ac:dyDescent="0.25">
      <c r="A207" s="48"/>
      <c r="B207" s="48"/>
      <c r="C207" s="296"/>
      <c r="D207" s="296"/>
      <c r="E207" s="296"/>
      <c r="F207" s="296"/>
      <c r="G207" s="296"/>
      <c r="H207" s="296"/>
      <c r="I207" s="296"/>
      <c r="J207" s="296"/>
      <c r="K207" s="296"/>
      <c r="L207" s="296"/>
      <c r="M207" s="203"/>
      <c r="N207" s="203"/>
      <c r="O207" s="203"/>
      <c r="P207" s="203"/>
      <c r="Q207" s="203"/>
      <c r="R207" s="203"/>
      <c r="S207" s="203"/>
      <c r="T207" s="203"/>
      <c r="U207" s="203"/>
      <c r="V207" s="48"/>
      <c r="W207" s="48"/>
      <c r="X207" s="48"/>
      <c r="Y207" s="48"/>
      <c r="Z207" s="48"/>
      <c r="AA207" s="48"/>
      <c r="AB207" s="48"/>
      <c r="AC207" s="48"/>
      <c r="AD207" s="48"/>
      <c r="AE207" s="48"/>
      <c r="AF207" s="48"/>
      <c r="AG207" s="48"/>
      <c r="AH207" s="48"/>
      <c r="AI207" s="48"/>
      <c r="AJ207" s="48"/>
      <c r="AK207" s="48"/>
      <c r="AL207" s="48"/>
      <c r="AM207" s="48"/>
      <c r="AN207" s="48"/>
      <c r="AO207" s="48"/>
      <c r="AP207" s="48"/>
      <c r="AQ207" s="48"/>
    </row>
    <row r="208" spans="1:43" x14ac:dyDescent="0.25">
      <c r="A208" s="48"/>
      <c r="B208" s="48"/>
      <c r="C208" s="296"/>
      <c r="D208" s="296"/>
      <c r="E208" s="296"/>
      <c r="F208" s="296"/>
      <c r="G208" s="296"/>
      <c r="H208" s="296"/>
      <c r="I208" s="296"/>
      <c r="J208" s="296"/>
      <c r="K208" s="296"/>
      <c r="L208" s="296"/>
      <c r="M208" s="203"/>
      <c r="N208" s="203"/>
      <c r="O208" s="203"/>
      <c r="P208" s="203"/>
      <c r="Q208" s="203"/>
      <c r="R208" s="203"/>
      <c r="S208" s="203"/>
      <c r="T208" s="203"/>
      <c r="U208" s="203"/>
      <c r="V208" s="48"/>
      <c r="W208" s="48"/>
      <c r="X208" s="48"/>
      <c r="Y208" s="48"/>
      <c r="Z208" s="48"/>
      <c r="AA208" s="48"/>
      <c r="AB208" s="48"/>
      <c r="AC208" s="48"/>
      <c r="AD208" s="48"/>
      <c r="AE208" s="48"/>
      <c r="AF208" s="48"/>
      <c r="AG208" s="48"/>
      <c r="AH208" s="48"/>
      <c r="AI208" s="48"/>
      <c r="AJ208" s="48"/>
      <c r="AK208" s="48"/>
      <c r="AL208" s="48"/>
      <c r="AM208" s="48"/>
      <c r="AN208" s="48"/>
      <c r="AO208" s="48"/>
      <c r="AP208" s="48"/>
      <c r="AQ208" s="48"/>
    </row>
    <row r="209" spans="1:43" x14ac:dyDescent="0.25">
      <c r="A209" s="48"/>
      <c r="B209" s="48"/>
      <c r="C209" s="296"/>
      <c r="D209" s="296"/>
      <c r="E209" s="296"/>
      <c r="F209" s="296"/>
      <c r="G209" s="296"/>
      <c r="H209" s="296"/>
      <c r="I209" s="296"/>
      <c r="J209" s="296"/>
      <c r="K209" s="296"/>
      <c r="L209" s="296"/>
      <c r="M209" s="203"/>
      <c r="N209" s="203"/>
      <c r="O209" s="203"/>
      <c r="P209" s="203"/>
      <c r="Q209" s="203"/>
      <c r="R209" s="203"/>
      <c r="S209" s="203"/>
      <c r="T209" s="203"/>
      <c r="U209" s="203"/>
      <c r="V209" s="48"/>
      <c r="W209" s="48"/>
      <c r="X209" s="48"/>
      <c r="Y209" s="48"/>
      <c r="Z209" s="48"/>
      <c r="AA209" s="48"/>
      <c r="AB209" s="48"/>
      <c r="AC209" s="48"/>
      <c r="AD209" s="48"/>
      <c r="AE209" s="48"/>
      <c r="AF209" s="48"/>
      <c r="AG209" s="48"/>
      <c r="AH209" s="48"/>
      <c r="AI209" s="48"/>
      <c r="AJ209" s="48"/>
      <c r="AK209" s="48"/>
      <c r="AL209" s="48"/>
      <c r="AM209" s="48"/>
      <c r="AN209" s="48"/>
      <c r="AO209" s="48"/>
      <c r="AP209" s="48"/>
      <c r="AQ209" s="48"/>
    </row>
    <row r="210" spans="1:43" x14ac:dyDescent="0.25">
      <c r="A210" s="48"/>
      <c r="B210" s="48"/>
      <c r="C210" s="296"/>
      <c r="D210" s="296"/>
      <c r="E210" s="296"/>
      <c r="F210" s="296"/>
      <c r="G210" s="296"/>
      <c r="H210" s="296"/>
      <c r="I210" s="296"/>
      <c r="J210" s="296"/>
      <c r="K210" s="296"/>
      <c r="L210" s="296"/>
      <c r="M210" s="203"/>
      <c r="N210" s="203"/>
      <c r="O210" s="203"/>
      <c r="P210" s="203"/>
      <c r="Q210" s="203"/>
      <c r="R210" s="203"/>
      <c r="S210" s="203"/>
      <c r="T210" s="203"/>
      <c r="U210" s="203"/>
      <c r="V210" s="48"/>
      <c r="W210" s="48"/>
      <c r="X210" s="48"/>
      <c r="Y210" s="48"/>
      <c r="Z210" s="48"/>
      <c r="AA210" s="48"/>
      <c r="AB210" s="48"/>
      <c r="AC210" s="48"/>
      <c r="AD210" s="48"/>
      <c r="AE210" s="48"/>
      <c r="AF210" s="48"/>
      <c r="AG210" s="48"/>
      <c r="AH210" s="48"/>
      <c r="AI210" s="48"/>
      <c r="AJ210" s="48"/>
      <c r="AK210" s="48"/>
      <c r="AL210" s="48"/>
      <c r="AM210" s="48"/>
      <c r="AN210" s="48"/>
      <c r="AO210" s="48"/>
      <c r="AP210" s="48"/>
      <c r="AQ210" s="48"/>
    </row>
    <row r="211" spans="1:43" x14ac:dyDescent="0.25">
      <c r="A211" s="48"/>
      <c r="B211" s="48"/>
      <c r="C211" s="296"/>
      <c r="D211" s="296"/>
      <c r="E211" s="296"/>
      <c r="F211" s="296"/>
      <c r="G211" s="296"/>
      <c r="H211" s="296"/>
      <c r="I211" s="296"/>
      <c r="J211" s="296"/>
      <c r="K211" s="296"/>
      <c r="L211" s="296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  <c r="AA211" s="48"/>
      <c r="AB211" s="48"/>
      <c r="AC211" s="48"/>
      <c r="AD211" s="48"/>
      <c r="AE211" s="48"/>
      <c r="AF211" s="48"/>
      <c r="AG211" s="48"/>
      <c r="AH211" s="48"/>
      <c r="AI211" s="48"/>
      <c r="AJ211" s="48"/>
      <c r="AK211" s="48"/>
      <c r="AL211" s="48"/>
      <c r="AM211" s="48"/>
      <c r="AN211" s="48"/>
      <c r="AO211" s="48"/>
      <c r="AP211" s="48"/>
      <c r="AQ211" s="48"/>
    </row>
    <row r="212" spans="1:43" x14ac:dyDescent="0.25">
      <c r="A212" s="48"/>
      <c r="B212" s="48"/>
      <c r="C212" s="296"/>
      <c r="D212" s="296"/>
      <c r="E212" s="296"/>
      <c r="F212" s="296"/>
      <c r="G212" s="296"/>
      <c r="H212" s="296"/>
      <c r="I212" s="296"/>
      <c r="J212" s="296"/>
      <c r="K212" s="296"/>
      <c r="L212" s="296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  <c r="AA212" s="48"/>
      <c r="AB212" s="48"/>
      <c r="AC212" s="48"/>
      <c r="AD212" s="48"/>
      <c r="AE212" s="48"/>
      <c r="AF212" s="48"/>
      <c r="AG212" s="48"/>
      <c r="AH212" s="48"/>
      <c r="AI212" s="48"/>
      <c r="AJ212" s="48"/>
      <c r="AK212" s="48"/>
      <c r="AL212" s="48"/>
      <c r="AM212" s="48"/>
      <c r="AN212" s="48"/>
      <c r="AO212" s="48"/>
      <c r="AP212" s="48"/>
      <c r="AQ212" s="48"/>
    </row>
    <row r="213" spans="1:43" x14ac:dyDescent="0.25">
      <c r="A213" s="48"/>
      <c r="B213" s="48"/>
      <c r="C213" s="296"/>
      <c r="D213" s="296"/>
      <c r="E213" s="296"/>
      <c r="F213" s="296"/>
      <c r="G213" s="296"/>
      <c r="H213" s="296"/>
      <c r="I213" s="296"/>
      <c r="J213" s="296"/>
      <c r="K213" s="296"/>
      <c r="L213" s="296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  <c r="AA213" s="48"/>
      <c r="AB213" s="48"/>
      <c r="AC213" s="48"/>
      <c r="AD213" s="48"/>
      <c r="AE213" s="48"/>
      <c r="AF213" s="48"/>
      <c r="AG213" s="48"/>
      <c r="AH213" s="48"/>
      <c r="AI213" s="48"/>
      <c r="AJ213" s="48"/>
      <c r="AK213" s="48"/>
      <c r="AL213" s="48"/>
      <c r="AM213" s="48"/>
      <c r="AN213" s="48"/>
      <c r="AO213" s="48"/>
      <c r="AP213" s="48"/>
      <c r="AQ213" s="48"/>
    </row>
    <row r="214" spans="1:43" x14ac:dyDescent="0.25">
      <c r="A214" s="48"/>
      <c r="B214" s="48"/>
      <c r="C214" s="296"/>
      <c r="D214" s="296"/>
      <c r="E214" s="296"/>
      <c r="F214" s="296"/>
      <c r="G214" s="296"/>
      <c r="H214" s="296"/>
      <c r="I214" s="296"/>
      <c r="J214" s="296"/>
      <c r="K214" s="296"/>
      <c r="L214" s="296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8"/>
      <c r="AD214" s="48"/>
      <c r="AE214" s="48"/>
      <c r="AF214" s="48"/>
      <c r="AG214" s="48"/>
      <c r="AH214" s="48"/>
      <c r="AI214" s="48"/>
      <c r="AJ214" s="48"/>
      <c r="AK214" s="48"/>
      <c r="AL214" s="48"/>
      <c r="AM214" s="48"/>
      <c r="AN214" s="48"/>
      <c r="AO214" s="48"/>
      <c r="AP214" s="48"/>
      <c r="AQ214" s="48"/>
    </row>
    <row r="215" spans="1:43" x14ac:dyDescent="0.25">
      <c r="A215" s="48"/>
      <c r="B215" s="48"/>
      <c r="C215" s="296"/>
      <c r="D215" s="296"/>
      <c r="E215" s="296"/>
      <c r="F215" s="296"/>
      <c r="G215" s="296"/>
      <c r="H215" s="296"/>
      <c r="I215" s="296"/>
      <c r="J215" s="296"/>
      <c r="K215" s="296"/>
      <c r="L215" s="296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8"/>
      <c r="AD215" s="48"/>
      <c r="AE215" s="48"/>
      <c r="AF215" s="48"/>
      <c r="AG215" s="48"/>
      <c r="AH215" s="48"/>
      <c r="AI215" s="48"/>
      <c r="AJ215" s="48"/>
      <c r="AK215" s="48"/>
      <c r="AL215" s="48"/>
      <c r="AM215" s="48"/>
      <c r="AN215" s="48"/>
      <c r="AO215" s="48"/>
      <c r="AP215" s="48"/>
      <c r="AQ215" s="48"/>
    </row>
    <row r="216" spans="1:43" x14ac:dyDescent="0.25">
      <c r="A216" s="48"/>
      <c r="B216" s="48"/>
      <c r="C216" s="296"/>
      <c r="D216" s="296"/>
      <c r="E216" s="296"/>
      <c r="F216" s="296"/>
      <c r="G216" s="296"/>
      <c r="H216" s="296"/>
      <c r="I216" s="296"/>
      <c r="J216" s="296"/>
      <c r="K216" s="296"/>
      <c r="L216" s="296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8"/>
      <c r="AD216" s="48"/>
      <c r="AE216" s="48"/>
      <c r="AF216" s="48"/>
      <c r="AG216" s="48"/>
      <c r="AH216" s="48"/>
      <c r="AI216" s="48"/>
      <c r="AJ216" s="48"/>
      <c r="AK216" s="48"/>
      <c r="AL216" s="48"/>
      <c r="AM216" s="48"/>
      <c r="AN216" s="48"/>
      <c r="AO216" s="48"/>
      <c r="AP216" s="48"/>
      <c r="AQ216" s="48"/>
    </row>
    <row r="217" spans="1:43" x14ac:dyDescent="0.25">
      <c r="A217" s="48"/>
      <c r="B217" s="48"/>
      <c r="C217" s="296"/>
      <c r="D217" s="296"/>
      <c r="E217" s="296"/>
      <c r="F217" s="296"/>
      <c r="G217" s="296"/>
      <c r="H217" s="296"/>
      <c r="I217" s="296"/>
      <c r="J217" s="296"/>
      <c r="K217" s="296"/>
      <c r="L217" s="296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  <c r="AA217" s="48"/>
      <c r="AB217" s="48"/>
      <c r="AC217" s="48"/>
      <c r="AD217" s="48"/>
      <c r="AE217" s="48"/>
      <c r="AF217" s="48"/>
      <c r="AG217" s="48"/>
      <c r="AH217" s="48"/>
      <c r="AI217" s="48"/>
      <c r="AJ217" s="48"/>
      <c r="AK217" s="48"/>
      <c r="AL217" s="48"/>
      <c r="AM217" s="48"/>
      <c r="AN217" s="48"/>
      <c r="AO217" s="48"/>
      <c r="AP217" s="48"/>
      <c r="AQ217" s="48"/>
    </row>
    <row r="218" spans="1:43" x14ac:dyDescent="0.25">
      <c r="A218" s="48"/>
      <c r="B218" s="48"/>
      <c r="C218" s="296"/>
      <c r="D218" s="296"/>
      <c r="E218" s="296"/>
      <c r="F218" s="296"/>
      <c r="G218" s="296"/>
      <c r="H218" s="296"/>
      <c r="I218" s="296"/>
      <c r="J218" s="296"/>
      <c r="K218" s="296"/>
      <c r="L218" s="296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  <c r="AA218" s="48"/>
      <c r="AB218" s="48"/>
      <c r="AC218" s="48"/>
      <c r="AD218" s="48"/>
      <c r="AE218" s="48"/>
      <c r="AF218" s="48"/>
      <c r="AG218" s="48"/>
      <c r="AH218" s="48"/>
      <c r="AI218" s="48"/>
      <c r="AJ218" s="48"/>
      <c r="AK218" s="48"/>
      <c r="AL218" s="48"/>
      <c r="AM218" s="48"/>
      <c r="AN218" s="48"/>
      <c r="AO218" s="48"/>
      <c r="AP218" s="48"/>
      <c r="AQ218" s="48"/>
    </row>
    <row r="219" spans="1:43" x14ac:dyDescent="0.25">
      <c r="A219" s="48"/>
      <c r="B219" s="48"/>
      <c r="C219" s="296"/>
      <c r="D219" s="296"/>
      <c r="E219" s="296"/>
      <c r="F219" s="296"/>
      <c r="G219" s="296"/>
      <c r="H219" s="296"/>
      <c r="I219" s="296"/>
      <c r="J219" s="296"/>
      <c r="K219" s="296"/>
      <c r="L219" s="296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48"/>
      <c r="AC219" s="48"/>
      <c r="AD219" s="48"/>
      <c r="AE219" s="48"/>
      <c r="AF219" s="48"/>
      <c r="AG219" s="48"/>
      <c r="AH219" s="48"/>
      <c r="AI219" s="48"/>
      <c r="AJ219" s="48"/>
      <c r="AK219" s="48"/>
      <c r="AL219" s="48"/>
      <c r="AM219" s="48"/>
      <c r="AN219" s="48"/>
      <c r="AO219" s="48"/>
      <c r="AP219" s="48"/>
      <c r="AQ219" s="48"/>
    </row>
    <row r="220" spans="1:43" x14ac:dyDescent="0.25">
      <c r="A220" s="48"/>
      <c r="B220" s="48"/>
      <c r="C220" s="296"/>
      <c r="D220" s="296"/>
      <c r="E220" s="296"/>
      <c r="F220" s="296"/>
      <c r="G220" s="296"/>
      <c r="H220" s="296"/>
      <c r="I220" s="296"/>
      <c r="J220" s="296"/>
      <c r="K220" s="296"/>
      <c r="L220" s="296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48"/>
      <c r="AC220" s="48"/>
      <c r="AD220" s="48"/>
      <c r="AE220" s="48"/>
      <c r="AF220" s="48"/>
      <c r="AG220" s="48"/>
      <c r="AH220" s="48"/>
      <c r="AI220" s="48"/>
      <c r="AJ220" s="48"/>
      <c r="AK220" s="48"/>
      <c r="AL220" s="48"/>
      <c r="AM220" s="48"/>
      <c r="AN220" s="48"/>
      <c r="AO220" s="48"/>
      <c r="AP220" s="48"/>
      <c r="AQ220" s="48"/>
    </row>
    <row r="221" spans="1:43" x14ac:dyDescent="0.25">
      <c r="A221" s="48"/>
      <c r="B221" s="48"/>
      <c r="C221" s="296"/>
      <c r="D221" s="296"/>
      <c r="E221" s="296"/>
      <c r="F221" s="296"/>
      <c r="G221" s="296"/>
      <c r="H221" s="296"/>
      <c r="I221" s="296"/>
      <c r="J221" s="296"/>
      <c r="K221" s="296"/>
      <c r="L221" s="296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  <c r="AA221" s="48"/>
      <c r="AB221" s="48"/>
      <c r="AC221" s="48"/>
      <c r="AD221" s="48"/>
      <c r="AE221" s="48"/>
      <c r="AF221" s="48"/>
      <c r="AG221" s="48"/>
      <c r="AH221" s="48"/>
      <c r="AI221" s="48"/>
      <c r="AJ221" s="48"/>
      <c r="AK221" s="48"/>
      <c r="AL221" s="48"/>
      <c r="AM221" s="48"/>
      <c r="AN221" s="48"/>
      <c r="AO221" s="48"/>
      <c r="AP221" s="48"/>
      <c r="AQ221" s="48"/>
    </row>
    <row r="222" spans="1:43" x14ac:dyDescent="0.25">
      <c r="A222" s="48"/>
      <c r="B222" s="48"/>
      <c r="C222" s="296"/>
      <c r="D222" s="296"/>
      <c r="E222" s="296"/>
      <c r="F222" s="296"/>
      <c r="G222" s="296"/>
      <c r="H222" s="296"/>
      <c r="I222" s="296"/>
      <c r="J222" s="296"/>
      <c r="K222" s="296"/>
      <c r="L222" s="296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  <c r="AA222" s="48"/>
      <c r="AB222" s="48"/>
      <c r="AC222" s="48"/>
      <c r="AD222" s="48"/>
      <c r="AE222" s="48"/>
      <c r="AF222" s="48"/>
      <c r="AG222" s="48"/>
      <c r="AH222" s="48"/>
      <c r="AI222" s="48"/>
      <c r="AJ222" s="48"/>
      <c r="AK222" s="48"/>
      <c r="AL222" s="48"/>
      <c r="AM222" s="48"/>
      <c r="AN222" s="48"/>
      <c r="AO222" s="48"/>
      <c r="AP222" s="48"/>
      <c r="AQ222" s="48"/>
    </row>
    <row r="223" spans="1:43" x14ac:dyDescent="0.25">
      <c r="A223" s="48"/>
      <c r="B223" s="48"/>
      <c r="C223" s="296"/>
      <c r="D223" s="296"/>
      <c r="E223" s="296"/>
      <c r="F223" s="296"/>
      <c r="G223" s="296"/>
      <c r="H223" s="296"/>
      <c r="I223" s="296"/>
      <c r="J223" s="296"/>
      <c r="K223" s="296"/>
      <c r="L223" s="296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  <c r="AA223" s="48"/>
      <c r="AB223" s="48"/>
      <c r="AC223" s="48"/>
      <c r="AD223" s="48"/>
      <c r="AE223" s="48"/>
      <c r="AF223" s="48"/>
      <c r="AG223" s="48"/>
      <c r="AH223" s="48"/>
      <c r="AI223" s="48"/>
      <c r="AJ223" s="48"/>
      <c r="AK223" s="48"/>
      <c r="AL223" s="48"/>
      <c r="AM223" s="48"/>
      <c r="AN223" s="48"/>
      <c r="AO223" s="48"/>
      <c r="AP223" s="48"/>
      <c r="AQ223" s="48"/>
    </row>
    <row r="224" spans="1:43" x14ac:dyDescent="0.25">
      <c r="A224" s="48"/>
      <c r="B224" s="48"/>
      <c r="C224" s="296"/>
      <c r="D224" s="296"/>
      <c r="E224" s="296"/>
      <c r="F224" s="296"/>
      <c r="G224" s="296"/>
      <c r="H224" s="296"/>
      <c r="I224" s="296"/>
      <c r="J224" s="296"/>
      <c r="K224" s="296"/>
      <c r="L224" s="296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8"/>
      <c r="AD224" s="48"/>
      <c r="AE224" s="48"/>
      <c r="AF224" s="48"/>
      <c r="AG224" s="48"/>
      <c r="AH224" s="48"/>
      <c r="AI224" s="48"/>
      <c r="AJ224" s="48"/>
      <c r="AK224" s="48"/>
      <c r="AL224" s="48"/>
      <c r="AM224" s="48"/>
      <c r="AN224" s="48"/>
      <c r="AO224" s="48"/>
      <c r="AP224" s="48"/>
      <c r="AQ224" s="48"/>
    </row>
    <row r="225" spans="1:43" x14ac:dyDescent="0.25">
      <c r="A225" s="48"/>
      <c r="B225" s="48"/>
      <c r="C225" s="296"/>
      <c r="D225" s="296"/>
      <c r="E225" s="296"/>
      <c r="F225" s="296"/>
      <c r="G225" s="296"/>
      <c r="H225" s="296"/>
      <c r="I225" s="296"/>
      <c r="J225" s="296"/>
      <c r="K225" s="296"/>
      <c r="L225" s="296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8"/>
      <c r="AD225" s="48"/>
      <c r="AE225" s="48"/>
      <c r="AF225" s="48"/>
      <c r="AG225" s="48"/>
      <c r="AH225" s="48"/>
      <c r="AI225" s="48"/>
      <c r="AJ225" s="48"/>
      <c r="AK225" s="48"/>
      <c r="AL225" s="48"/>
      <c r="AM225" s="48"/>
      <c r="AN225" s="48"/>
      <c r="AO225" s="48"/>
      <c r="AP225" s="48"/>
      <c r="AQ225" s="48"/>
    </row>
    <row r="226" spans="1:43" x14ac:dyDescent="0.25">
      <c r="A226" s="48"/>
      <c r="B226" s="48"/>
      <c r="C226" s="296"/>
      <c r="D226" s="296"/>
      <c r="E226" s="296"/>
      <c r="F226" s="296"/>
      <c r="G226" s="296"/>
      <c r="H226" s="296"/>
      <c r="I226" s="296"/>
      <c r="J226" s="296"/>
      <c r="K226" s="296"/>
      <c r="L226" s="296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8"/>
      <c r="AD226" s="48"/>
      <c r="AE226" s="48"/>
      <c r="AF226" s="48"/>
      <c r="AG226" s="48"/>
      <c r="AH226" s="48"/>
      <c r="AI226" s="48"/>
      <c r="AJ226" s="48"/>
      <c r="AK226" s="48"/>
      <c r="AL226" s="48"/>
      <c r="AM226" s="48"/>
      <c r="AN226" s="48"/>
      <c r="AO226" s="48"/>
      <c r="AP226" s="48"/>
      <c r="AQ226" s="48"/>
    </row>
    <row r="227" spans="1:43" x14ac:dyDescent="0.25">
      <c r="A227" s="48"/>
      <c r="B227" s="48"/>
      <c r="C227" s="296"/>
      <c r="D227" s="296"/>
      <c r="E227" s="296"/>
      <c r="F227" s="296"/>
      <c r="G227" s="296"/>
      <c r="H227" s="296"/>
      <c r="I227" s="296"/>
      <c r="J227" s="296"/>
      <c r="K227" s="296"/>
      <c r="L227" s="296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  <c r="AA227" s="48"/>
      <c r="AB227" s="48"/>
      <c r="AC227" s="48"/>
      <c r="AD227" s="48"/>
      <c r="AE227" s="48"/>
      <c r="AF227" s="48"/>
      <c r="AG227" s="48"/>
      <c r="AH227" s="48"/>
      <c r="AI227" s="48"/>
      <c r="AJ227" s="48"/>
      <c r="AK227" s="48"/>
      <c r="AL227" s="48"/>
      <c r="AM227" s="48"/>
      <c r="AN227" s="48"/>
      <c r="AO227" s="48"/>
      <c r="AP227" s="48"/>
      <c r="AQ227" s="48"/>
    </row>
    <row r="228" spans="1:43" x14ac:dyDescent="0.25">
      <c r="A228" s="48"/>
      <c r="B228" s="48"/>
      <c r="C228" s="296"/>
      <c r="D228" s="296"/>
      <c r="E228" s="296"/>
      <c r="F228" s="296"/>
      <c r="G228" s="296"/>
      <c r="H228" s="296"/>
      <c r="I228" s="296"/>
      <c r="J228" s="296"/>
      <c r="K228" s="296"/>
      <c r="L228" s="296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  <c r="AA228" s="48"/>
      <c r="AB228" s="48"/>
      <c r="AC228" s="48"/>
      <c r="AD228" s="48"/>
      <c r="AE228" s="48"/>
      <c r="AF228" s="48"/>
      <c r="AG228" s="48"/>
      <c r="AH228" s="48"/>
      <c r="AI228" s="48"/>
      <c r="AJ228" s="48"/>
      <c r="AK228" s="48"/>
      <c r="AL228" s="48"/>
      <c r="AM228" s="48"/>
      <c r="AN228" s="48"/>
      <c r="AO228" s="48"/>
      <c r="AP228" s="48"/>
      <c r="AQ228" s="48"/>
    </row>
    <row r="229" spans="1:43" x14ac:dyDescent="0.25">
      <c r="A229" s="48"/>
      <c r="B229" s="48"/>
      <c r="C229" s="296"/>
      <c r="D229" s="296"/>
      <c r="E229" s="296"/>
      <c r="F229" s="296"/>
      <c r="G229" s="296"/>
      <c r="H229" s="296"/>
      <c r="I229" s="296"/>
      <c r="J229" s="296"/>
      <c r="K229" s="296"/>
      <c r="L229" s="296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  <c r="AA229" s="48"/>
      <c r="AB229" s="48"/>
      <c r="AC229" s="48"/>
      <c r="AD229" s="48"/>
      <c r="AE229" s="48"/>
      <c r="AF229" s="48"/>
      <c r="AG229" s="48"/>
      <c r="AH229" s="48"/>
      <c r="AI229" s="48"/>
      <c r="AJ229" s="48"/>
      <c r="AK229" s="48"/>
      <c r="AL229" s="48"/>
      <c r="AM229" s="48"/>
      <c r="AN229" s="48"/>
      <c r="AO229" s="48"/>
      <c r="AP229" s="48"/>
      <c r="AQ229" s="48"/>
    </row>
    <row r="230" spans="1:43" x14ac:dyDescent="0.25">
      <c r="A230" s="48"/>
      <c r="B230" s="48"/>
      <c r="C230" s="296"/>
      <c r="D230" s="296"/>
      <c r="E230" s="296"/>
      <c r="F230" s="296"/>
      <c r="G230" s="296"/>
      <c r="H230" s="296"/>
      <c r="I230" s="296"/>
      <c r="J230" s="296"/>
      <c r="K230" s="296"/>
      <c r="L230" s="296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  <c r="AA230" s="48"/>
      <c r="AB230" s="48"/>
      <c r="AC230" s="48"/>
      <c r="AD230" s="48"/>
      <c r="AE230" s="48"/>
      <c r="AF230" s="48"/>
      <c r="AG230" s="48"/>
      <c r="AH230" s="48"/>
      <c r="AI230" s="48"/>
      <c r="AJ230" s="48"/>
      <c r="AK230" s="48"/>
      <c r="AL230" s="48"/>
      <c r="AM230" s="48"/>
      <c r="AN230" s="48"/>
      <c r="AO230" s="48"/>
      <c r="AP230" s="48"/>
      <c r="AQ230" s="48"/>
    </row>
    <row r="231" spans="1:43" x14ac:dyDescent="0.25">
      <c r="A231" s="48"/>
      <c r="B231" s="48"/>
      <c r="C231" s="296"/>
      <c r="D231" s="296"/>
      <c r="E231" s="296"/>
      <c r="F231" s="296"/>
      <c r="G231" s="296"/>
      <c r="H231" s="296"/>
      <c r="I231" s="296"/>
      <c r="J231" s="296"/>
      <c r="K231" s="296"/>
      <c r="L231" s="296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  <c r="AA231" s="48"/>
      <c r="AB231" s="48"/>
      <c r="AC231" s="48"/>
      <c r="AD231" s="48"/>
      <c r="AE231" s="48"/>
      <c r="AF231" s="48"/>
      <c r="AG231" s="48"/>
      <c r="AH231" s="48"/>
      <c r="AI231" s="48"/>
      <c r="AJ231" s="48"/>
      <c r="AK231" s="48"/>
      <c r="AL231" s="48"/>
      <c r="AM231" s="48"/>
      <c r="AN231" s="48"/>
      <c r="AO231" s="48"/>
      <c r="AP231" s="48"/>
      <c r="AQ231" s="48"/>
    </row>
    <row r="232" spans="1:43" x14ac:dyDescent="0.25">
      <c r="A232" s="48"/>
      <c r="B232" s="48"/>
      <c r="C232" s="296"/>
      <c r="D232" s="296"/>
      <c r="E232" s="296"/>
      <c r="F232" s="296"/>
      <c r="G232" s="296"/>
      <c r="H232" s="296"/>
      <c r="I232" s="296"/>
      <c r="J232" s="296"/>
      <c r="K232" s="296"/>
      <c r="L232" s="296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8"/>
      <c r="AD232" s="48"/>
      <c r="AE232" s="48"/>
      <c r="AF232" s="48"/>
      <c r="AG232" s="48"/>
      <c r="AH232" s="48"/>
      <c r="AI232" s="48"/>
      <c r="AJ232" s="48"/>
      <c r="AK232" s="48"/>
      <c r="AL232" s="48"/>
      <c r="AM232" s="48"/>
      <c r="AN232" s="48"/>
      <c r="AO232" s="48"/>
      <c r="AP232" s="48"/>
      <c r="AQ232" s="48"/>
    </row>
    <row r="233" spans="1:43" x14ac:dyDescent="0.25">
      <c r="A233" s="48"/>
      <c r="B233" s="48"/>
      <c r="C233" s="296"/>
      <c r="D233" s="296"/>
      <c r="E233" s="296"/>
      <c r="F233" s="296"/>
      <c r="G233" s="296"/>
      <c r="H233" s="296"/>
      <c r="I233" s="296"/>
      <c r="J233" s="296"/>
      <c r="K233" s="296"/>
      <c r="L233" s="296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  <c r="AA233" s="48"/>
      <c r="AB233" s="48"/>
      <c r="AC233" s="48"/>
      <c r="AD233" s="48"/>
      <c r="AE233" s="48"/>
      <c r="AF233" s="48"/>
      <c r="AG233" s="48"/>
      <c r="AH233" s="48"/>
      <c r="AI233" s="48"/>
      <c r="AJ233" s="48"/>
      <c r="AK233" s="48"/>
      <c r="AL233" s="48"/>
      <c r="AM233" s="48"/>
      <c r="AN233" s="48"/>
      <c r="AO233" s="48"/>
      <c r="AP233" s="48"/>
      <c r="AQ233" s="48"/>
    </row>
    <row r="234" spans="1:43" x14ac:dyDescent="0.25">
      <c r="A234" s="48"/>
      <c r="B234" s="48"/>
      <c r="C234" s="296"/>
      <c r="D234" s="296"/>
      <c r="E234" s="296"/>
      <c r="F234" s="296"/>
      <c r="G234" s="296"/>
      <c r="H234" s="296"/>
      <c r="I234" s="296"/>
      <c r="J234" s="296"/>
      <c r="K234" s="296"/>
      <c r="L234" s="296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8"/>
      <c r="AD234" s="48"/>
      <c r="AE234" s="48"/>
      <c r="AF234" s="48"/>
      <c r="AG234" s="48"/>
      <c r="AH234" s="48"/>
      <c r="AI234" s="48"/>
      <c r="AJ234" s="48"/>
      <c r="AK234" s="48"/>
      <c r="AL234" s="48"/>
      <c r="AM234" s="48"/>
      <c r="AN234" s="48"/>
      <c r="AO234" s="48"/>
      <c r="AP234" s="48"/>
      <c r="AQ234" s="48"/>
    </row>
    <row r="235" spans="1:43" x14ac:dyDescent="0.25">
      <c r="A235" s="48"/>
      <c r="B235" s="48"/>
      <c r="C235" s="296"/>
      <c r="D235" s="296"/>
      <c r="E235" s="296"/>
      <c r="F235" s="296"/>
      <c r="G235" s="296"/>
      <c r="H235" s="296"/>
      <c r="I235" s="296"/>
      <c r="J235" s="296"/>
      <c r="K235" s="296"/>
      <c r="L235" s="296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8"/>
      <c r="AD235" s="48"/>
      <c r="AE235" s="48"/>
      <c r="AF235" s="48"/>
      <c r="AG235" s="48"/>
      <c r="AH235" s="48"/>
      <c r="AI235" s="48"/>
      <c r="AJ235" s="48"/>
      <c r="AK235" s="48"/>
      <c r="AL235" s="48"/>
      <c r="AM235" s="48"/>
      <c r="AN235" s="48"/>
      <c r="AO235" s="48"/>
      <c r="AP235" s="48"/>
      <c r="AQ235" s="48"/>
    </row>
    <row r="236" spans="1:43" x14ac:dyDescent="0.25">
      <c r="A236" s="48"/>
      <c r="B236" s="48"/>
      <c r="C236" s="296"/>
      <c r="D236" s="296"/>
      <c r="E236" s="296"/>
      <c r="F236" s="296"/>
      <c r="G236" s="296"/>
      <c r="H236" s="296"/>
      <c r="I236" s="296"/>
      <c r="J236" s="296"/>
      <c r="K236" s="296"/>
      <c r="L236" s="296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8"/>
      <c r="AD236" s="48"/>
      <c r="AE236" s="48"/>
      <c r="AF236" s="48"/>
      <c r="AG236" s="48"/>
      <c r="AH236" s="48"/>
      <c r="AI236" s="48"/>
      <c r="AJ236" s="48"/>
      <c r="AK236" s="48"/>
      <c r="AL236" s="48"/>
      <c r="AM236" s="48"/>
      <c r="AN236" s="48"/>
      <c r="AO236" s="48"/>
      <c r="AP236" s="48"/>
      <c r="AQ236" s="48"/>
    </row>
    <row r="237" spans="1:43" x14ac:dyDescent="0.25">
      <c r="A237" s="48"/>
      <c r="B237" s="48"/>
      <c r="C237" s="296"/>
      <c r="D237" s="296"/>
      <c r="E237" s="296"/>
      <c r="F237" s="296"/>
      <c r="G237" s="296"/>
      <c r="H237" s="296"/>
      <c r="I237" s="296"/>
      <c r="J237" s="296"/>
      <c r="K237" s="296"/>
      <c r="L237" s="296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  <c r="AA237" s="48"/>
      <c r="AB237" s="48"/>
      <c r="AC237" s="48"/>
      <c r="AD237" s="48"/>
      <c r="AE237" s="48"/>
      <c r="AF237" s="48"/>
      <c r="AG237" s="48"/>
      <c r="AH237" s="48"/>
      <c r="AI237" s="48"/>
      <c r="AJ237" s="48"/>
      <c r="AK237" s="48"/>
      <c r="AL237" s="48"/>
      <c r="AM237" s="48"/>
      <c r="AN237" s="48"/>
      <c r="AO237" s="48"/>
      <c r="AP237" s="48"/>
      <c r="AQ237" s="48"/>
    </row>
    <row r="238" spans="1:43" x14ac:dyDescent="0.25">
      <c r="A238" s="48"/>
      <c r="B238" s="48"/>
      <c r="C238" s="296"/>
      <c r="D238" s="296"/>
      <c r="E238" s="296"/>
      <c r="F238" s="296"/>
      <c r="G238" s="296"/>
      <c r="H238" s="296"/>
      <c r="I238" s="296"/>
      <c r="J238" s="296"/>
      <c r="K238" s="296"/>
      <c r="L238" s="296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  <c r="AA238" s="48"/>
      <c r="AB238" s="48"/>
      <c r="AC238" s="48"/>
      <c r="AD238" s="48"/>
      <c r="AE238" s="48"/>
      <c r="AF238" s="48"/>
      <c r="AG238" s="48"/>
      <c r="AH238" s="48"/>
      <c r="AI238" s="48"/>
      <c r="AJ238" s="48"/>
      <c r="AK238" s="48"/>
      <c r="AL238" s="48"/>
      <c r="AM238" s="48"/>
      <c r="AN238" s="48"/>
      <c r="AO238" s="48"/>
      <c r="AP238" s="48"/>
      <c r="AQ238" s="48"/>
    </row>
    <row r="239" spans="1:43" x14ac:dyDescent="0.25">
      <c r="A239" s="48"/>
      <c r="B239" s="48"/>
      <c r="C239" s="296"/>
      <c r="D239" s="296"/>
      <c r="E239" s="296"/>
      <c r="F239" s="296"/>
      <c r="G239" s="296"/>
      <c r="H239" s="296"/>
      <c r="I239" s="296"/>
      <c r="J239" s="296"/>
      <c r="K239" s="296"/>
      <c r="L239" s="296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  <c r="AA239" s="48"/>
      <c r="AB239" s="48"/>
      <c r="AC239" s="48"/>
      <c r="AD239" s="48"/>
      <c r="AE239" s="48"/>
      <c r="AF239" s="48"/>
      <c r="AG239" s="48"/>
      <c r="AH239" s="48"/>
      <c r="AI239" s="48"/>
      <c r="AJ239" s="48"/>
      <c r="AK239" s="48"/>
      <c r="AL239" s="48"/>
      <c r="AM239" s="48"/>
      <c r="AN239" s="48"/>
      <c r="AO239" s="48"/>
      <c r="AP239" s="48"/>
      <c r="AQ239" s="48"/>
    </row>
    <row r="240" spans="1:43" x14ac:dyDescent="0.25">
      <c r="A240" s="48"/>
      <c r="B240" s="48"/>
      <c r="C240" s="296"/>
      <c r="D240" s="296"/>
      <c r="E240" s="296"/>
      <c r="F240" s="296"/>
      <c r="G240" s="296"/>
      <c r="H240" s="296"/>
      <c r="I240" s="296"/>
      <c r="J240" s="296"/>
      <c r="K240" s="296"/>
      <c r="L240" s="296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/>
      <c r="AC240" s="48"/>
      <c r="AD240" s="48"/>
      <c r="AE240" s="48"/>
      <c r="AF240" s="48"/>
      <c r="AG240" s="48"/>
      <c r="AH240" s="48"/>
      <c r="AI240" s="48"/>
      <c r="AJ240" s="48"/>
      <c r="AK240" s="48"/>
      <c r="AL240" s="48"/>
      <c r="AM240" s="48"/>
      <c r="AN240" s="48"/>
      <c r="AO240" s="48"/>
      <c r="AP240" s="48"/>
      <c r="AQ240" s="48"/>
    </row>
    <row r="241" spans="1:43" x14ac:dyDescent="0.25">
      <c r="A241" s="48"/>
      <c r="B241" s="48"/>
      <c r="C241" s="296"/>
      <c r="D241" s="296"/>
      <c r="E241" s="296"/>
      <c r="F241" s="296"/>
      <c r="G241" s="296"/>
      <c r="H241" s="296"/>
      <c r="I241" s="296"/>
      <c r="J241" s="296"/>
      <c r="K241" s="296"/>
      <c r="L241" s="296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  <c r="AA241" s="48"/>
      <c r="AB241" s="48"/>
      <c r="AC241" s="48"/>
      <c r="AD241" s="48"/>
      <c r="AE241" s="48"/>
      <c r="AF241" s="48"/>
      <c r="AG241" s="48"/>
      <c r="AH241" s="48"/>
      <c r="AI241" s="48"/>
      <c r="AJ241" s="48"/>
      <c r="AK241" s="48"/>
      <c r="AL241" s="48"/>
      <c r="AM241" s="48"/>
      <c r="AN241" s="48"/>
      <c r="AO241" s="48"/>
      <c r="AP241" s="48"/>
      <c r="AQ241" s="48"/>
    </row>
    <row r="242" spans="1:43" x14ac:dyDescent="0.25">
      <c r="A242" s="48"/>
      <c r="B242" s="48"/>
      <c r="C242" s="296"/>
      <c r="D242" s="296"/>
      <c r="E242" s="296"/>
      <c r="F242" s="296"/>
      <c r="G242" s="296"/>
      <c r="H242" s="296"/>
      <c r="I242" s="296"/>
      <c r="J242" s="296"/>
      <c r="K242" s="296"/>
      <c r="L242" s="296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/>
      <c r="AC242" s="48"/>
      <c r="AD242" s="48"/>
      <c r="AE242" s="48"/>
      <c r="AF242" s="48"/>
      <c r="AG242" s="48"/>
      <c r="AH242" s="48"/>
      <c r="AI242" s="48"/>
      <c r="AJ242" s="48"/>
      <c r="AK242" s="48"/>
      <c r="AL242" s="48"/>
      <c r="AM242" s="48"/>
      <c r="AN242" s="48"/>
      <c r="AO242" s="48"/>
      <c r="AP242" s="48"/>
      <c r="AQ242" s="48"/>
    </row>
    <row r="243" spans="1:43" x14ac:dyDescent="0.25">
      <c r="A243" s="48"/>
      <c r="B243" s="48"/>
      <c r="C243" s="296"/>
      <c r="D243" s="296"/>
      <c r="E243" s="296"/>
      <c r="F243" s="296"/>
      <c r="G243" s="296"/>
      <c r="H243" s="296"/>
      <c r="I243" s="296"/>
      <c r="J243" s="296"/>
      <c r="K243" s="296"/>
      <c r="L243" s="296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8"/>
      <c r="AC243" s="48"/>
      <c r="AD243" s="48"/>
      <c r="AE243" s="48"/>
      <c r="AF243" s="48"/>
      <c r="AG243" s="48"/>
      <c r="AH243" s="48"/>
      <c r="AI243" s="48"/>
      <c r="AJ243" s="48"/>
      <c r="AK243" s="48"/>
      <c r="AL243" s="48"/>
      <c r="AM243" s="48"/>
      <c r="AN243" s="48"/>
      <c r="AO243" s="48"/>
      <c r="AP243" s="48"/>
      <c r="AQ243" s="48"/>
    </row>
    <row r="244" spans="1:43" x14ac:dyDescent="0.25">
      <c r="A244" s="48"/>
      <c r="B244" s="48"/>
      <c r="C244" s="296"/>
      <c r="D244" s="296"/>
      <c r="E244" s="296"/>
      <c r="F244" s="296"/>
      <c r="G244" s="296"/>
      <c r="H244" s="296"/>
      <c r="I244" s="296"/>
      <c r="J244" s="296"/>
      <c r="K244" s="296"/>
      <c r="L244" s="296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8"/>
      <c r="AD244" s="48"/>
      <c r="AE244" s="48"/>
      <c r="AF244" s="48"/>
      <c r="AG244" s="48"/>
      <c r="AH244" s="48"/>
      <c r="AI244" s="48"/>
      <c r="AJ244" s="48"/>
      <c r="AK244" s="48"/>
      <c r="AL244" s="48"/>
      <c r="AM244" s="48"/>
      <c r="AN244" s="48"/>
      <c r="AO244" s="48"/>
      <c r="AP244" s="48"/>
      <c r="AQ244" s="48"/>
    </row>
    <row r="245" spans="1:43" x14ac:dyDescent="0.25">
      <c r="A245" s="48"/>
      <c r="B245" s="48"/>
      <c r="C245" s="296"/>
      <c r="D245" s="296"/>
      <c r="E245" s="296"/>
      <c r="F245" s="296"/>
      <c r="G245" s="296"/>
      <c r="H245" s="296"/>
      <c r="I245" s="296"/>
      <c r="J245" s="296"/>
      <c r="K245" s="296"/>
      <c r="L245" s="296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8"/>
      <c r="AD245" s="48"/>
      <c r="AE245" s="48"/>
      <c r="AF245" s="48"/>
      <c r="AG245" s="48"/>
      <c r="AH245" s="48"/>
      <c r="AI245" s="48"/>
      <c r="AJ245" s="48"/>
      <c r="AK245" s="48"/>
      <c r="AL245" s="48"/>
      <c r="AM245" s="48"/>
      <c r="AN245" s="48"/>
      <c r="AO245" s="48"/>
      <c r="AP245" s="48"/>
      <c r="AQ245" s="48"/>
    </row>
    <row r="246" spans="1:43" x14ac:dyDescent="0.25">
      <c r="A246" s="48"/>
      <c r="B246" s="48"/>
      <c r="C246" s="296"/>
      <c r="D246" s="296"/>
      <c r="E246" s="296"/>
      <c r="F246" s="296"/>
      <c r="G246" s="296"/>
      <c r="H246" s="296"/>
      <c r="I246" s="296"/>
      <c r="J246" s="296"/>
      <c r="K246" s="296"/>
      <c r="L246" s="296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8"/>
      <c r="AD246" s="48"/>
      <c r="AE246" s="48"/>
      <c r="AF246" s="48"/>
      <c r="AG246" s="48"/>
      <c r="AH246" s="48"/>
      <c r="AI246" s="48"/>
      <c r="AJ246" s="48"/>
      <c r="AK246" s="48"/>
      <c r="AL246" s="48"/>
      <c r="AM246" s="48"/>
      <c r="AN246" s="48"/>
      <c r="AO246" s="48"/>
      <c r="AP246" s="48"/>
      <c r="AQ246" s="48"/>
    </row>
    <row r="247" spans="1:43" x14ac:dyDescent="0.25">
      <c r="A247" s="48"/>
      <c r="B247" s="48"/>
      <c r="C247" s="296"/>
      <c r="D247" s="296"/>
      <c r="E247" s="296"/>
      <c r="F247" s="296"/>
      <c r="G247" s="296"/>
      <c r="H247" s="296"/>
      <c r="I247" s="296"/>
      <c r="J247" s="296"/>
      <c r="K247" s="296"/>
      <c r="L247" s="296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  <c r="AA247" s="48"/>
      <c r="AB247" s="48"/>
      <c r="AC247" s="48"/>
      <c r="AD247" s="48"/>
      <c r="AE247" s="48"/>
      <c r="AF247" s="48"/>
      <c r="AG247" s="48"/>
      <c r="AH247" s="48"/>
      <c r="AI247" s="48"/>
      <c r="AJ247" s="48"/>
      <c r="AK247" s="48"/>
      <c r="AL247" s="48"/>
      <c r="AM247" s="48"/>
      <c r="AN247" s="48"/>
      <c r="AO247" s="48"/>
      <c r="AP247" s="48"/>
      <c r="AQ247" s="48"/>
    </row>
    <row r="248" spans="1:43" x14ac:dyDescent="0.25">
      <c r="A248" s="48"/>
      <c r="B248" s="48"/>
      <c r="C248" s="296"/>
      <c r="D248" s="296"/>
      <c r="E248" s="296"/>
      <c r="F248" s="296"/>
      <c r="G248" s="296"/>
      <c r="H248" s="296"/>
      <c r="I248" s="296"/>
      <c r="J248" s="296"/>
      <c r="K248" s="296"/>
      <c r="L248" s="296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  <c r="AA248" s="48"/>
      <c r="AB248" s="48"/>
      <c r="AC248" s="48"/>
      <c r="AD248" s="48"/>
      <c r="AE248" s="48"/>
      <c r="AF248" s="48"/>
      <c r="AG248" s="48"/>
      <c r="AH248" s="48"/>
      <c r="AI248" s="48"/>
      <c r="AJ248" s="48"/>
      <c r="AK248" s="48"/>
      <c r="AL248" s="48"/>
      <c r="AM248" s="48"/>
      <c r="AN248" s="48"/>
      <c r="AO248" s="48"/>
      <c r="AP248" s="48"/>
      <c r="AQ248" s="48"/>
    </row>
    <row r="249" spans="1:43" x14ac:dyDescent="0.25">
      <c r="A249" s="48"/>
      <c r="B249" s="48"/>
      <c r="C249" s="296"/>
      <c r="D249" s="296"/>
      <c r="E249" s="296"/>
      <c r="F249" s="296"/>
      <c r="G249" s="296"/>
      <c r="H249" s="296"/>
      <c r="I249" s="296"/>
      <c r="J249" s="296"/>
      <c r="K249" s="296"/>
      <c r="L249" s="296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  <c r="AA249" s="48"/>
      <c r="AB249" s="48"/>
      <c r="AC249" s="48"/>
      <c r="AD249" s="48"/>
      <c r="AE249" s="48"/>
      <c r="AF249" s="48"/>
      <c r="AG249" s="48"/>
      <c r="AH249" s="48"/>
      <c r="AI249" s="48"/>
      <c r="AJ249" s="48"/>
      <c r="AK249" s="48"/>
      <c r="AL249" s="48"/>
      <c r="AM249" s="48"/>
      <c r="AN249" s="48"/>
      <c r="AO249" s="48"/>
      <c r="AP249" s="48"/>
      <c r="AQ249" s="48"/>
    </row>
    <row r="250" spans="1:43" x14ac:dyDescent="0.25">
      <c r="A250" s="48"/>
      <c r="B250" s="48"/>
      <c r="C250" s="296"/>
      <c r="D250" s="296"/>
      <c r="E250" s="296"/>
      <c r="F250" s="296"/>
      <c r="G250" s="296"/>
      <c r="H250" s="296"/>
      <c r="I250" s="296"/>
      <c r="J250" s="296"/>
      <c r="K250" s="296"/>
      <c r="L250" s="296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  <c r="AA250" s="48"/>
      <c r="AB250" s="48"/>
      <c r="AC250" s="48"/>
      <c r="AD250" s="48"/>
      <c r="AE250" s="48"/>
      <c r="AF250" s="48"/>
      <c r="AG250" s="48"/>
      <c r="AH250" s="48"/>
      <c r="AI250" s="48"/>
      <c r="AJ250" s="48"/>
      <c r="AK250" s="48"/>
      <c r="AL250" s="48"/>
      <c r="AM250" s="48"/>
      <c r="AN250" s="48"/>
      <c r="AO250" s="48"/>
      <c r="AP250" s="48"/>
      <c r="AQ250" s="48"/>
    </row>
    <row r="251" spans="1:43" x14ac:dyDescent="0.25">
      <c r="A251" s="48"/>
      <c r="B251" s="48"/>
      <c r="C251" s="296"/>
      <c r="D251" s="296"/>
      <c r="E251" s="296"/>
      <c r="F251" s="296"/>
      <c r="G251" s="296"/>
      <c r="H251" s="296"/>
      <c r="I251" s="296"/>
      <c r="J251" s="296"/>
      <c r="K251" s="296"/>
      <c r="L251" s="296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  <c r="AA251" s="48"/>
      <c r="AB251" s="48"/>
      <c r="AC251" s="48"/>
      <c r="AD251" s="48"/>
      <c r="AE251" s="48"/>
      <c r="AF251" s="48"/>
      <c r="AG251" s="48"/>
      <c r="AH251" s="48"/>
      <c r="AI251" s="48"/>
      <c r="AJ251" s="48"/>
      <c r="AK251" s="48"/>
      <c r="AL251" s="48"/>
      <c r="AM251" s="48"/>
      <c r="AN251" s="48"/>
      <c r="AO251" s="48"/>
      <c r="AP251" s="48"/>
      <c r="AQ251" s="48"/>
    </row>
    <row r="252" spans="1:43" x14ac:dyDescent="0.25">
      <c r="A252" s="48"/>
      <c r="B252" s="48"/>
      <c r="C252" s="296"/>
      <c r="D252" s="296"/>
      <c r="E252" s="296"/>
      <c r="F252" s="296"/>
      <c r="G252" s="296"/>
      <c r="H252" s="296"/>
      <c r="I252" s="296"/>
      <c r="J252" s="296"/>
      <c r="K252" s="296"/>
      <c r="L252" s="296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  <c r="AA252" s="48"/>
      <c r="AB252" s="48"/>
      <c r="AC252" s="48"/>
      <c r="AD252" s="48"/>
      <c r="AE252" s="48"/>
      <c r="AF252" s="48"/>
      <c r="AG252" s="48"/>
      <c r="AH252" s="48"/>
      <c r="AI252" s="48"/>
      <c r="AJ252" s="48"/>
      <c r="AK252" s="48"/>
      <c r="AL252" s="48"/>
      <c r="AM252" s="48"/>
      <c r="AN252" s="48"/>
      <c r="AO252" s="48"/>
      <c r="AP252" s="48"/>
      <c r="AQ252" s="48"/>
    </row>
    <row r="253" spans="1:43" x14ac:dyDescent="0.25">
      <c r="A253" s="48"/>
      <c r="B253" s="48"/>
      <c r="C253" s="296"/>
      <c r="D253" s="296"/>
      <c r="E253" s="296"/>
      <c r="F253" s="296"/>
      <c r="G253" s="296"/>
      <c r="H253" s="296"/>
      <c r="I253" s="296"/>
      <c r="J253" s="296"/>
      <c r="K253" s="296"/>
      <c r="L253" s="296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  <c r="AF253" s="48"/>
      <c r="AG253" s="48"/>
      <c r="AH253" s="48"/>
      <c r="AI253" s="48"/>
      <c r="AJ253" s="48"/>
      <c r="AK253" s="48"/>
      <c r="AL253" s="48"/>
      <c r="AM253" s="48"/>
      <c r="AN253" s="48"/>
      <c r="AO253" s="48"/>
      <c r="AP253" s="48"/>
      <c r="AQ253" s="48"/>
    </row>
    <row r="254" spans="1:43" x14ac:dyDescent="0.25">
      <c r="A254" s="48"/>
      <c r="B254" s="48"/>
      <c r="C254" s="296"/>
      <c r="D254" s="296"/>
      <c r="E254" s="296"/>
      <c r="F254" s="296"/>
      <c r="G254" s="296"/>
      <c r="H254" s="296"/>
      <c r="I254" s="296"/>
      <c r="J254" s="296"/>
      <c r="K254" s="296"/>
      <c r="L254" s="296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8"/>
      <c r="AD254" s="48"/>
      <c r="AE254" s="48"/>
      <c r="AF254" s="48"/>
      <c r="AG254" s="48"/>
      <c r="AH254" s="48"/>
      <c r="AI254" s="48"/>
      <c r="AJ254" s="48"/>
      <c r="AK254" s="48"/>
      <c r="AL254" s="48"/>
      <c r="AM254" s="48"/>
      <c r="AN254" s="48"/>
      <c r="AO254" s="48"/>
      <c r="AP254" s="48"/>
      <c r="AQ254" s="48"/>
    </row>
    <row r="255" spans="1:43" x14ac:dyDescent="0.25">
      <c r="A255" s="48"/>
      <c r="B255" s="48"/>
      <c r="C255" s="296"/>
      <c r="D255" s="296"/>
      <c r="E255" s="296"/>
      <c r="F255" s="296"/>
      <c r="G255" s="296"/>
      <c r="H255" s="296"/>
      <c r="I255" s="296"/>
      <c r="J255" s="296"/>
      <c r="K255" s="296"/>
      <c r="L255" s="296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8"/>
      <c r="AD255" s="48"/>
      <c r="AE255" s="48"/>
      <c r="AF255" s="48"/>
      <c r="AG255" s="48"/>
      <c r="AH255" s="48"/>
      <c r="AI255" s="48"/>
      <c r="AJ255" s="48"/>
      <c r="AK255" s="48"/>
      <c r="AL255" s="48"/>
      <c r="AM255" s="48"/>
      <c r="AN255" s="48"/>
      <c r="AO255" s="48"/>
      <c r="AP255" s="48"/>
      <c r="AQ255" s="48"/>
    </row>
    <row r="256" spans="1:43" x14ac:dyDescent="0.25">
      <c r="A256" s="48"/>
      <c r="B256" s="48"/>
      <c r="C256" s="296"/>
      <c r="D256" s="296"/>
      <c r="E256" s="296"/>
      <c r="F256" s="296"/>
      <c r="G256" s="296"/>
      <c r="H256" s="296"/>
      <c r="I256" s="296"/>
      <c r="J256" s="296"/>
      <c r="K256" s="296"/>
      <c r="L256" s="296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8"/>
      <c r="AD256" s="48"/>
      <c r="AE256" s="48"/>
      <c r="AF256" s="48"/>
      <c r="AG256" s="48"/>
      <c r="AH256" s="48"/>
      <c r="AI256" s="48"/>
      <c r="AJ256" s="48"/>
      <c r="AK256" s="48"/>
      <c r="AL256" s="48"/>
      <c r="AM256" s="48"/>
      <c r="AN256" s="48"/>
      <c r="AO256" s="48"/>
      <c r="AP256" s="48"/>
      <c r="AQ256" s="48"/>
    </row>
    <row r="257" spans="1:43" x14ac:dyDescent="0.25">
      <c r="A257" s="48"/>
      <c r="B257" s="48"/>
      <c r="C257" s="296"/>
      <c r="D257" s="296"/>
      <c r="E257" s="296"/>
      <c r="F257" s="296"/>
      <c r="G257" s="296"/>
      <c r="H257" s="296"/>
      <c r="I257" s="296"/>
      <c r="J257" s="296"/>
      <c r="K257" s="296"/>
      <c r="L257" s="296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  <c r="AA257" s="48"/>
      <c r="AB257" s="48"/>
      <c r="AC257" s="48"/>
      <c r="AD257" s="48"/>
      <c r="AE257" s="48"/>
      <c r="AF257" s="48"/>
      <c r="AG257" s="48"/>
      <c r="AH257" s="48"/>
      <c r="AI257" s="48"/>
      <c r="AJ257" s="48"/>
      <c r="AK257" s="48"/>
      <c r="AL257" s="48"/>
      <c r="AM257" s="48"/>
      <c r="AN257" s="48"/>
      <c r="AO257" s="48"/>
      <c r="AP257" s="48"/>
      <c r="AQ257" s="48"/>
    </row>
    <row r="258" spans="1:43" x14ac:dyDescent="0.25">
      <c r="A258" s="48"/>
      <c r="B258" s="48"/>
      <c r="C258" s="296"/>
      <c r="D258" s="296"/>
      <c r="E258" s="296"/>
      <c r="F258" s="296"/>
      <c r="G258" s="296"/>
      <c r="H258" s="296"/>
      <c r="I258" s="296"/>
      <c r="J258" s="296"/>
      <c r="K258" s="296"/>
      <c r="L258" s="296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  <c r="AJ258" s="48"/>
      <c r="AK258" s="48"/>
      <c r="AL258" s="48"/>
      <c r="AM258" s="48"/>
      <c r="AN258" s="48"/>
      <c r="AO258" s="48"/>
      <c r="AP258" s="48"/>
      <c r="AQ258" s="48"/>
    </row>
    <row r="259" spans="1:43" x14ac:dyDescent="0.25">
      <c r="A259" s="48"/>
      <c r="B259" s="48"/>
      <c r="C259" s="296"/>
      <c r="D259" s="296"/>
      <c r="E259" s="296"/>
      <c r="F259" s="296"/>
      <c r="G259" s="296"/>
      <c r="H259" s="296"/>
      <c r="I259" s="296"/>
      <c r="J259" s="296"/>
      <c r="K259" s="296"/>
      <c r="L259" s="296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  <c r="AA259" s="48"/>
      <c r="AB259" s="48"/>
      <c r="AC259" s="48"/>
      <c r="AD259" s="48"/>
      <c r="AE259" s="48"/>
      <c r="AF259" s="48"/>
      <c r="AG259" s="48"/>
      <c r="AH259" s="48"/>
      <c r="AI259" s="48"/>
      <c r="AJ259" s="48"/>
      <c r="AK259" s="48"/>
      <c r="AL259" s="48"/>
      <c r="AM259" s="48"/>
      <c r="AN259" s="48"/>
      <c r="AO259" s="48"/>
      <c r="AP259" s="48"/>
      <c r="AQ259" s="48"/>
    </row>
    <row r="260" spans="1:43" x14ac:dyDescent="0.25">
      <c r="A260" s="48"/>
      <c r="B260" s="48"/>
      <c r="C260" s="296"/>
      <c r="D260" s="296"/>
      <c r="E260" s="296"/>
      <c r="F260" s="296"/>
      <c r="G260" s="296"/>
      <c r="H260" s="296"/>
      <c r="I260" s="296"/>
      <c r="J260" s="296"/>
      <c r="K260" s="296"/>
      <c r="L260" s="296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  <c r="AA260" s="48"/>
      <c r="AB260" s="48"/>
      <c r="AC260" s="48"/>
      <c r="AD260" s="48"/>
      <c r="AE260" s="48"/>
      <c r="AF260" s="48"/>
      <c r="AG260" s="48"/>
      <c r="AH260" s="48"/>
      <c r="AI260" s="48"/>
      <c r="AJ260" s="48"/>
      <c r="AK260" s="48"/>
      <c r="AL260" s="48"/>
      <c r="AM260" s="48"/>
      <c r="AN260" s="48"/>
      <c r="AO260" s="48"/>
      <c r="AP260" s="48"/>
      <c r="AQ260" s="48"/>
    </row>
    <row r="261" spans="1:43" x14ac:dyDescent="0.25">
      <c r="A261" s="48"/>
      <c r="B261" s="48"/>
      <c r="C261" s="296"/>
      <c r="D261" s="296"/>
      <c r="E261" s="296"/>
      <c r="F261" s="296"/>
      <c r="G261" s="296"/>
      <c r="H261" s="296"/>
      <c r="I261" s="296"/>
      <c r="J261" s="296"/>
      <c r="K261" s="296"/>
      <c r="L261" s="296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  <c r="AA261" s="48"/>
      <c r="AB261" s="48"/>
      <c r="AC261" s="48"/>
      <c r="AD261" s="48"/>
      <c r="AE261" s="48"/>
      <c r="AF261" s="48"/>
      <c r="AG261" s="48"/>
      <c r="AH261" s="48"/>
      <c r="AI261" s="48"/>
      <c r="AJ261" s="48"/>
      <c r="AK261" s="48"/>
      <c r="AL261" s="48"/>
      <c r="AM261" s="48"/>
      <c r="AN261" s="48"/>
      <c r="AO261" s="48"/>
      <c r="AP261" s="48"/>
      <c r="AQ261" s="48"/>
    </row>
    <row r="262" spans="1:43" x14ac:dyDescent="0.25">
      <c r="A262" s="48"/>
      <c r="B262" s="48"/>
      <c r="C262" s="296"/>
      <c r="D262" s="296"/>
      <c r="E262" s="296"/>
      <c r="F262" s="296"/>
      <c r="G262" s="296"/>
      <c r="H262" s="296"/>
      <c r="I262" s="296"/>
      <c r="J262" s="296"/>
      <c r="K262" s="296"/>
      <c r="L262" s="296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  <c r="AA262" s="48"/>
      <c r="AB262" s="48"/>
      <c r="AC262" s="48"/>
      <c r="AD262" s="48"/>
      <c r="AE262" s="48"/>
      <c r="AF262" s="48"/>
      <c r="AG262" s="48"/>
      <c r="AH262" s="48"/>
      <c r="AI262" s="48"/>
      <c r="AJ262" s="48"/>
      <c r="AK262" s="48"/>
      <c r="AL262" s="48"/>
      <c r="AM262" s="48"/>
      <c r="AN262" s="48"/>
      <c r="AO262" s="48"/>
      <c r="AP262" s="48"/>
      <c r="AQ262" s="48"/>
    </row>
    <row r="263" spans="1:43" x14ac:dyDescent="0.25">
      <c r="A263" s="48"/>
      <c r="B263" s="48"/>
      <c r="C263" s="296"/>
      <c r="D263" s="296"/>
      <c r="E263" s="296"/>
      <c r="F263" s="296"/>
      <c r="G263" s="296"/>
      <c r="H263" s="296"/>
      <c r="I263" s="296"/>
      <c r="J263" s="296"/>
      <c r="K263" s="296"/>
      <c r="L263" s="296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  <c r="AA263" s="48"/>
      <c r="AB263" s="48"/>
      <c r="AC263" s="48"/>
      <c r="AD263" s="48"/>
      <c r="AE263" s="48"/>
      <c r="AF263" s="48"/>
      <c r="AG263" s="48"/>
      <c r="AH263" s="48"/>
      <c r="AI263" s="48"/>
      <c r="AJ263" s="48"/>
      <c r="AK263" s="48"/>
      <c r="AL263" s="48"/>
      <c r="AM263" s="48"/>
      <c r="AN263" s="48"/>
      <c r="AO263" s="48"/>
      <c r="AP263" s="48"/>
      <c r="AQ263" s="48"/>
    </row>
    <row r="264" spans="1:43" x14ac:dyDescent="0.25">
      <c r="A264" s="48"/>
      <c r="B264" s="48"/>
      <c r="C264" s="296"/>
      <c r="D264" s="296"/>
      <c r="E264" s="296"/>
      <c r="F264" s="296"/>
      <c r="G264" s="296"/>
      <c r="H264" s="296"/>
      <c r="I264" s="296"/>
      <c r="J264" s="296"/>
      <c r="K264" s="296"/>
      <c r="L264" s="296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8"/>
      <c r="AD264" s="48"/>
      <c r="AE264" s="48"/>
      <c r="AF264" s="48"/>
      <c r="AG264" s="48"/>
      <c r="AH264" s="48"/>
      <c r="AI264" s="48"/>
      <c r="AJ264" s="48"/>
      <c r="AK264" s="48"/>
      <c r="AL264" s="48"/>
      <c r="AM264" s="48"/>
      <c r="AN264" s="48"/>
      <c r="AO264" s="48"/>
      <c r="AP264" s="48"/>
      <c r="AQ264" s="48"/>
    </row>
    <row r="265" spans="1:43" x14ac:dyDescent="0.25">
      <c r="A265" s="48"/>
      <c r="B265" s="48"/>
      <c r="C265" s="296"/>
      <c r="D265" s="296"/>
      <c r="E265" s="296"/>
      <c r="F265" s="296"/>
      <c r="G265" s="296"/>
      <c r="H265" s="296"/>
      <c r="I265" s="296"/>
      <c r="J265" s="296"/>
      <c r="K265" s="296"/>
      <c r="L265" s="296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8"/>
      <c r="AD265" s="48"/>
      <c r="AE265" s="48"/>
      <c r="AF265" s="48"/>
      <c r="AG265" s="48"/>
      <c r="AH265" s="48"/>
      <c r="AI265" s="48"/>
      <c r="AJ265" s="48"/>
      <c r="AK265" s="48"/>
      <c r="AL265" s="48"/>
      <c r="AM265" s="48"/>
      <c r="AN265" s="48"/>
      <c r="AO265" s="48"/>
      <c r="AP265" s="48"/>
      <c r="AQ265" s="48"/>
    </row>
    <row r="266" spans="1:43" x14ac:dyDescent="0.25">
      <c r="A266" s="48"/>
      <c r="B266" s="48"/>
      <c r="C266" s="296"/>
      <c r="D266" s="296"/>
      <c r="E266" s="296"/>
      <c r="F266" s="296"/>
      <c r="G266" s="296"/>
      <c r="H266" s="296"/>
      <c r="I266" s="296"/>
      <c r="J266" s="296"/>
      <c r="K266" s="296"/>
      <c r="L266" s="296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8"/>
      <c r="AD266" s="48"/>
      <c r="AE266" s="48"/>
      <c r="AF266" s="48"/>
      <c r="AG266" s="48"/>
      <c r="AH266" s="48"/>
      <c r="AI266" s="48"/>
      <c r="AJ266" s="48"/>
      <c r="AK266" s="48"/>
      <c r="AL266" s="48"/>
      <c r="AM266" s="48"/>
      <c r="AN266" s="48"/>
      <c r="AO266" s="48"/>
      <c r="AP266" s="48"/>
      <c r="AQ266" s="48"/>
    </row>
    <row r="267" spans="1:43" x14ac:dyDescent="0.25">
      <c r="A267" s="48"/>
      <c r="B267" s="48"/>
      <c r="C267" s="296"/>
      <c r="D267" s="296"/>
      <c r="E267" s="296"/>
      <c r="F267" s="296"/>
      <c r="G267" s="296"/>
      <c r="H267" s="296"/>
      <c r="I267" s="296"/>
      <c r="J267" s="296"/>
      <c r="K267" s="296"/>
      <c r="L267" s="296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  <c r="AA267" s="48"/>
      <c r="AB267" s="48"/>
      <c r="AC267" s="48"/>
      <c r="AD267" s="48"/>
      <c r="AE267" s="48"/>
      <c r="AF267" s="48"/>
      <c r="AG267" s="48"/>
      <c r="AH267" s="48"/>
      <c r="AI267" s="48"/>
      <c r="AJ267" s="48"/>
      <c r="AK267" s="48"/>
      <c r="AL267" s="48"/>
      <c r="AM267" s="48"/>
      <c r="AN267" s="48"/>
      <c r="AO267" s="48"/>
      <c r="AP267" s="48"/>
      <c r="AQ267" s="48"/>
    </row>
    <row r="268" spans="1:43" x14ac:dyDescent="0.25">
      <c r="A268" s="48"/>
      <c r="B268" s="48"/>
      <c r="C268" s="296"/>
      <c r="D268" s="296"/>
      <c r="E268" s="296"/>
      <c r="F268" s="296"/>
      <c r="G268" s="296"/>
      <c r="H268" s="296"/>
      <c r="I268" s="296"/>
      <c r="J268" s="296"/>
      <c r="K268" s="296"/>
      <c r="L268" s="296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  <c r="AA268" s="48"/>
      <c r="AB268" s="48"/>
      <c r="AC268" s="48"/>
      <c r="AD268" s="48"/>
      <c r="AE268" s="48"/>
      <c r="AF268" s="48"/>
      <c r="AG268" s="48"/>
      <c r="AH268" s="48"/>
      <c r="AI268" s="48"/>
      <c r="AJ268" s="48"/>
      <c r="AK268" s="48"/>
      <c r="AL268" s="48"/>
      <c r="AM268" s="48"/>
      <c r="AN268" s="48"/>
      <c r="AO268" s="48"/>
      <c r="AP268" s="48"/>
      <c r="AQ268" s="48"/>
    </row>
    <row r="269" spans="1:43" x14ac:dyDescent="0.25">
      <c r="A269" s="48"/>
      <c r="B269" s="48"/>
      <c r="C269" s="296"/>
      <c r="D269" s="296"/>
      <c r="E269" s="296"/>
      <c r="F269" s="296"/>
      <c r="G269" s="296"/>
      <c r="H269" s="296"/>
      <c r="I269" s="296"/>
      <c r="J269" s="296"/>
      <c r="K269" s="296"/>
      <c r="L269" s="296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  <c r="AA269" s="48"/>
      <c r="AB269" s="48"/>
      <c r="AC269" s="48"/>
      <c r="AD269" s="48"/>
      <c r="AE269" s="48"/>
      <c r="AF269" s="48"/>
      <c r="AG269" s="48"/>
      <c r="AH269" s="48"/>
      <c r="AI269" s="48"/>
      <c r="AJ269" s="48"/>
      <c r="AK269" s="48"/>
      <c r="AL269" s="48"/>
      <c r="AM269" s="48"/>
      <c r="AN269" s="48"/>
      <c r="AO269" s="48"/>
      <c r="AP269" s="48"/>
      <c r="AQ269" s="48"/>
    </row>
    <row r="270" spans="1:43" x14ac:dyDescent="0.25">
      <c r="A270" s="48"/>
      <c r="B270" s="48"/>
      <c r="C270" s="296"/>
      <c r="D270" s="296"/>
      <c r="E270" s="296"/>
      <c r="F270" s="296"/>
      <c r="G270" s="296"/>
      <c r="H270" s="296"/>
      <c r="I270" s="296"/>
      <c r="J270" s="296"/>
      <c r="K270" s="296"/>
      <c r="L270" s="296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  <c r="AA270" s="48"/>
      <c r="AB270" s="48"/>
      <c r="AC270" s="48"/>
      <c r="AD270" s="48"/>
      <c r="AE270" s="48"/>
      <c r="AF270" s="48"/>
      <c r="AG270" s="48"/>
      <c r="AH270" s="48"/>
      <c r="AI270" s="48"/>
      <c r="AJ270" s="48"/>
      <c r="AK270" s="48"/>
      <c r="AL270" s="48"/>
      <c r="AM270" s="48"/>
      <c r="AN270" s="48"/>
      <c r="AO270" s="48"/>
      <c r="AP270" s="48"/>
      <c r="AQ270" s="48"/>
    </row>
    <row r="271" spans="1:43" x14ac:dyDescent="0.25">
      <c r="A271" s="48"/>
      <c r="B271" s="48"/>
      <c r="C271" s="296"/>
      <c r="D271" s="296"/>
      <c r="E271" s="296"/>
      <c r="F271" s="296"/>
      <c r="G271" s="296"/>
      <c r="H271" s="296"/>
      <c r="I271" s="296"/>
      <c r="J271" s="296"/>
      <c r="K271" s="296"/>
      <c r="L271" s="296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  <c r="AA271" s="48"/>
      <c r="AB271" s="48"/>
      <c r="AC271" s="48"/>
      <c r="AD271" s="48"/>
      <c r="AE271" s="48"/>
      <c r="AF271" s="48"/>
      <c r="AG271" s="48"/>
      <c r="AH271" s="48"/>
      <c r="AI271" s="48"/>
      <c r="AJ271" s="48"/>
      <c r="AK271" s="48"/>
      <c r="AL271" s="48"/>
      <c r="AM271" s="48"/>
      <c r="AN271" s="48"/>
      <c r="AO271" s="48"/>
      <c r="AP271" s="48"/>
      <c r="AQ271" s="48"/>
    </row>
    <row r="272" spans="1:43" x14ac:dyDescent="0.25">
      <c r="A272" s="48"/>
      <c r="B272" s="48"/>
      <c r="C272" s="296"/>
      <c r="D272" s="296"/>
      <c r="E272" s="296"/>
      <c r="F272" s="296"/>
      <c r="G272" s="296"/>
      <c r="H272" s="296"/>
      <c r="I272" s="296"/>
      <c r="J272" s="296"/>
      <c r="K272" s="296"/>
      <c r="L272" s="296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  <c r="AA272" s="48"/>
      <c r="AB272" s="48"/>
      <c r="AC272" s="48"/>
      <c r="AD272" s="48"/>
      <c r="AE272" s="48"/>
      <c r="AF272" s="48"/>
      <c r="AG272" s="48"/>
      <c r="AH272" s="48"/>
      <c r="AI272" s="48"/>
      <c r="AJ272" s="48"/>
      <c r="AK272" s="48"/>
      <c r="AL272" s="48"/>
      <c r="AM272" s="48"/>
      <c r="AN272" s="48"/>
      <c r="AO272" s="48"/>
      <c r="AP272" s="48"/>
      <c r="AQ272" s="48"/>
    </row>
    <row r="273" spans="1:43" x14ac:dyDescent="0.25">
      <c r="A273" s="48"/>
      <c r="B273" s="48"/>
      <c r="C273" s="296"/>
      <c r="D273" s="296"/>
      <c r="E273" s="296"/>
      <c r="F273" s="296"/>
      <c r="G273" s="296"/>
      <c r="H273" s="296"/>
      <c r="I273" s="296"/>
      <c r="J273" s="296"/>
      <c r="K273" s="296"/>
      <c r="L273" s="296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  <c r="AA273" s="48"/>
      <c r="AB273" s="48"/>
      <c r="AC273" s="48"/>
      <c r="AD273" s="48"/>
      <c r="AE273" s="48"/>
      <c r="AF273" s="48"/>
      <c r="AG273" s="48"/>
      <c r="AH273" s="48"/>
      <c r="AI273" s="48"/>
      <c r="AJ273" s="48"/>
      <c r="AK273" s="48"/>
      <c r="AL273" s="48"/>
      <c r="AM273" s="48"/>
      <c r="AN273" s="48"/>
      <c r="AO273" s="48"/>
      <c r="AP273" s="48"/>
      <c r="AQ273" s="48"/>
    </row>
    <row r="274" spans="1:43" x14ac:dyDescent="0.25">
      <c r="A274" s="48"/>
      <c r="B274" s="48"/>
      <c r="C274" s="296"/>
      <c r="D274" s="296"/>
      <c r="E274" s="296"/>
      <c r="F274" s="296"/>
      <c r="G274" s="296"/>
      <c r="H274" s="296"/>
      <c r="I274" s="296"/>
      <c r="J274" s="296"/>
      <c r="K274" s="296"/>
      <c r="L274" s="296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8"/>
      <c r="AD274" s="48"/>
      <c r="AE274" s="48"/>
      <c r="AF274" s="48"/>
      <c r="AG274" s="48"/>
      <c r="AH274" s="48"/>
      <c r="AI274" s="48"/>
      <c r="AJ274" s="48"/>
      <c r="AK274" s="48"/>
      <c r="AL274" s="48"/>
      <c r="AM274" s="48"/>
      <c r="AN274" s="48"/>
      <c r="AO274" s="48"/>
      <c r="AP274" s="48"/>
      <c r="AQ274" s="48"/>
    </row>
    <row r="275" spans="1:43" x14ac:dyDescent="0.25">
      <c r="A275" s="48"/>
      <c r="B275" s="48"/>
      <c r="C275" s="296"/>
      <c r="D275" s="296"/>
      <c r="E275" s="296"/>
      <c r="F275" s="296"/>
      <c r="G275" s="296"/>
      <c r="H275" s="296"/>
      <c r="I275" s="296"/>
      <c r="J275" s="296"/>
      <c r="K275" s="296"/>
      <c r="L275" s="296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8"/>
      <c r="AD275" s="48"/>
      <c r="AE275" s="48"/>
      <c r="AF275" s="48"/>
      <c r="AG275" s="48"/>
      <c r="AH275" s="48"/>
      <c r="AI275" s="48"/>
      <c r="AJ275" s="48"/>
      <c r="AK275" s="48"/>
      <c r="AL275" s="48"/>
      <c r="AM275" s="48"/>
      <c r="AN275" s="48"/>
      <c r="AO275" s="48"/>
      <c r="AP275" s="48"/>
      <c r="AQ275" s="48"/>
    </row>
    <row r="276" spans="1:43" x14ac:dyDescent="0.25">
      <c r="A276" s="48"/>
      <c r="B276" s="48"/>
      <c r="C276" s="296"/>
      <c r="D276" s="296"/>
      <c r="E276" s="296"/>
      <c r="F276" s="296"/>
      <c r="G276" s="296"/>
      <c r="H276" s="296"/>
      <c r="I276" s="296"/>
      <c r="J276" s="296"/>
      <c r="K276" s="296"/>
      <c r="L276" s="296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8"/>
      <c r="AD276" s="48"/>
      <c r="AE276" s="48"/>
      <c r="AF276" s="48"/>
      <c r="AG276" s="48"/>
      <c r="AH276" s="48"/>
      <c r="AI276" s="48"/>
      <c r="AJ276" s="48"/>
      <c r="AK276" s="48"/>
      <c r="AL276" s="48"/>
      <c r="AM276" s="48"/>
      <c r="AN276" s="48"/>
      <c r="AO276" s="48"/>
      <c r="AP276" s="48"/>
      <c r="AQ276" s="48"/>
    </row>
  </sheetData>
  <mergeCells count="12">
    <mergeCell ref="AJ2:AK2"/>
    <mergeCell ref="AC106:AH106"/>
    <mergeCell ref="A1:A3"/>
    <mergeCell ref="B1:B3"/>
    <mergeCell ref="AN1:AP1"/>
    <mergeCell ref="C2:L2"/>
    <mergeCell ref="M2:M3"/>
    <mergeCell ref="N2:R2"/>
    <mergeCell ref="S2:W2"/>
    <mergeCell ref="X2:Y2"/>
    <mergeCell ref="AC2:AE2"/>
    <mergeCell ref="AF2:A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Til R-koder</vt:lpstr>
      <vt:lpstr>Beskrivelse af data til R-koder</vt:lpstr>
      <vt:lpstr>Potentialer og krav</vt:lpstr>
      <vt:lpstr>Netvolumenmål 2021</vt:lpstr>
      <vt:lpstr>Netvolumenmål 2022</vt:lpstr>
      <vt:lpstr>Netvolumenmål gns.</vt:lpstr>
      <vt:lpstr>Costdrivere 2021</vt:lpstr>
      <vt:lpstr>Costdrivere 2022</vt:lpstr>
      <vt:lpstr>Costdrivere gns.</vt:lpstr>
      <vt:lpstr>Renseanlæg 2021</vt:lpstr>
      <vt:lpstr>Renseanlæg 2022</vt:lpstr>
      <vt:lpstr>Gennemførte investeringer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 Heesche</dc:creator>
  <cp:lastModifiedBy>Emil Heesche</cp:lastModifiedBy>
  <dcterms:created xsi:type="dcterms:W3CDTF">2024-02-09T08:49:00Z</dcterms:created>
  <dcterms:modified xsi:type="dcterms:W3CDTF">2024-02-09T08:49:50Z</dcterms:modified>
</cp:coreProperties>
</file>