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ovafos Spildevand Ballerup AS (S00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C33" i="2" l="1"/>
  <c r="C27" i="15"/>
  <c r="C27" i="22"/>
  <c r="G35" i="36" l="1"/>
  <c r="G31" i="36"/>
  <c r="E38" i="32" l="1"/>
  <c r="G11" i="36" l="1"/>
  <c r="G13" i="30" l="1"/>
  <c r="G37" i="11" l="1"/>
  <c r="F37" i="11"/>
  <c r="E37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16" i="40" l="1"/>
  <c r="E12" i="40"/>
  <c r="C14" i="19" l="1"/>
  <c r="E28" i="32" l="1"/>
  <c r="E32" i="32" l="1"/>
  <c r="C30" i="2" s="1"/>
  <c r="E20" i="32"/>
  <c r="E12" i="32"/>
  <c r="E16" i="27" l="1"/>
  <c r="E17" i="27" s="1"/>
  <c r="E35" i="11" l="1"/>
  <c r="E36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C10" i="37" l="1"/>
  <c r="C13" i="37" s="1"/>
  <c r="C14" i="37" l="1"/>
  <c r="C10" i="2" s="1"/>
  <c r="E11" i="21"/>
  <c r="E12" i="21" s="1"/>
  <c r="C11" i="21"/>
  <c r="C12" i="21" s="1"/>
  <c r="E11" i="29"/>
  <c r="E12" i="29" s="1"/>
  <c r="C11" i="29"/>
  <c r="C12" i="29" s="1"/>
  <c r="C15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0" i="37"/>
  <c r="E13" i="37" s="1"/>
  <c r="E14" i="37" l="1"/>
  <c r="C11" i="2" s="1"/>
  <c r="G34" i="30"/>
  <c r="G38" i="30" l="1"/>
  <c r="G40" i="30" s="1"/>
  <c r="C18" i="2"/>
  <c r="C16" i="2"/>
  <c r="C17" i="2" s="1"/>
  <c r="G30" i="36"/>
  <c r="C19" i="2" s="1"/>
  <c r="G44" i="30" l="1"/>
  <c r="C14" i="15"/>
  <c r="C20" i="2"/>
  <c r="C9" i="15" l="1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9" i="22"/>
  <c r="C12" i="22" s="1"/>
  <c r="C13" i="22" l="1"/>
  <c r="C16" i="22" l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<sst xmlns="http://schemas.openxmlformats.org/spreadsheetml/2006/main" count="769" uniqueCount="292">
  <si>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</si>
  <si>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</si>
  <si>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</si>
  <si>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</si>
  <si>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</si>
  <si>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</si>
  <si>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</si>
  <si>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</si>
  <si>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</si>
  <si>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</si>
  <si>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</si>
  <si>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</si>
  <si>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</si>
  <si>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</si>
  <si>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</si>
  <si>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</si>
  <si>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</si>
  <si>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</si>
  <si>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</si>
  <si>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</si>
  <si>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</si>
  <si>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</si>
  <si>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</si>
  <si>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</si>
  <si>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</si>
  <si>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</si>
  <si>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</si>
  <si>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</si>
  <si>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</si>
  <si>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</si>
  <si>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</si>
  <si>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</si>
  <si>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</si>
  <si>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</si>
  <si>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</si>
  <si>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</si>
  <si>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</si>
  <si>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</si>
  <si>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</si>
  <si>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</si>
  <si>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</si>
  <si>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</si>
  <si>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</si>
  <si>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</si>
  <si>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</si>
  <si>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</si>
  <si>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</si>
  <si>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</si>
  <si>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</si>
  <si>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</si>
  <si>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</si>
  <si>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</si>
  <si>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</si>
  <si>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</si>
  <si>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</si>
  <si>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</si>
  <si>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</si>
  <si>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</si>
  <si>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</si>
  <si>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</si>
  <si>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</si>
  <si>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</si>
  <si>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</si>
  <si>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</si>
  <si>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</si>
  <si>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</si>
  <si>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</si>
  <si>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</si>
  <si>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</si>
  <si>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</si>
  <si>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</si>
  <si>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</si>
  <si>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</si>
  <si>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</si>
  <si>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</si>
  <si>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</si>
  <si>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</si>
  <si>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</si>
  <si>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</si>
  <si>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</si>
  <si>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</si>
  <si>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</si>
  <si>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</si>
  <si>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</si>
  <si>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</si>
  <si>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</si>
  <si>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</si>
  <si>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</si>
  <si>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</si>
  <si>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</si>
  <si>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</si>
  <si>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</si>
  <si>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</si>
  <si>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</si>
  <si>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</si>
  <si>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</si>
  <si>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</si>
  <si>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</si>
  <si>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</si>
  <si>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</si>
  <si>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</si>
  <si>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</si>
  <si>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</si>
  <si>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</si>
  <si>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</si>
  <si>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</si>
  <si>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</si>
  <si>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</si>
  <si>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</si>
  <si>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</si>
  <si>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</si>
  <si>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</si>
  <si>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</si>
  <si>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</si>
  <si>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</si>
  <si>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</si>
  <si>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</si>
  <si>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</si>
  <si>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</si>
  <si>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</si>
  <si>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</si>
  <si>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</si>
  <si>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</si>
  <si>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</si>
  <si>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</si>
  <si>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</si>
  <si>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</si>
  <si>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</si>
  <si>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</si>
  <si>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</si>
  <si>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</si>
  <si>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</si>
  <si>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</si>
  <si>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</si>
  <si>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</si>
  <si>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</si>
  <si>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</si>
  <si>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</si>
  <si>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</si>
  <si>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</si>
  <si>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</si>
  <si>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</si>
  <si>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</si>
  <si>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</si>
  <si>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</si>
  <si>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</si>
  <si>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</si>
  <si>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</si>
  <si>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</si>
  <si>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</si>
  <si>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</si>
  <si>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</si>
  <si>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</si>
  <si>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</si>
  <si>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</si>
  <si>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</si>
  <si>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</si>
  <si>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</si>
  <si>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</si>
  <si>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</si>
  <si>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</si>
  <si>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</si>
  <si>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</si>
  <si>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</si>
  <si>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</si>
  <si>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</si>
  <si>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</si>
  <si>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</si>
  <si>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</si>
  <si>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</si>
  <si>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</si>
  <si>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</si>
  <si>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</si>
  <si>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</si>
  <si>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</si>
  <si>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</si>
  <si>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</si>
  <si>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</si>
  <si>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</si>
  <si>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</si>
  <si>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</si>
  <si>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</si>
  <si>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</si>
  <si>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</si>
  <si>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</si>
  <si>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</si>
  <si>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</si>
  <si>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</si>
  <si>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</si>
  <si>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</si>
  <si>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</si>
  <si>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</si>
  <si>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</si>
  <si>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</si>
  <si>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</si>
  <si>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</si>
  <si>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</si>
  <si>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</si>
  <si>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</si>
  <si>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</si>
  <si>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</si>
  <si>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</si>
  <si>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</si>
  <si>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</si>
  <si>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</si>
  <si>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</si>
  <si>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</si>
  <si>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</si>
  <si>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</si>
  <si>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</si>
  <si>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</si>
  <si>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</si>
  <si>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</si>
  <si>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</si>
  <si>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</si>
  <si>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</si>
  <si>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</si>
  <si>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</si>
  <si>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</si>
  <si>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</si>
  <si>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</si>
  <si>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</si>
  <si>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</si>
  <si>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</si>
  <si>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</si>
  <si>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</si>
  <si>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</si>
  <si>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</si>
  <si>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</si>
  <si>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</si>
  <si>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</si>
  <si>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</si>
  <si>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</si>
  <si>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</si>
  <si>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</si>
  <si>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</si>
  <si>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</si>
  <si>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</si>
  <si>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</si>
  <si>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</si>
  <si>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</si>
  <si>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</si>
  <si>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</si>
  <si>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</si>
  <si>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</si>
  <si>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</si>
  <si>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</si>
  <si>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</si>
  <si>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</si>
  <si>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</si>
  <si>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</si>
  <si>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</si>
  <si>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</si>
  <si>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</si>
  <si>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</si>
  <si>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</si>
  <si>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</si>
  <si>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</si>
  <si>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</si>
  <si>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</si>
  <si>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</si>
  <si>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</si>
  <si>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</si>
  <si>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</si>
  <si>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</si>
  <si>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Afgift til Forsyningssekretariatet</t>
  </si>
  <si>
    <t>Køb af ydelser og produkter fra andre vandselskaber reguleret af vandsektorloven</t>
  </si>
  <si>
    <t>Ejendomsskatter</t>
  </si>
  <si>
    <t>Tjenestemandspensioner</t>
  </si>
  <si>
    <t>Ingen tilknyttet virksomhed</t>
  </si>
  <si>
    <t>Ingen bortfald eller nedsættelse</t>
  </si>
  <si>
    <t>Ingen engangstillæg</t>
  </si>
  <si>
    <t>Forundersøgelser områder jf renoveringsplan</t>
  </si>
  <si>
    <t>5</t>
  </si>
  <si>
    <t>Flowmålinger jf. renoveringsplan</t>
  </si>
  <si>
    <t>Ledningsnet ≤ Ø 200 mm</t>
  </si>
  <si>
    <t>75</t>
  </si>
  <si>
    <t>Renovering oplande</t>
  </si>
  <si>
    <t>Ø 500 mm &lt; Ledningsnet ≤ Ø 800 mm</t>
  </si>
  <si>
    <t>Ø 200 mm &lt; Ledningsnet ≤ Ø 500 mm</t>
  </si>
  <si>
    <t>Ø 800 mm &lt; Ledningsnet ≤ Ø 1000 mm</t>
  </si>
  <si>
    <t>Ø 1000 mm &lt; Ledningsnet ≤ Ø 1200 mm</t>
  </si>
  <si>
    <t>Stik</t>
  </si>
  <si>
    <t>Brønde</t>
  </si>
  <si>
    <t>Ballerup Bymidte, opland B28F / S</t>
  </si>
  <si>
    <t>Tilstandsvurdering pst</t>
  </si>
  <si>
    <t>Harrestrup Å</t>
  </si>
  <si>
    <t>Oplandsanalyser regnvandshåndtering</t>
  </si>
  <si>
    <t>Separatkloakeringer</t>
  </si>
  <si>
    <t>Udvidelse af forsyningsområdet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</si>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</sst>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1" xfId="1" applyNumberFormat="1" applyFont="1" applyFill="1" applyBorder="1" applyProtection="1"/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226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43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17</v>
      </c>
      <c r="D14" s="69" t="s">
        <v>254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41</v>
      </c>
      <c r="D15" s="69" t="s">
        <v>107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42</v>
      </c>
      <c r="D16" s="69" t="s">
        <v>214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180</v>
      </c>
      <c r="D17" s="69" t="s">
        <v>215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157</v>
      </c>
      <c r="D18" s="66" t="s">
        <v>135</v>
      </c>
      <c r="E18" s="67"/>
      <c r="F18" s="67"/>
      <c r="G18" s="68"/>
      <c r="H18" s="1"/>
      <c r="I18" s="1"/>
    </row>
    <row r="19" spans="1:9" x14ac:dyDescent="0.25">
      <c r="A19" s="1"/>
      <c r="B19" s="1"/>
      <c r="C19" s="6" t="s">
        <v>158</v>
      </c>
      <c r="D19" s="66" t="s">
        <v>136</v>
      </c>
      <c r="E19" s="67"/>
      <c r="F19" s="67"/>
      <c r="G19" s="68"/>
      <c r="H19" s="1"/>
      <c r="I19" s="1"/>
    </row>
    <row r="20" spans="1:9" x14ac:dyDescent="0.25">
      <c r="A20" s="1"/>
      <c r="B20" s="1"/>
      <c r="C20" s="6" t="s">
        <v>7</v>
      </c>
      <c r="D20" s="66" t="s">
        <v>10</v>
      </c>
      <c r="E20" s="67"/>
      <c r="F20" s="67"/>
      <c r="G20" s="68"/>
      <c r="H20" s="1"/>
      <c r="I20" s="1"/>
    </row>
    <row r="21" spans="1:9" x14ac:dyDescent="0.25">
      <c r="A21" s="1"/>
      <c r="B21" s="1"/>
      <c r="C21" s="6" t="s">
        <v>159</v>
      </c>
      <c r="D21" s="73" t="s">
        <v>13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111</v>
      </c>
      <c r="D22" s="60" t="s">
        <v>255</v>
      </c>
      <c r="E22" s="61"/>
      <c r="F22" s="61"/>
      <c r="G22" s="62"/>
      <c r="H22" s="1"/>
      <c r="I22" s="1"/>
    </row>
    <row r="23" spans="1:9" x14ac:dyDescent="0.25">
      <c r="A23" s="1"/>
      <c r="B23" s="1"/>
      <c r="C23" s="6" t="s">
        <v>8</v>
      </c>
      <c r="D23" s="60" t="s">
        <v>184</v>
      </c>
      <c r="E23" s="61"/>
      <c r="F23" s="61"/>
      <c r="G23" s="62"/>
      <c r="H23" s="1"/>
      <c r="I23" s="1"/>
    </row>
    <row r="24" spans="1:9" x14ac:dyDescent="0.25">
      <c r="A24" s="1"/>
      <c r="B24" s="1"/>
      <c r="C24" s="6" t="s">
        <v>9</v>
      </c>
      <c r="D24" s="60" t="s">
        <v>44</v>
      </c>
      <c r="E24" s="61"/>
      <c r="F24" s="61"/>
      <c r="G24" s="62"/>
      <c r="H24" s="1"/>
      <c r="I24" s="1"/>
    </row>
    <row r="25" spans="1:9" x14ac:dyDescent="0.25">
      <c r="A25" s="1"/>
      <c r="B25" s="1"/>
      <c r="C25" s="6" t="s">
        <v>160</v>
      </c>
      <c r="D25" s="60" t="s">
        <v>112</v>
      </c>
      <c r="E25" s="61"/>
      <c r="F25" s="61"/>
      <c r="G25" s="62"/>
      <c r="H25" s="1"/>
      <c r="I25" s="1"/>
    </row>
    <row r="26" spans="1:9" x14ac:dyDescent="0.25">
      <c r="A26" s="1"/>
      <c r="B26" s="1"/>
      <c r="C26" s="6" t="s">
        <v>161</v>
      </c>
      <c r="D26" s="60" t="s">
        <v>113</v>
      </c>
      <c r="E26" s="61"/>
      <c r="F26" s="61"/>
      <c r="G26" s="62"/>
      <c r="H26" s="1"/>
      <c r="I26" s="1"/>
    </row>
    <row r="27" spans="1:9" x14ac:dyDescent="0.25">
      <c r="A27" s="1"/>
      <c r="B27" s="1"/>
      <c r="C27" s="6" t="s">
        <v>162</v>
      </c>
      <c r="D27" s="60" t="s">
        <v>114</v>
      </c>
      <c r="E27" s="61"/>
      <c r="F27" s="61"/>
      <c r="G27" s="62"/>
      <c r="H27" s="1"/>
      <c r="I27" s="1"/>
    </row>
    <row r="28" spans="1:9" x14ac:dyDescent="0.25">
      <c r="A28" s="1"/>
      <c r="B28" s="1"/>
      <c r="C28" s="6" t="s">
        <v>16</v>
      </c>
      <c r="D28" s="60" t="s">
        <v>216</v>
      </c>
      <c r="E28" s="61"/>
      <c r="F28" s="61"/>
      <c r="G28" s="62"/>
      <c r="H28" s="1"/>
      <c r="I28" s="1"/>
    </row>
    <row r="29" spans="1:9" x14ac:dyDescent="0.25">
      <c r="A29" s="1"/>
      <c r="B29" s="1"/>
      <c r="C29" s="6" t="s">
        <v>46</v>
      </c>
      <c r="D29" s="60" t="s">
        <v>45</v>
      </c>
      <c r="E29" s="61"/>
      <c r="F29" s="61"/>
      <c r="G29" s="62"/>
      <c r="H29" s="1"/>
      <c r="I29" s="1"/>
    </row>
    <row r="30" spans="1:9" x14ac:dyDescent="0.25">
      <c r="A30" s="1"/>
      <c r="B30" s="1"/>
      <c r="C30" s="6" t="s">
        <v>47</v>
      </c>
      <c r="D30" s="63" t="s">
        <v>155</v>
      </c>
      <c r="E30" s="64"/>
      <c r="F30" s="64"/>
      <c r="G30" s="65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qU3AYePhkoEVedQUgGNna28m4L1IoKLmTMticbM+Jk7I1c/TbYwe41d2VfCgHnBR1xCQZMMiYosdPQsr4aLAQ==" saltValue="akEnCO3UF4mlx09j5+j1lA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165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2" t="s">
        <v>196</v>
      </c>
      <c r="C8" s="93"/>
      <c r="D8" s="94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7" t="s">
        <v>265</v>
      </c>
      <c r="C10" s="9">
        <v>90916</v>
      </c>
      <c r="D10" s="14" t="s">
        <v>3</v>
      </c>
      <c r="E10" s="1"/>
      <c r="F10" s="1"/>
    </row>
    <row r="11" spans="1:6" x14ac:dyDescent="0.25">
      <c r="A11" s="1"/>
      <c r="B11" s="57" t="s">
        <v>266</v>
      </c>
      <c r="C11" s="9">
        <v>21509420</v>
      </c>
      <c r="D11" s="14" t="s">
        <v>3</v>
      </c>
      <c r="E11" s="1"/>
      <c r="F11" s="1"/>
    </row>
    <row r="12" spans="1:6" x14ac:dyDescent="0.25">
      <c r="A12" s="1"/>
      <c r="B12" s="57" t="s">
        <v>267</v>
      </c>
      <c r="C12" s="9">
        <v>333507</v>
      </c>
      <c r="D12" s="14" t="s">
        <v>3</v>
      </c>
      <c r="E12" s="1"/>
      <c r="F12" s="1"/>
    </row>
    <row r="13" spans="1:6" x14ac:dyDescent="0.25">
      <c r="A13" s="1"/>
      <c r="B13" s="57" t="s">
        <v>268</v>
      </c>
      <c r="C13" s="9">
        <v>94184</v>
      </c>
      <c r="D13" s="14" t="s">
        <v>3</v>
      </c>
      <c r="E13" s="1"/>
      <c r="F13" s="1"/>
    </row>
    <row r="14" spans="1:6" x14ac:dyDescent="0.25">
      <c r="A14" s="1"/>
      <c r="B14" s="38" t="s">
        <v>198</v>
      </c>
      <c r="C14" s="12">
        <f>SUM(C10:C13)</f>
        <v>22028027</v>
      </c>
      <c r="D14" s="13" t="s">
        <v>3</v>
      </c>
      <c r="E14" s="1"/>
      <c r="F14" s="1"/>
    </row>
    <row r="15" spans="1:6" x14ac:dyDescent="0.25">
      <c r="A15" s="1"/>
      <c r="B15" s="38" t="s">
        <v>199</v>
      </c>
      <c r="C15" s="12">
        <f>C14*(1+'Fane 14. Nøgletal'!C13)^2</f>
        <v>22568789.510338679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2" t="s">
        <v>178</v>
      </c>
      <c r="C18" s="93"/>
      <c r="D18" s="94"/>
      <c r="E18" s="1"/>
      <c r="F18" s="1"/>
    </row>
    <row r="19" spans="1:6" x14ac:dyDescent="0.25">
      <c r="A19" s="1"/>
      <c r="B19" s="57" t="s">
        <v>147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57" t="s">
        <v>148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7" t="s">
        <v>149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7" t="s">
        <v>200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2"/>
      <c r="C23" s="93"/>
      <c r="D23" s="94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2" t="s">
        <v>146</v>
      </c>
      <c r="C26" s="93"/>
      <c r="D26" s="94"/>
      <c r="E26" s="1"/>
      <c r="F26" s="1"/>
    </row>
    <row r="27" spans="1:6" x14ac:dyDescent="0.25">
      <c r="A27" s="1"/>
      <c r="B27" s="57" t="s">
        <v>147</v>
      </c>
      <c r="C27" s="9">
        <v>768667</v>
      </c>
      <c r="D27" s="14" t="s">
        <v>3</v>
      </c>
      <c r="E27" s="1"/>
      <c r="F27" s="1"/>
    </row>
    <row r="28" spans="1:6" x14ac:dyDescent="0.25">
      <c r="A28" s="1"/>
      <c r="B28" s="57" t="s">
        <v>148</v>
      </c>
      <c r="C28" s="9">
        <v>768667</v>
      </c>
      <c r="D28" s="14" t="s">
        <v>3</v>
      </c>
      <c r="E28" s="1"/>
      <c r="F28" s="1"/>
    </row>
    <row r="29" spans="1:6" x14ac:dyDescent="0.25">
      <c r="A29" s="1"/>
      <c r="B29" s="57" t="s">
        <v>149</v>
      </c>
      <c r="C29" s="9">
        <v>768666</v>
      </c>
      <c r="D29" s="14" t="s">
        <v>3</v>
      </c>
      <c r="E29" s="1"/>
      <c r="F29" s="1"/>
    </row>
    <row r="30" spans="1:6" x14ac:dyDescent="0.25">
      <c r="A30" s="1"/>
      <c r="B30" s="57" t="s">
        <v>200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2"/>
      <c r="C31" s="93"/>
      <c r="D31" s="94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d6WCTQ79/ZIfJl7qVGAIEfvtO0LHqpSBTr1BDY8kDMgVKjXr/w9GwtVNMx42Ls2Wyi9NTl6i7+a72JVkpqVlCQ==" saltValue="ZPQO+Ym0V7OIFiy+ZUoZDA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4"/>
      <c r="C5" s="54"/>
      <c r="D5" s="54"/>
      <c r="E5" s="54"/>
      <c r="F5" s="54"/>
      <c r="G5" s="1"/>
    </row>
    <row r="6" spans="1:7" ht="15" customHeight="1" x14ac:dyDescent="0.25">
      <c r="A6" s="1"/>
      <c r="B6" s="54"/>
      <c r="C6" s="54"/>
      <c r="D6" s="54"/>
      <c r="E6" s="54"/>
      <c r="F6" s="54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137</v>
      </c>
      <c r="C8" s="93"/>
      <c r="D8" s="93"/>
      <c r="E8" s="93"/>
      <c r="F8" s="94"/>
      <c r="G8" s="1"/>
    </row>
    <row r="9" spans="1:7" x14ac:dyDescent="0.25">
      <c r="A9" s="1"/>
      <c r="B9" s="95" t="s">
        <v>138</v>
      </c>
      <c r="C9" s="96"/>
      <c r="D9" s="97"/>
      <c r="E9" s="9">
        <v>57756872.218989402</v>
      </c>
      <c r="F9" s="14" t="s">
        <v>3</v>
      </c>
      <c r="G9" s="1"/>
    </row>
    <row r="10" spans="1:7" x14ac:dyDescent="0.25">
      <c r="A10" s="1"/>
      <c r="B10" s="95" t="s">
        <v>139</v>
      </c>
      <c r="C10" s="96"/>
      <c r="D10" s="97"/>
      <c r="E10" s="9">
        <v>55390332</v>
      </c>
      <c r="F10" s="14" t="s">
        <v>3</v>
      </c>
      <c r="G10" s="1"/>
    </row>
    <row r="11" spans="1:7" x14ac:dyDescent="0.25">
      <c r="A11" s="1"/>
      <c r="B11" s="95" t="s">
        <v>40</v>
      </c>
      <c r="C11" s="96"/>
      <c r="D11" s="97"/>
      <c r="E11" s="9">
        <v>0</v>
      </c>
      <c r="F11" s="14" t="s">
        <v>3</v>
      </c>
      <c r="G11" s="1"/>
    </row>
    <row r="12" spans="1:7" x14ac:dyDescent="0.25">
      <c r="A12" s="1"/>
      <c r="B12" s="85" t="s">
        <v>140</v>
      </c>
      <c r="C12" s="86"/>
      <c r="D12" s="104"/>
      <c r="E12" s="10">
        <f>E9-(E10-E11)</f>
        <v>2366540.2189894021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80" t="s">
        <v>156</v>
      </c>
      <c r="C14" s="81"/>
      <c r="D14" s="81"/>
      <c r="E14" s="81"/>
      <c r="F14" s="82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2" t="s">
        <v>52</v>
      </c>
      <c r="C16" s="93"/>
      <c r="D16" s="93"/>
      <c r="E16" s="93"/>
      <c r="F16" s="94"/>
      <c r="G16" s="1"/>
    </row>
    <row r="17" spans="1:7" x14ac:dyDescent="0.25">
      <c r="A17" s="1"/>
      <c r="B17" s="95" t="s">
        <v>53</v>
      </c>
      <c r="C17" s="96"/>
      <c r="D17" s="97"/>
      <c r="E17" s="9">
        <v>62586501.828102283</v>
      </c>
      <c r="F17" s="14" t="s">
        <v>3</v>
      </c>
      <c r="G17" s="1"/>
    </row>
    <row r="18" spans="1:7" x14ac:dyDescent="0.25">
      <c r="A18" s="1"/>
      <c r="B18" s="95" t="s">
        <v>54</v>
      </c>
      <c r="C18" s="96"/>
      <c r="D18" s="97"/>
      <c r="E18" s="9">
        <v>62144776</v>
      </c>
      <c r="F18" s="14" t="s">
        <v>3</v>
      </c>
      <c r="G18" s="1"/>
    </row>
    <row r="19" spans="1:7" x14ac:dyDescent="0.25">
      <c r="A19" s="1"/>
      <c r="B19" s="95" t="s">
        <v>40</v>
      </c>
      <c r="C19" s="96"/>
      <c r="D19" s="97"/>
      <c r="E19" s="9">
        <v>0</v>
      </c>
      <c r="F19" s="14" t="s">
        <v>3</v>
      </c>
      <c r="G19" s="1"/>
    </row>
    <row r="20" spans="1:7" x14ac:dyDescent="0.25">
      <c r="A20" s="1"/>
      <c r="B20" s="85" t="s">
        <v>55</v>
      </c>
      <c r="C20" s="86"/>
      <c r="D20" s="104"/>
      <c r="E20" s="10">
        <f>E17-(E18-E19)</f>
        <v>441725.82810228318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80" t="s">
        <v>218</v>
      </c>
      <c r="C22" s="81"/>
      <c r="D22" s="81"/>
      <c r="E22" s="81"/>
      <c r="F22" s="82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2" t="s">
        <v>245</v>
      </c>
      <c r="C24" s="93"/>
      <c r="D24" s="93"/>
      <c r="E24" s="93"/>
      <c r="F24" s="94"/>
      <c r="G24" s="1"/>
    </row>
    <row r="25" spans="1:7" x14ac:dyDescent="0.25">
      <c r="A25" s="1"/>
      <c r="B25" s="95" t="s">
        <v>246</v>
      </c>
      <c r="C25" s="96"/>
      <c r="D25" s="97"/>
      <c r="E25" s="9">
        <v>67055353.810719818</v>
      </c>
      <c r="F25" s="14" t="s">
        <v>3</v>
      </c>
      <c r="G25" s="1"/>
    </row>
    <row r="26" spans="1:7" x14ac:dyDescent="0.25">
      <c r="A26" s="1"/>
      <c r="B26" s="95" t="s">
        <v>247</v>
      </c>
      <c r="C26" s="96"/>
      <c r="D26" s="97"/>
      <c r="E26" s="9">
        <v>67664931</v>
      </c>
      <c r="F26" s="14" t="s">
        <v>3</v>
      </c>
      <c r="G26" s="1"/>
    </row>
    <row r="27" spans="1:7" x14ac:dyDescent="0.25">
      <c r="A27" s="1"/>
      <c r="B27" s="95" t="s">
        <v>40</v>
      </c>
      <c r="C27" s="96"/>
      <c r="D27" s="97"/>
      <c r="E27" s="9">
        <v>0</v>
      </c>
      <c r="F27" s="14" t="s">
        <v>3</v>
      </c>
      <c r="G27" s="1"/>
    </row>
    <row r="28" spans="1:7" x14ac:dyDescent="0.25">
      <c r="A28" s="1"/>
      <c r="B28" s="85" t="s">
        <v>248</v>
      </c>
      <c r="C28" s="86"/>
      <c r="D28" s="104"/>
      <c r="E28" s="10">
        <f>E25-(E26-E27)</f>
        <v>-609577.18928018212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2" t="s">
        <v>250</v>
      </c>
      <c r="C31" s="93"/>
      <c r="D31" s="93"/>
      <c r="E31" s="93"/>
      <c r="F31" s="94"/>
      <c r="G31" s="1"/>
    </row>
    <row r="32" spans="1:7" x14ac:dyDescent="0.25">
      <c r="A32" s="1"/>
      <c r="B32" s="85" t="s">
        <v>251</v>
      </c>
      <c r="C32" s="86"/>
      <c r="D32" s="104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0</v>
      </c>
      <c r="F32" s="17" t="s">
        <v>3</v>
      </c>
      <c r="G32" s="1"/>
    </row>
    <row r="33" spans="1:7" x14ac:dyDescent="0.25">
      <c r="A33" s="1"/>
      <c r="B33" s="92"/>
      <c r="C33" s="93"/>
      <c r="D33" s="93"/>
      <c r="E33" s="93"/>
      <c r="F33" s="94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92" t="s">
        <v>249</v>
      </c>
      <c r="C35" s="93"/>
      <c r="D35" s="93"/>
      <c r="E35" s="93"/>
      <c r="F35" s="94"/>
      <c r="G35" s="1"/>
    </row>
    <row r="36" spans="1:7" x14ac:dyDescent="0.25">
      <c r="A36" s="1"/>
      <c r="B36" s="105" t="s">
        <v>290</v>
      </c>
      <c r="C36" s="106"/>
      <c r="D36" s="107"/>
      <c r="E36" s="9">
        <v>0</v>
      </c>
      <c r="F36" s="14"/>
      <c r="G36" s="1"/>
    </row>
    <row r="37" spans="1:7" x14ac:dyDescent="0.25">
      <c r="A37" s="1"/>
      <c r="B37" s="105" t="s">
        <v>291</v>
      </c>
      <c r="C37" s="106"/>
      <c r="D37" s="107"/>
      <c r="E37" s="9">
        <v>0</v>
      </c>
      <c r="F37" s="14"/>
      <c r="G37" s="1"/>
    </row>
    <row r="38" spans="1:7" x14ac:dyDescent="0.25">
      <c r="A38" s="1"/>
      <c r="B38" s="105" t="s">
        <v>252</v>
      </c>
      <c r="C38" s="106"/>
      <c r="D38" s="107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-167851.36117789894</v>
      </c>
      <c r="F38" s="14" t="s">
        <v>3</v>
      </c>
      <c r="G38" s="1"/>
    </row>
    <row r="39" spans="1:7" x14ac:dyDescent="0.25">
      <c r="A39" s="1"/>
      <c r="B39" s="105" t="s">
        <v>152</v>
      </c>
      <c r="C39" s="106"/>
      <c r="D39" s="107"/>
      <c r="E39" s="9">
        <v>2</v>
      </c>
      <c r="F39" s="14" t="s">
        <v>21</v>
      </c>
      <c r="G39" s="1"/>
    </row>
    <row r="40" spans="1:7" x14ac:dyDescent="0.25">
      <c r="A40" s="1"/>
      <c r="B40" s="111" t="s">
        <v>253</v>
      </c>
      <c r="C40" s="111"/>
      <c r="D40" s="111"/>
      <c r="E40" s="10">
        <f>E38/E39</f>
        <v>-83925.680588949472</v>
      </c>
      <c r="F40" s="17" t="s">
        <v>3</v>
      </c>
      <c r="G40" s="1"/>
    </row>
    <row r="41" spans="1:7" x14ac:dyDescent="0.25">
      <c r="A41" s="1"/>
      <c r="B41" s="108"/>
      <c r="C41" s="109"/>
      <c r="D41" s="109"/>
      <c r="E41" s="109"/>
      <c r="F41" s="110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0JzOQoOzM2nV0seuKhAnVrkegCAr+kTjxXIMQYXFRxxaa66NH9jNhCSg0XX//rkqLu2yIOPoqGG7SC+B5vgl4g==" saltValue="bNTQrJ+euwpxHFZOKjW48Q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2" t="s">
        <v>202</v>
      </c>
      <c r="C9" s="93"/>
      <c r="D9" s="93"/>
      <c r="E9" s="93"/>
      <c r="F9" s="94"/>
      <c r="G9" s="1"/>
    </row>
    <row r="10" spans="1:7" x14ac:dyDescent="0.25">
      <c r="A10" s="1"/>
      <c r="B10" s="80" t="s">
        <v>150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5" t="s">
        <v>203</v>
      </c>
      <c r="C11" s="96"/>
      <c r="D11" s="97"/>
      <c r="E11" s="7">
        <v>0</v>
      </c>
      <c r="F11" s="8" t="s">
        <v>3</v>
      </c>
      <c r="G11" s="1"/>
    </row>
    <row r="12" spans="1:7" x14ac:dyDescent="0.25">
      <c r="A12" s="1"/>
      <c r="B12" s="85" t="s">
        <v>151</v>
      </c>
      <c r="C12" s="86"/>
      <c r="D12" s="104"/>
      <c r="E12" s="10">
        <f>E11-E10</f>
        <v>0</v>
      </c>
      <c r="F12" s="11" t="s">
        <v>3</v>
      </c>
      <c r="G12" s="1"/>
    </row>
    <row r="13" spans="1:7" x14ac:dyDescent="0.25">
      <c r="A13" s="1"/>
      <c r="B13" s="92" t="s">
        <v>134</v>
      </c>
      <c r="C13" s="93"/>
      <c r="D13" s="93"/>
      <c r="E13" s="93"/>
      <c r="F13" s="94"/>
      <c r="G13" s="1"/>
    </row>
    <row r="14" spans="1:7" x14ac:dyDescent="0.25">
      <c r="A14" s="1"/>
      <c r="B14" s="95" t="s">
        <v>204</v>
      </c>
      <c r="C14" s="96"/>
      <c r="D14" s="97"/>
      <c r="E14" s="9">
        <v>0</v>
      </c>
      <c r="F14" s="8" t="s">
        <v>3</v>
      </c>
      <c r="G14" s="1"/>
    </row>
    <row r="15" spans="1:7" x14ac:dyDescent="0.25">
      <c r="A15" s="1"/>
      <c r="B15" s="80" t="s">
        <v>205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5" t="s">
        <v>151</v>
      </c>
      <c r="C16" s="86"/>
      <c r="D16" s="104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XWko3fgQFEttXro72WJiMMHo+0v8v0XLm/IBnFVbI+DIoANAAUzi61pLjRDzjrfTOuvk+VOGA7/45q3Vyj42w==" saltValue="C46Bmhyy+QIWNQN5TrjGE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72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236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237</v>
      </c>
      <c r="C8" s="93"/>
      <c r="D8" s="93"/>
      <c r="E8" s="93"/>
      <c r="F8" s="93"/>
      <c r="G8" s="93"/>
      <c r="H8" s="9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ht="26.25" x14ac:dyDescent="0.25">
      <c r="A10" s="1"/>
      <c r="B10" s="59" t="s">
        <v>272</v>
      </c>
      <c r="C10" s="48" t="s">
        <v>273</v>
      </c>
      <c r="D10" s="9">
        <v>4849213</v>
      </c>
      <c r="E10" s="9">
        <f>IFERROR(D10/C10,0)</f>
        <v>969842.6</v>
      </c>
      <c r="F10" s="9">
        <v>39246.36</v>
      </c>
      <c r="G10" s="9">
        <v>79042.17</v>
      </c>
      <c r="H10" s="14" t="s">
        <v>3</v>
      </c>
      <c r="I10" s="1"/>
    </row>
    <row r="11" spans="1:9" ht="26.25" x14ac:dyDescent="0.25">
      <c r="A11" s="1"/>
      <c r="B11" s="59" t="s">
        <v>274</v>
      </c>
      <c r="C11" s="48" t="s">
        <v>273</v>
      </c>
      <c r="D11" s="9">
        <v>1335208</v>
      </c>
      <c r="E11" s="9">
        <f t="shared" ref="E11:E34" si="0">IFERROR(D11/C11,0)</f>
        <v>267041.59999999998</v>
      </c>
      <c r="F11" s="9">
        <v>0</v>
      </c>
      <c r="G11" s="9">
        <v>21763.89</v>
      </c>
      <c r="H11" s="14" t="s">
        <v>3</v>
      </c>
      <c r="I11" s="1"/>
    </row>
    <row r="12" spans="1:9" x14ac:dyDescent="0.25">
      <c r="A12" s="1"/>
      <c r="B12" s="59" t="s">
        <v>275</v>
      </c>
      <c r="C12" s="48" t="s">
        <v>276</v>
      </c>
      <c r="D12" s="9">
        <v>374588.71</v>
      </c>
      <c r="E12" s="9">
        <f t="shared" si="0"/>
        <v>4994.5161333333335</v>
      </c>
      <c r="F12" s="9">
        <v>0</v>
      </c>
      <c r="G12" s="9">
        <v>6105.8</v>
      </c>
      <c r="H12" s="14" t="s">
        <v>3</v>
      </c>
      <c r="I12" s="1"/>
    </row>
    <row r="13" spans="1:9" x14ac:dyDescent="0.25">
      <c r="A13" s="1"/>
      <c r="B13" s="59" t="s">
        <v>275</v>
      </c>
      <c r="C13" s="48" t="s">
        <v>276</v>
      </c>
      <c r="D13" s="9">
        <v>2301044.96</v>
      </c>
      <c r="E13" s="9">
        <f t="shared" si="0"/>
        <v>30680.599466666667</v>
      </c>
      <c r="F13" s="9">
        <v>0</v>
      </c>
      <c r="G13" s="9">
        <v>37507.03</v>
      </c>
      <c r="H13" s="14" t="s">
        <v>3</v>
      </c>
      <c r="I13" s="1"/>
    </row>
    <row r="14" spans="1:9" x14ac:dyDescent="0.25">
      <c r="A14" s="1"/>
      <c r="B14" s="59" t="s">
        <v>277</v>
      </c>
      <c r="C14" s="48" t="s">
        <v>273</v>
      </c>
      <c r="D14" s="9">
        <v>974728</v>
      </c>
      <c r="E14" s="9">
        <f t="shared" si="0"/>
        <v>194945.6</v>
      </c>
      <c r="F14" s="9">
        <v>0</v>
      </c>
      <c r="G14" s="9">
        <v>15888.07</v>
      </c>
      <c r="H14" s="14" t="s">
        <v>3</v>
      </c>
      <c r="I14" s="1"/>
    </row>
    <row r="15" spans="1:9" ht="26.25" x14ac:dyDescent="0.25">
      <c r="A15" s="1"/>
      <c r="B15" s="59" t="s">
        <v>278</v>
      </c>
      <c r="C15" s="48" t="s">
        <v>276</v>
      </c>
      <c r="D15" s="9">
        <v>539341.14</v>
      </c>
      <c r="E15" s="9">
        <f t="shared" si="0"/>
        <v>7191.2152000000006</v>
      </c>
      <c r="F15" s="9">
        <v>0</v>
      </c>
      <c r="G15" s="9">
        <v>8791.26</v>
      </c>
      <c r="H15" s="14" t="s">
        <v>3</v>
      </c>
      <c r="I15" s="1"/>
    </row>
    <row r="16" spans="1:9" x14ac:dyDescent="0.25">
      <c r="A16" s="1"/>
      <c r="B16" s="59" t="s">
        <v>275</v>
      </c>
      <c r="C16" s="48" t="s">
        <v>276</v>
      </c>
      <c r="D16" s="9">
        <v>898901.89</v>
      </c>
      <c r="E16" s="9">
        <f t="shared" si="0"/>
        <v>11985.358533333334</v>
      </c>
      <c r="F16" s="9">
        <v>0</v>
      </c>
      <c r="G16" s="9">
        <v>14652.1</v>
      </c>
      <c r="H16" s="14" t="s">
        <v>3</v>
      </c>
      <c r="I16" s="1"/>
    </row>
    <row r="17" spans="1:9" ht="26.25" x14ac:dyDescent="0.25">
      <c r="A17" s="1"/>
      <c r="B17" s="59" t="s">
        <v>279</v>
      </c>
      <c r="C17" s="48" t="s">
        <v>276</v>
      </c>
      <c r="D17" s="9">
        <v>1977584.17</v>
      </c>
      <c r="E17" s="9">
        <f t="shared" si="0"/>
        <v>26367.788933333333</v>
      </c>
      <c r="F17" s="9">
        <v>0</v>
      </c>
      <c r="G17" s="9">
        <v>32234.62</v>
      </c>
      <c r="H17" s="14" t="s">
        <v>3</v>
      </c>
      <c r="I17" s="1"/>
    </row>
    <row r="18" spans="1:9" ht="26.25" x14ac:dyDescent="0.25">
      <c r="A18" s="1"/>
      <c r="B18" s="59" t="s">
        <v>278</v>
      </c>
      <c r="C18" s="48" t="s">
        <v>276</v>
      </c>
      <c r="D18" s="9">
        <v>898901.89</v>
      </c>
      <c r="E18" s="9">
        <f t="shared" si="0"/>
        <v>11985.358533333334</v>
      </c>
      <c r="F18" s="9">
        <v>0</v>
      </c>
      <c r="G18" s="9">
        <v>14652.1</v>
      </c>
      <c r="H18" s="14" t="s">
        <v>3</v>
      </c>
      <c r="I18" s="1"/>
    </row>
    <row r="19" spans="1:9" ht="26.25" x14ac:dyDescent="0.25">
      <c r="A19" s="1"/>
      <c r="B19" s="59" t="s">
        <v>280</v>
      </c>
      <c r="C19" s="48" t="s">
        <v>276</v>
      </c>
      <c r="D19" s="9">
        <v>1078682.27</v>
      </c>
      <c r="E19" s="9">
        <f t="shared" si="0"/>
        <v>14382.430266666666</v>
      </c>
      <c r="F19" s="9">
        <v>0</v>
      </c>
      <c r="G19" s="9">
        <v>17582.52</v>
      </c>
      <c r="H19" s="14" t="s">
        <v>3</v>
      </c>
      <c r="I19" s="1"/>
    </row>
    <row r="20" spans="1:9" ht="26.25" x14ac:dyDescent="0.25">
      <c r="A20" s="1"/>
      <c r="B20" s="59" t="s">
        <v>281</v>
      </c>
      <c r="C20" s="48" t="s">
        <v>276</v>
      </c>
      <c r="D20" s="9">
        <v>1258462.6499999999</v>
      </c>
      <c r="E20" s="9">
        <f t="shared" si="0"/>
        <v>16779.502</v>
      </c>
      <c r="F20" s="9">
        <v>0</v>
      </c>
      <c r="G20" s="9">
        <v>20512.939999999999</v>
      </c>
      <c r="H20" s="14" t="s">
        <v>3</v>
      </c>
      <c r="I20" s="1"/>
    </row>
    <row r="21" spans="1:9" x14ac:dyDescent="0.25">
      <c r="A21" s="1"/>
      <c r="B21" s="59" t="s">
        <v>275</v>
      </c>
      <c r="C21" s="48" t="s">
        <v>276</v>
      </c>
      <c r="D21" s="9">
        <v>898901.89</v>
      </c>
      <c r="E21" s="9">
        <f t="shared" si="0"/>
        <v>11985.358533333334</v>
      </c>
      <c r="F21" s="9">
        <v>0</v>
      </c>
      <c r="G21" s="9">
        <v>14652.1</v>
      </c>
      <c r="H21" s="14" t="s">
        <v>3</v>
      </c>
      <c r="I21" s="1"/>
    </row>
    <row r="22" spans="1:9" x14ac:dyDescent="0.25">
      <c r="A22" s="1"/>
      <c r="B22" s="59" t="s">
        <v>282</v>
      </c>
      <c r="C22" s="48" t="s">
        <v>276</v>
      </c>
      <c r="D22" s="9">
        <v>89890.19</v>
      </c>
      <c r="E22" s="9">
        <f t="shared" si="0"/>
        <v>1198.5358666666666</v>
      </c>
      <c r="F22" s="9">
        <v>0</v>
      </c>
      <c r="G22" s="9">
        <v>1465.21</v>
      </c>
      <c r="H22" s="14" t="s">
        <v>3</v>
      </c>
      <c r="I22" s="1"/>
    </row>
    <row r="23" spans="1:9" x14ac:dyDescent="0.25">
      <c r="A23" s="1"/>
      <c r="B23" s="59" t="s">
        <v>283</v>
      </c>
      <c r="C23" s="48" t="s">
        <v>276</v>
      </c>
      <c r="D23" s="9">
        <v>267616.28000000003</v>
      </c>
      <c r="E23" s="9">
        <f t="shared" si="0"/>
        <v>3568.2170666666671</v>
      </c>
      <c r="F23" s="9">
        <v>0</v>
      </c>
      <c r="G23" s="9">
        <v>4362.1499999999996</v>
      </c>
      <c r="H23" s="14" t="s">
        <v>3</v>
      </c>
      <c r="I23" s="1"/>
    </row>
    <row r="24" spans="1:9" x14ac:dyDescent="0.25">
      <c r="A24" s="1"/>
      <c r="B24" s="59" t="s">
        <v>283</v>
      </c>
      <c r="C24" s="48" t="s">
        <v>276</v>
      </c>
      <c r="D24" s="9">
        <v>802848.83</v>
      </c>
      <c r="E24" s="9">
        <f t="shared" si="0"/>
        <v>10704.651066666665</v>
      </c>
      <c r="F24" s="9">
        <v>0</v>
      </c>
      <c r="G24" s="9">
        <v>13086.44</v>
      </c>
      <c r="H24" s="14" t="s">
        <v>3</v>
      </c>
      <c r="I24" s="1"/>
    </row>
    <row r="25" spans="1:9" x14ac:dyDescent="0.25">
      <c r="A25" s="1"/>
      <c r="B25" s="59" t="s">
        <v>282</v>
      </c>
      <c r="C25" s="48" t="s">
        <v>276</v>
      </c>
      <c r="D25" s="9">
        <v>269670.57</v>
      </c>
      <c r="E25" s="9">
        <f t="shared" si="0"/>
        <v>3595.6076000000003</v>
      </c>
      <c r="F25" s="9">
        <v>0</v>
      </c>
      <c r="G25" s="9">
        <v>4395.63</v>
      </c>
      <c r="H25" s="14" t="s">
        <v>3</v>
      </c>
      <c r="I25" s="1"/>
    </row>
    <row r="26" spans="1:9" x14ac:dyDescent="0.25">
      <c r="A26" s="1"/>
      <c r="B26" s="59" t="s">
        <v>275</v>
      </c>
      <c r="C26" s="48" t="s">
        <v>276</v>
      </c>
      <c r="D26" s="9">
        <v>998445.05</v>
      </c>
      <c r="E26" s="9">
        <f t="shared" si="0"/>
        <v>13312.600666666667</v>
      </c>
      <c r="F26" s="9">
        <v>0</v>
      </c>
      <c r="G26" s="9">
        <v>16274.65</v>
      </c>
      <c r="H26" s="14" t="s">
        <v>3</v>
      </c>
      <c r="I26" s="1"/>
    </row>
    <row r="27" spans="1:9" ht="26.25" x14ac:dyDescent="0.25">
      <c r="A27" s="1"/>
      <c r="B27" s="59" t="s">
        <v>279</v>
      </c>
      <c r="C27" s="48" t="s">
        <v>276</v>
      </c>
      <c r="D27" s="9">
        <v>1426350.07</v>
      </c>
      <c r="E27" s="9">
        <f t="shared" si="0"/>
        <v>19018.000933333333</v>
      </c>
      <c r="F27" s="9">
        <v>0</v>
      </c>
      <c r="G27" s="9">
        <v>23249.51</v>
      </c>
      <c r="H27" s="14" t="s">
        <v>3</v>
      </c>
      <c r="I27" s="1"/>
    </row>
    <row r="28" spans="1:9" ht="26.25" x14ac:dyDescent="0.25">
      <c r="A28" s="1"/>
      <c r="B28" s="59" t="s">
        <v>279</v>
      </c>
      <c r="C28" s="48" t="s">
        <v>276</v>
      </c>
      <c r="D28" s="9">
        <v>3423240.16</v>
      </c>
      <c r="E28" s="9">
        <f t="shared" si="0"/>
        <v>45643.202133333332</v>
      </c>
      <c r="F28" s="9">
        <v>0</v>
      </c>
      <c r="G28" s="9">
        <v>55798.81</v>
      </c>
      <c r="H28" s="14" t="s">
        <v>3</v>
      </c>
      <c r="I28" s="1"/>
    </row>
    <row r="29" spans="1:9" x14ac:dyDescent="0.25">
      <c r="A29" s="1"/>
      <c r="B29" s="59" t="s">
        <v>283</v>
      </c>
      <c r="C29" s="48" t="s">
        <v>276</v>
      </c>
      <c r="D29" s="9">
        <v>4812551.29</v>
      </c>
      <c r="E29" s="9">
        <f t="shared" si="0"/>
        <v>64167.350533333331</v>
      </c>
      <c r="F29" s="9">
        <v>0</v>
      </c>
      <c r="G29" s="9">
        <v>78444.59</v>
      </c>
      <c r="H29" s="14" t="s">
        <v>3</v>
      </c>
      <c r="I29" s="1"/>
    </row>
    <row r="30" spans="1:9" x14ac:dyDescent="0.25">
      <c r="A30" s="1"/>
      <c r="B30" s="59" t="s">
        <v>283</v>
      </c>
      <c r="C30" s="48" t="s">
        <v>276</v>
      </c>
      <c r="D30" s="9">
        <v>1132365.01</v>
      </c>
      <c r="E30" s="9">
        <f t="shared" si="0"/>
        <v>15098.200133333334</v>
      </c>
      <c r="F30" s="9">
        <v>0</v>
      </c>
      <c r="G30" s="9">
        <v>18457.55</v>
      </c>
      <c r="H30" s="14" t="s">
        <v>3</v>
      </c>
      <c r="I30" s="1"/>
    </row>
    <row r="31" spans="1:9" x14ac:dyDescent="0.25">
      <c r="A31" s="1"/>
      <c r="B31" s="59" t="s">
        <v>282</v>
      </c>
      <c r="C31" s="48" t="s">
        <v>276</v>
      </c>
      <c r="D31" s="9">
        <v>998445.05</v>
      </c>
      <c r="E31" s="9">
        <f t="shared" si="0"/>
        <v>13312.600666666667</v>
      </c>
      <c r="F31" s="9">
        <v>0</v>
      </c>
      <c r="G31" s="9">
        <v>16274.65</v>
      </c>
      <c r="H31" s="14" t="s">
        <v>3</v>
      </c>
      <c r="I31" s="1"/>
    </row>
    <row r="32" spans="1:9" x14ac:dyDescent="0.25">
      <c r="A32" s="1"/>
      <c r="B32" s="59" t="s">
        <v>282</v>
      </c>
      <c r="C32" s="48" t="s">
        <v>276</v>
      </c>
      <c r="D32" s="9">
        <v>1426350.07</v>
      </c>
      <c r="E32" s="9">
        <f t="shared" si="0"/>
        <v>19018.000933333333</v>
      </c>
      <c r="F32" s="9">
        <v>0</v>
      </c>
      <c r="G32" s="9">
        <v>23249.51</v>
      </c>
      <c r="H32" s="14" t="s">
        <v>3</v>
      </c>
      <c r="I32" s="1"/>
    </row>
    <row r="33" spans="1:9" ht="26.25" x14ac:dyDescent="0.25">
      <c r="A33" s="1"/>
      <c r="B33" s="59" t="s">
        <v>284</v>
      </c>
      <c r="C33" s="48" t="s">
        <v>273</v>
      </c>
      <c r="D33" s="9">
        <v>1166902</v>
      </c>
      <c r="E33" s="9">
        <f t="shared" si="0"/>
        <v>233380.4</v>
      </c>
      <c r="F33" s="9">
        <v>0</v>
      </c>
      <c r="G33" s="9">
        <v>19020.5</v>
      </c>
      <c r="H33" s="14" t="s">
        <v>3</v>
      </c>
      <c r="I33" s="1"/>
    </row>
    <row r="34" spans="1:9" x14ac:dyDescent="0.25">
      <c r="A34" s="1"/>
      <c r="B34" s="59" t="s">
        <v>285</v>
      </c>
      <c r="C34" s="48" t="s">
        <v>273</v>
      </c>
      <c r="D34" s="9">
        <v>542639</v>
      </c>
      <c r="E34" s="9">
        <f t="shared" si="0"/>
        <v>108527.8</v>
      </c>
      <c r="F34" s="9">
        <v>0</v>
      </c>
      <c r="G34" s="9">
        <v>8845.02</v>
      </c>
      <c r="H34" s="14" t="s">
        <v>3</v>
      </c>
      <c r="I34" s="1"/>
    </row>
    <row r="35" spans="1:9" x14ac:dyDescent="0.25">
      <c r="A35" s="1"/>
      <c r="B35" s="59" t="s">
        <v>286</v>
      </c>
      <c r="C35" s="48" t="s">
        <v>273</v>
      </c>
      <c r="D35" s="9">
        <v>5298151</v>
      </c>
      <c r="E35" s="9">
        <f t="shared" ref="E35:E36" si="1">IFERROR(D35/C35,0)</f>
        <v>1059630.2</v>
      </c>
      <c r="F35" s="9">
        <v>0</v>
      </c>
      <c r="G35" s="9">
        <v>86359.86</v>
      </c>
      <c r="H35" s="14" t="s">
        <v>3</v>
      </c>
      <c r="I35" s="1"/>
    </row>
    <row r="36" spans="1:9" ht="26.25" x14ac:dyDescent="0.25">
      <c r="A36" s="1"/>
      <c r="B36" s="59" t="s">
        <v>287</v>
      </c>
      <c r="C36" s="48" t="s">
        <v>273</v>
      </c>
      <c r="D36" s="9">
        <v>273216</v>
      </c>
      <c r="E36" s="9">
        <f t="shared" si="1"/>
        <v>54643.199999999997</v>
      </c>
      <c r="F36" s="9">
        <v>0</v>
      </c>
      <c r="G36" s="9">
        <v>4453.42</v>
      </c>
      <c r="H36" s="14" t="s">
        <v>3</v>
      </c>
      <c r="I36" s="1"/>
    </row>
    <row r="37" spans="1:9" x14ac:dyDescent="0.25">
      <c r="A37" s="1"/>
      <c r="B37" s="92" t="s">
        <v>238</v>
      </c>
      <c r="C37" s="93"/>
      <c r="D37" s="94"/>
      <c r="E37" s="12">
        <f>SUM(E10:E36)</f>
        <v>3233000.4951999998</v>
      </c>
      <c r="F37" s="12">
        <f>SUM(F10:F36)</f>
        <v>39246.36</v>
      </c>
      <c r="G37" s="12">
        <f>SUM(G10:G36)</f>
        <v>657122.10000000009</v>
      </c>
      <c r="H37" s="13" t="s">
        <v>3</v>
      </c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</sheetData>
  <sheetProtection algorithmName="SHA-512" hashValue="K0O1TADejGZvX2LuS17sHETNHQ2KkJPlbSCtLxnhE9+ZDRXYIXs6tAHtRWE6BQuVy+vEx1FculrIL9rCG/I50w==" saltValue="5jxq4lRgs0A/Fo5fxTJlqA==" spinCount="100000" sheet="1" objects="1" scenarios="1"/>
  <mergeCells count="3">
    <mergeCell ref="B3:H4"/>
    <mergeCell ref="B37:D37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168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2" t="s">
        <v>18</v>
      </c>
      <c r="C9" s="52" t="s">
        <v>12</v>
      </c>
      <c r="D9" s="53"/>
      <c r="E9" s="52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Anlægsprojekter'!F37</f>
        <v>39246.36</v>
      </c>
      <c r="D10" s="14" t="s">
        <v>3</v>
      </c>
      <c r="E10" s="9">
        <f>SUM('Fane 9. Anlægsprojekter'!E37,'Fane 9. Anlægsprojekter'!G37)</f>
        <v>3890122.5951999999</v>
      </c>
      <c r="F10" s="14" t="s">
        <v>3</v>
      </c>
      <c r="G10" s="1"/>
    </row>
    <row r="11" spans="1:7" x14ac:dyDescent="0.25">
      <c r="A11" s="1"/>
      <c r="B11" s="49" t="s">
        <v>288</v>
      </c>
      <c r="C11" s="22">
        <v>0</v>
      </c>
      <c r="D11" s="14" t="s">
        <v>3</v>
      </c>
      <c r="E11" s="9">
        <v>553834</v>
      </c>
      <c r="F11" s="14" t="s">
        <v>3</v>
      </c>
      <c r="G11" s="1"/>
    </row>
    <row r="12" spans="1:7" x14ac:dyDescent="0.25">
      <c r="A12" s="1"/>
      <c r="B12" s="25" t="s">
        <v>289</v>
      </c>
      <c r="C12" s="22">
        <v>0</v>
      </c>
      <c r="D12" s="14" t="s">
        <v>3</v>
      </c>
      <c r="E12" s="9">
        <v>118539</v>
      </c>
      <c r="F12" s="14" t="s">
        <v>3</v>
      </c>
      <c r="G12" s="1"/>
    </row>
    <row r="13" spans="1:7" x14ac:dyDescent="0.25">
      <c r="A13" s="1"/>
      <c r="B13" s="38" t="s">
        <v>50</v>
      </c>
      <c r="C13" s="12">
        <f>SUM(C10:C12)</f>
        <v>39246.36</v>
      </c>
      <c r="D13" s="13" t="s">
        <v>3</v>
      </c>
      <c r="E13" s="12">
        <f>SUM(E10:E12)</f>
        <v>4562495.5952000003</v>
      </c>
      <c r="F13" s="13" t="s">
        <v>3</v>
      </c>
      <c r="G13" s="1"/>
    </row>
    <row r="14" spans="1:7" x14ac:dyDescent="0.25">
      <c r="A14" s="1"/>
      <c r="B14" s="38" t="s">
        <v>219</v>
      </c>
      <c r="C14" s="12">
        <f>C13*(1+'Fane 14. Nøgletal'!C13)</f>
        <v>39725.165591999998</v>
      </c>
      <c r="D14" s="13" t="s">
        <v>3</v>
      </c>
      <c r="E14" s="12">
        <f>E13*(1+'Fane 14. Nøgletal'!C13)</f>
        <v>4618158.0414614407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B/ygeumZCIj4RaNjUTaifTZUyS2SiZRzDV/B91SeBhPZTtHuKKXMMFJjLYt1L+LS/PzDpQKJyKZZTGQnfKkpA==" saltValue="lRiHEVsFTK/pXOlr/Sg8H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167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141</v>
      </c>
      <c r="C8" s="93"/>
      <c r="D8" s="93"/>
      <c r="E8" s="93"/>
      <c r="F8" s="94"/>
      <c r="G8" s="1"/>
    </row>
    <row r="9" spans="1:7" x14ac:dyDescent="0.25">
      <c r="A9" s="1"/>
      <c r="B9" s="52" t="s">
        <v>18</v>
      </c>
      <c r="C9" s="52" t="s">
        <v>12</v>
      </c>
      <c r="D9" s="53"/>
      <c r="E9" s="52" t="s">
        <v>38</v>
      </c>
      <c r="F9" s="37"/>
      <c r="G9" s="1"/>
    </row>
    <row r="10" spans="1:7" x14ac:dyDescent="0.25">
      <c r="A10" s="1"/>
      <c r="B10" s="25" t="s">
        <v>271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2" t="s">
        <v>142</v>
      </c>
      <c r="C16" s="93"/>
      <c r="D16" s="93"/>
      <c r="E16" s="93"/>
      <c r="F16" s="94"/>
      <c r="G16" s="1"/>
    </row>
    <row r="17" spans="1:7" x14ac:dyDescent="0.25">
      <c r="A17" s="1"/>
      <c r="B17" s="52" t="s">
        <v>18</v>
      </c>
      <c r="C17" s="52" t="s">
        <v>12</v>
      </c>
      <c r="D17" s="53"/>
      <c r="E17" s="52" t="s">
        <v>38</v>
      </c>
      <c r="F17" s="37"/>
      <c r="G17" s="1"/>
    </row>
    <row r="18" spans="1:7" x14ac:dyDescent="0.25">
      <c r="A18" s="1"/>
      <c r="B18" s="25" t="s">
        <v>271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2" t="s">
        <v>143</v>
      </c>
      <c r="C24" s="93"/>
      <c r="D24" s="93"/>
      <c r="E24" s="93"/>
      <c r="F24" s="94"/>
      <c r="G24" s="1"/>
    </row>
    <row r="25" spans="1:7" x14ac:dyDescent="0.25">
      <c r="A25" s="1"/>
      <c r="B25" s="52" t="s">
        <v>18</v>
      </c>
      <c r="C25" s="52" t="s">
        <v>12</v>
      </c>
      <c r="D25" s="53"/>
      <c r="E25" s="52" t="s">
        <v>38</v>
      </c>
      <c r="F25" s="37"/>
      <c r="G25" s="1"/>
    </row>
    <row r="26" spans="1:7" x14ac:dyDescent="0.25">
      <c r="A26" s="1"/>
      <c r="B26" s="25" t="s">
        <v>271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2" t="s">
        <v>223</v>
      </c>
      <c r="C32" s="93"/>
      <c r="D32" s="93"/>
      <c r="E32" s="93"/>
      <c r="F32" s="94"/>
      <c r="G32" s="1"/>
    </row>
    <row r="33" spans="1:7" x14ac:dyDescent="0.25">
      <c r="A33" s="1"/>
      <c r="B33" s="52" t="s">
        <v>18</v>
      </c>
      <c r="C33" s="52" t="s">
        <v>12</v>
      </c>
      <c r="D33" s="53"/>
      <c r="E33" s="52" t="s">
        <v>38</v>
      </c>
      <c r="F33" s="37"/>
      <c r="G33" s="1"/>
    </row>
    <row r="34" spans="1:7" x14ac:dyDescent="0.25">
      <c r="A34" s="1"/>
      <c r="B34" s="25" t="s">
        <v>271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okBfGwN+BgVD+9xncSatRQL8CpzuKAWajpM5bs8a2WeiHlyVoHeFIgVY1COvb7vZnlbf8SxpOK0b6MK9yjWs+g==" saltValue="xamgzJ4kttVEpCwCZyrs8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125</v>
      </c>
      <c r="C8" s="93"/>
      <c r="D8" s="93"/>
      <c r="E8" s="93"/>
      <c r="F8" s="94"/>
      <c r="G8" s="1"/>
    </row>
    <row r="9" spans="1:7" x14ac:dyDescent="0.25">
      <c r="A9" s="1"/>
      <c r="B9" s="112" t="s">
        <v>207</v>
      </c>
      <c r="C9" s="113"/>
      <c r="D9" s="114"/>
      <c r="E9" s="9">
        <v>0</v>
      </c>
      <c r="F9" s="14" t="s">
        <v>3</v>
      </c>
      <c r="G9" s="1"/>
    </row>
    <row r="10" spans="1:7" x14ac:dyDescent="0.25">
      <c r="A10" s="1"/>
      <c r="B10" s="83" t="s">
        <v>10</v>
      </c>
      <c r="C10" s="84"/>
      <c r="D10" s="90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3" t="s">
        <v>29</v>
      </c>
      <c r="C11" s="84"/>
      <c r="D11" s="90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92" t="s">
        <v>128</v>
      </c>
      <c r="C12" s="93"/>
      <c r="D12" s="94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2" t="s">
        <v>126</v>
      </c>
      <c r="C14" s="93"/>
      <c r="D14" s="93"/>
      <c r="E14" s="93"/>
      <c r="F14" s="94"/>
      <c r="G14" s="1"/>
    </row>
    <row r="15" spans="1:7" x14ac:dyDescent="0.25">
      <c r="A15" s="1"/>
      <c r="B15" s="112" t="s">
        <v>207</v>
      </c>
      <c r="C15" s="113"/>
      <c r="D15" s="114"/>
      <c r="E15" s="9">
        <v>0</v>
      </c>
      <c r="F15" s="14" t="s">
        <v>3</v>
      </c>
      <c r="G15" s="1"/>
    </row>
    <row r="16" spans="1:7" x14ac:dyDescent="0.25">
      <c r="A16" s="1"/>
      <c r="B16" s="83" t="s">
        <v>10</v>
      </c>
      <c r="C16" s="84"/>
      <c r="D16" s="90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3" t="s">
        <v>29</v>
      </c>
      <c r="C17" s="84"/>
      <c r="D17" s="90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92" t="s">
        <v>129</v>
      </c>
      <c r="C18" s="93"/>
      <c r="D18" s="94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2" t="s">
        <v>127</v>
      </c>
      <c r="C20" s="93"/>
      <c r="D20" s="93"/>
      <c r="E20" s="93"/>
      <c r="F20" s="94"/>
      <c r="G20" s="1"/>
    </row>
    <row r="21" spans="1:7" x14ac:dyDescent="0.25">
      <c r="A21" s="1"/>
      <c r="B21" s="112" t="s">
        <v>207</v>
      </c>
      <c r="C21" s="113"/>
      <c r="D21" s="114"/>
      <c r="E21" s="9">
        <v>0</v>
      </c>
      <c r="F21" s="14" t="s">
        <v>3</v>
      </c>
      <c r="G21" s="1"/>
    </row>
    <row r="22" spans="1:7" x14ac:dyDescent="0.25">
      <c r="A22" s="1"/>
      <c r="B22" s="83" t="s">
        <v>10</v>
      </c>
      <c r="C22" s="84"/>
      <c r="D22" s="90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3" t="s">
        <v>29</v>
      </c>
      <c r="C23" s="84"/>
      <c r="D23" s="90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92" t="s">
        <v>130</v>
      </c>
      <c r="C24" s="93"/>
      <c r="D24" s="94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2" t="s">
        <v>208</v>
      </c>
      <c r="C26" s="93"/>
      <c r="D26" s="93"/>
      <c r="E26" s="93"/>
      <c r="F26" s="94"/>
      <c r="G26" s="1"/>
    </row>
    <row r="27" spans="1:7" x14ac:dyDescent="0.25">
      <c r="A27" s="1"/>
      <c r="B27" s="112" t="s">
        <v>207</v>
      </c>
      <c r="C27" s="113"/>
      <c r="D27" s="114"/>
      <c r="E27" s="9">
        <v>0</v>
      </c>
      <c r="F27" s="14" t="s">
        <v>3</v>
      </c>
      <c r="G27" s="1"/>
    </row>
    <row r="28" spans="1:7" x14ac:dyDescent="0.25">
      <c r="A28" s="1"/>
      <c r="B28" s="83" t="s">
        <v>10</v>
      </c>
      <c r="C28" s="84"/>
      <c r="D28" s="90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3" t="s">
        <v>29</v>
      </c>
      <c r="C29" s="84"/>
      <c r="D29" s="90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92" t="s">
        <v>209</v>
      </c>
      <c r="C30" s="93"/>
      <c r="D30" s="94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iXvlCUEoQq749bzBSKRjHK378Kz57AUnHmEQoS46Hh64zyFB03O0p6pbRs6GvKibWEhEBW5s79E+MoQQRZ0AyQ==" saltValue="TqHg2CzdJ+8NJCoCZpLUcg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211</v>
      </c>
      <c r="C8" s="93"/>
      <c r="D8" s="93"/>
      <c r="E8" s="93"/>
      <c r="F8" s="94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DuTCc8416kwsKIdTh7wK1n5xLDhnh/X9cbgUFs7YPhAPbL3GG5FKwPcvjvD/BoaKaAeATTPg/+LwrEtjuyO6UA==" saltValue="dB4iA3SrJTUl0TsjslwEu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132</v>
      </c>
      <c r="C8" s="93"/>
      <c r="D8" s="93"/>
      <c r="E8" s="93"/>
      <c r="F8" s="94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2" t="s">
        <v>131</v>
      </c>
      <c r="C14" s="93"/>
      <c r="D14" s="93"/>
      <c r="E14" s="93"/>
      <c r="F14" s="94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270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2" t="s">
        <v>133</v>
      </c>
      <c r="C20" s="93"/>
      <c r="D20" s="93"/>
      <c r="E20" s="93"/>
      <c r="F20" s="94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270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2" t="s">
        <v>227</v>
      </c>
      <c r="C26" s="93"/>
      <c r="D26" s="93"/>
      <c r="E26" s="93"/>
      <c r="F26" s="94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270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bXsA67S7nUwCM2iIpurWv2BEcOPJwcFPzQeo6uDQOAJ48l9PrFUHI51Bh5RkivBkN9pV3JMfiIk+4YFHYt0ow==" saltValue="j5Yr7sryHehuAtjyWXLqz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7" t="s">
        <v>170</v>
      </c>
      <c r="C9" s="26">
        <v>1.2699999999999999E-2</v>
      </c>
      <c r="D9" s="1"/>
    </row>
    <row r="10" spans="1:4" x14ac:dyDescent="0.25">
      <c r="A10" s="1"/>
      <c r="B10" s="57" t="s">
        <v>171</v>
      </c>
      <c r="C10" s="26">
        <v>1.7500000000000002E-2</v>
      </c>
      <c r="D10" s="1"/>
    </row>
    <row r="11" spans="1:4" x14ac:dyDescent="0.25">
      <c r="A11" s="1"/>
      <c r="B11" s="57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7" t="s">
        <v>173</v>
      </c>
      <c r="C18" s="23">
        <v>9.1000000000000004E-3</v>
      </c>
      <c r="D18" s="1"/>
    </row>
    <row r="19" spans="1:4" x14ac:dyDescent="0.25">
      <c r="A19" s="1"/>
      <c r="B19" s="57" t="s">
        <v>174</v>
      </c>
      <c r="C19" s="23">
        <v>1.77E-2</v>
      </c>
      <c r="D19" s="1"/>
    </row>
    <row r="20" spans="1:4" x14ac:dyDescent="0.25">
      <c r="A20" s="1"/>
      <c r="B20" s="57" t="s">
        <v>175</v>
      </c>
      <c r="C20" s="23">
        <v>8.6999999999999994E-3</v>
      </c>
      <c r="D20" s="1"/>
    </row>
    <row r="21" spans="1:4" x14ac:dyDescent="0.25">
      <c r="A21" s="1"/>
      <c r="B21" s="57" t="s">
        <v>176</v>
      </c>
      <c r="C21" s="41">
        <v>2.8400000000000002E-2</v>
      </c>
      <c r="D21" s="1"/>
    </row>
    <row r="22" spans="1:4" x14ac:dyDescent="0.25">
      <c r="A22" s="1"/>
      <c r="B22" s="57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7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cw0C2xvMJRtlHj4zMurP4H3lv9N3pu9ym7leTPthi4P5bFRZZ2xzWQdAvfIWRrr2eUdoIedbZl8jsbc4z/Qtzg==" saltValue="bGVPRhheRQ2Hm0ONq2I3TQ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185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42681194.262733959</v>
      </c>
      <c r="D9" s="8" t="s">
        <v>3</v>
      </c>
      <c r="E9" s="1"/>
    </row>
    <row r="10" spans="1:5" ht="17.100000000000001" customHeight="1" x14ac:dyDescent="0.25">
      <c r="A10" s="1"/>
      <c r="B10" s="51" t="s">
        <v>48</v>
      </c>
      <c r="C10" s="7">
        <f>'Fane 10.1. Varige tillæg'!C14</f>
        <v>39725.165591999998</v>
      </c>
      <c r="D10" s="8" t="s">
        <v>3</v>
      </c>
      <c r="E10" s="1"/>
    </row>
    <row r="11" spans="1:5" ht="17.100000000000001" customHeight="1" x14ac:dyDescent="0.25">
      <c r="A11" s="1"/>
      <c r="B11" s="51" t="s">
        <v>49</v>
      </c>
      <c r="C11" s="9">
        <f>'Fane 10.1. Varige tillæg'!E14</f>
        <v>4618158.0414614407</v>
      </c>
      <c r="D11" s="8" t="s">
        <v>3</v>
      </c>
      <c r="E11" s="1"/>
    </row>
    <row r="12" spans="1:5" ht="17.100000000000001" customHeight="1" x14ac:dyDescent="0.25">
      <c r="A12" s="1"/>
      <c r="B12" s="51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1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1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1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1" t="s">
        <v>20</v>
      </c>
      <c r="C16" s="9">
        <f>C9*'Fane 14. Nøgletal'!C12+SUM(C10:C15)*'Fane 14. Nøgletal'!C13</f>
        <v>897645.70210191095</v>
      </c>
      <c r="D16" s="8" t="s">
        <v>3</v>
      </c>
      <c r="E16" s="1"/>
    </row>
    <row r="17" spans="1:5" ht="17.100000000000001" customHeight="1" x14ac:dyDescent="0.25">
      <c r="A17" s="1"/>
      <c r="B17" s="51" t="s">
        <v>10</v>
      </c>
      <c r="C17" s="9">
        <f>-SUM(C9:C16)*'Fane 5. Individuelt eff. krav'!G11</f>
        <v>-77053.771667282184</v>
      </c>
      <c r="D17" s="8" t="s">
        <v>3</v>
      </c>
      <c r="E17" s="1"/>
    </row>
    <row r="18" spans="1:5" ht="17.100000000000001" customHeight="1" x14ac:dyDescent="0.25">
      <c r="A18" s="1"/>
      <c r="B18" s="51" t="s">
        <v>29</v>
      </c>
      <c r="C18" s="9">
        <f>-'Fane 4.1. Gen. krav - drift'!G34</f>
        <v>-234663.83794542187</v>
      </c>
      <c r="D18" s="8" t="s">
        <v>3</v>
      </c>
      <c r="E18" s="1"/>
    </row>
    <row r="19" spans="1:5" ht="17.100000000000001" customHeight="1" x14ac:dyDescent="0.25">
      <c r="A19" s="1"/>
      <c r="B19" s="51" t="s">
        <v>30</v>
      </c>
      <c r="C19" s="9">
        <f>-'Fane 4.2. Gen. krav - anlæg'!G31</f>
        <v>-1039770.6678081844</v>
      </c>
      <c r="D19" s="8" t="s">
        <v>3</v>
      </c>
      <c r="E19" s="1"/>
    </row>
    <row r="20" spans="1:5" ht="17.100000000000001" customHeight="1" x14ac:dyDescent="0.25">
      <c r="A20" s="1"/>
      <c r="B20" s="55" t="s">
        <v>22</v>
      </c>
      <c r="C20" s="10">
        <f>SUM(C9:C19)</f>
        <v>46885234.894468419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omk.'!C15+'Fane 6. Ikke-påvirkelige omk.'!C19+'Fane 6. Ikke-påvirkelige omk.'!C27</f>
        <v>23337456.510338679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5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51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1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5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0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70222691.404807091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kfoTngnaHimDLVmtf44drXAdFFR7e6Dv5na92vgUhDd9ARP9jYSsWRv8PIm/qTG1OE0HQxSW1gTRB1ip10H1Jg==" saltValue="Txh96W/pJewW0T+seanKJ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188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23</v>
      </c>
      <c r="C5" s="79"/>
      <c r="D5" s="7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46885234.894468419</v>
      </c>
      <c r="D9" s="8" t="s">
        <v>3</v>
      </c>
      <c r="E9" s="1"/>
    </row>
    <row r="10" spans="1:5" ht="15" customHeight="1" x14ac:dyDescent="0.25">
      <c r="A10" s="1"/>
      <c r="B10" s="51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1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571999.86571251473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-75808.609928599413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-232776.20203298889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-994284.28587434266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46154365.662345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Nøgletal'!C13)+'Fane 6. Ikke-påvirkelige omk.'!C20+'Fane 6. Ikke-påvirkelige omk.'!C28</f>
        <v>23612795.742364809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5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51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1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5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-83925.680588949472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69683235.72412087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gLaHC4hdiFi6lEYScy94yO46u4Y9ajOhLyF3HZzPEd2MOfvLK8eH8Qy2renN5RwjmZIzWaWQgiT4JBTzxhrNPQ==" saltValue="IAXJyZTr0gT+rob6LYwiw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189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23</v>
      </c>
      <c r="C5" s="79"/>
      <c r="D5" s="79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46154365.662345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563083.26108060905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-74626.869437129746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-230903.75026383554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-978738.15392255434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45433180.149802089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Nøgletal'!C13)^2+'Fane 6. Ikke-påvirkelige omk.'!C21+'Fane 6. Ikke-påvirkelige omk.'!C29</f>
        <v>23891493.113021661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5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51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1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5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-83925.680588949472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69240747.5822348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Wo9YkWZUmIMUgpUtT4+wJCKopvLvDMWm/P6ZRefK22GD91hw/psqxgoEFzgg9grb+zij4pk4okP/2/3INqShQ==" saltValue="k054nN2dbDsOOrDQaOfjo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191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23</v>
      </c>
      <c r="C5" s="79"/>
      <c r="D5" s="79"/>
      <c r="E5" s="1"/>
    </row>
    <row r="6" spans="1:5" x14ac:dyDescent="0.25">
      <c r="A6" s="1"/>
      <c r="B6" s="50"/>
      <c r="C6" s="50"/>
      <c r="D6" s="50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45433180.149802089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554284.79782758548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-73460.786525748787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-229046.36049671323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-963435.09351689811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44721522.707090311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omk.'!C15*(1+'Fane 14. Nøgletal'!C13)^3+'Fane 6. Ikke-påvirkelige omk.'!C22+'Fane 6. Ikke-påvirkelige omk.'!C30</f>
        <v>23404925.603800528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5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51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1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5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68126448.310890839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4XsgfHrVETxTpX1orXRzrrGZMkaMCdpHWT+b32cFO0KPz9vZRYASxNmf9IjKJpnV47LQez8Ey6JFHgzi9YxZjg==" saltValue="jQVifr30GvW3vF4PkCxJA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80" t="s">
        <v>25</v>
      </c>
      <c r="C9" s="81"/>
      <c r="D9" s="82"/>
      <c r="E9" s="7">
        <v>42126849.679241382</v>
      </c>
      <c r="F9" s="8" t="s">
        <v>3</v>
      </c>
      <c r="G9" s="1"/>
    </row>
    <row r="10" spans="1:7" ht="15" customHeight="1" x14ac:dyDescent="0.25">
      <c r="A10" s="1"/>
      <c r="B10" s="83" t="s">
        <v>48</v>
      </c>
      <c r="C10" s="84"/>
      <c r="D10" s="90"/>
      <c r="E10" s="7">
        <v>39441.995999999999</v>
      </c>
      <c r="F10" s="8" t="s">
        <v>3</v>
      </c>
      <c r="G10" s="1"/>
    </row>
    <row r="11" spans="1:7" ht="15" customHeight="1" x14ac:dyDescent="0.25">
      <c r="A11" s="1"/>
      <c r="B11" s="83" t="s">
        <v>49</v>
      </c>
      <c r="C11" s="84"/>
      <c r="D11" s="90"/>
      <c r="E11" s="9">
        <v>890576.9367006598</v>
      </c>
      <c r="F11" s="8" t="s">
        <v>3</v>
      </c>
      <c r="G11" s="1"/>
    </row>
    <row r="12" spans="1:7" ht="15" customHeight="1" x14ac:dyDescent="0.25">
      <c r="A12" s="1"/>
      <c r="B12" s="83" t="s">
        <v>32</v>
      </c>
      <c r="C12" s="84"/>
      <c r="D12" s="90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31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34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33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20</v>
      </c>
      <c r="C16" s="81"/>
      <c r="D16" s="82"/>
      <c r="E16" s="9">
        <f>SUM(E9:E15)*'Fane 14. Nøgletal'!C12</f>
        <v>848220.31165525806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krav'!G11</f>
        <v>-70134.380498758925</v>
      </c>
      <c r="F17" s="8" t="s">
        <v>3</v>
      </c>
      <c r="G17" s="1"/>
    </row>
    <row r="18" spans="1:7" ht="15" customHeight="1" x14ac:dyDescent="0.25">
      <c r="A18" s="1"/>
      <c r="B18" s="80" t="s">
        <v>29</v>
      </c>
      <c r="C18" s="81"/>
      <c r="D18" s="82"/>
      <c r="E18" s="9">
        <f>-'Fane 4.1. Gen. krav - drift'!G28</f>
        <v>-234022.052997958</v>
      </c>
      <c r="F18" s="8" t="s">
        <v>3</v>
      </c>
      <c r="G18" s="1"/>
    </row>
    <row r="19" spans="1:7" ht="15" customHeight="1" x14ac:dyDescent="0.25">
      <c r="A19" s="1"/>
      <c r="B19" s="80" t="s">
        <v>30</v>
      </c>
      <c r="C19" s="81"/>
      <c r="D19" s="82"/>
      <c r="E19" s="9">
        <f>-'Fane 4.2. Gen. krav - anlæg'!G25</f>
        <v>-919738.22736662102</v>
      </c>
      <c r="F19" s="8" t="s">
        <v>3</v>
      </c>
      <c r="G19" s="1"/>
    </row>
    <row r="20" spans="1:7" ht="15" customHeight="1" x14ac:dyDescent="0.25">
      <c r="A20" s="1"/>
      <c r="B20" s="55" t="s">
        <v>22</v>
      </c>
      <c r="C20" s="56"/>
      <c r="D20" s="58"/>
      <c r="E20" s="10">
        <f>SUM(E9:E19)</f>
        <v>42681194.262733959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7" t="s">
        <v>13</v>
      </c>
      <c r="C22" s="88"/>
      <c r="D22" s="91"/>
      <c r="E22" s="10">
        <v>24668109.411135301</v>
      </c>
      <c r="F22" s="11" t="s">
        <v>3</v>
      </c>
      <c r="G22" s="1"/>
    </row>
    <row r="23" spans="1:7" ht="15" customHeight="1" x14ac:dyDescent="0.25">
      <c r="A23" s="1"/>
      <c r="B23" s="92" t="s">
        <v>114</v>
      </c>
      <c r="C23" s="93"/>
      <c r="D23" s="94"/>
      <c r="E23" s="32"/>
      <c r="F23" s="32"/>
      <c r="G23" s="1"/>
    </row>
    <row r="24" spans="1:7" ht="15" customHeight="1" x14ac:dyDescent="0.25">
      <c r="A24" s="1"/>
      <c r="B24" s="55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3" t="s">
        <v>109</v>
      </c>
      <c r="C26" s="84"/>
      <c r="D26" s="90"/>
      <c r="E26" s="9">
        <v>0</v>
      </c>
      <c r="F26" s="8" t="s">
        <v>3</v>
      </c>
      <c r="G26" s="1"/>
    </row>
    <row r="27" spans="1:7" ht="15" customHeight="1" x14ac:dyDescent="0.25">
      <c r="A27" s="1"/>
      <c r="B27" s="83" t="s">
        <v>110</v>
      </c>
      <c r="C27" s="84"/>
      <c r="D27" s="84"/>
      <c r="E27" s="9">
        <v>406207</v>
      </c>
      <c r="F27" s="8" t="s">
        <v>3</v>
      </c>
      <c r="G27" s="1"/>
    </row>
    <row r="28" spans="1:7" ht="15" customHeight="1" x14ac:dyDescent="0.25">
      <c r="A28" s="1"/>
      <c r="B28" s="85" t="s">
        <v>115</v>
      </c>
      <c r="C28" s="86"/>
      <c r="D28" s="86"/>
      <c r="E28" s="46">
        <v>406207.45574472437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7" t="s">
        <v>260</v>
      </c>
      <c r="C30" s="88"/>
      <c r="D30" s="88"/>
      <c r="E30" s="46">
        <v>-3283160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7" t="s">
        <v>262</v>
      </c>
      <c r="C32" s="88"/>
      <c r="D32" s="88"/>
      <c r="E32" s="46">
        <v>0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7" t="s">
        <v>264</v>
      </c>
      <c r="C34" s="88"/>
      <c r="D34" s="91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64472351.129613981</v>
      </c>
      <c r="F35" s="13" t="s">
        <v>3</v>
      </c>
      <c r="G35" s="1"/>
    </row>
    <row r="36" spans="1:7" ht="27" customHeight="1" x14ac:dyDescent="0.25">
      <c r="A36" s="1"/>
      <c r="B36" s="80" t="s">
        <v>218</v>
      </c>
      <c r="C36" s="81"/>
      <c r="D36" s="81"/>
      <c r="E36" s="81"/>
      <c r="F36" s="82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7B4YhclhsJKDBHoEenWnyiPcqT+gdwCCpAohK2bddzzk1S0eHeFO+TXqEYbM6LEJglcSiAMOM6E5TcVxX8kOBA==" saltValue="hVYsX/vekGoY+IJcpM824Q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92" t="s">
        <v>67</v>
      </c>
      <c r="C5" s="93"/>
      <c r="D5" s="93"/>
      <c r="E5" s="93"/>
      <c r="F5" s="93"/>
      <c r="G5" s="93"/>
      <c r="H5" s="94"/>
      <c r="I5" s="1"/>
    </row>
    <row r="6" spans="1:9" x14ac:dyDescent="0.25">
      <c r="A6" s="1"/>
      <c r="B6" s="95" t="s">
        <v>56</v>
      </c>
      <c r="C6" s="96"/>
      <c r="D6" s="96"/>
      <c r="E6" s="96"/>
      <c r="F6" s="97"/>
      <c r="G6" s="24">
        <v>11735780.545259675</v>
      </c>
      <c r="H6" s="14" t="s">
        <v>3</v>
      </c>
      <c r="I6" s="1"/>
    </row>
    <row r="7" spans="1:9" x14ac:dyDescent="0.25">
      <c r="A7" s="1"/>
      <c r="B7" s="80" t="s">
        <v>181</v>
      </c>
      <c r="C7" s="81"/>
      <c r="D7" s="81"/>
      <c r="E7" s="81"/>
      <c r="F7" s="82"/>
      <c r="G7" s="47">
        <v>0</v>
      </c>
      <c r="H7" s="14" t="s">
        <v>3</v>
      </c>
      <c r="I7" s="1"/>
    </row>
    <row r="8" spans="1:9" x14ac:dyDescent="0.25">
      <c r="A8" s="1"/>
      <c r="B8" s="95" t="s">
        <v>57</v>
      </c>
      <c r="C8" s="96"/>
      <c r="D8" s="96"/>
      <c r="E8" s="96"/>
      <c r="F8" s="97"/>
      <c r="G8" s="24">
        <f>SUM(G6:G7)*'Fane 14. Nøgletal'!C27</f>
        <v>234715.61090519349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2" t="s">
        <v>68</v>
      </c>
      <c r="C11" s="93"/>
      <c r="D11" s="93"/>
      <c r="E11" s="93"/>
      <c r="F11" s="93"/>
      <c r="G11" s="93"/>
      <c r="H11" s="94"/>
      <c r="I11" s="1"/>
    </row>
    <row r="12" spans="1:9" x14ac:dyDescent="0.25">
      <c r="A12" s="1"/>
      <c r="B12" s="95" t="s">
        <v>58</v>
      </c>
      <c r="C12" s="96"/>
      <c r="D12" s="96"/>
      <c r="E12" s="96"/>
      <c r="F12" s="97"/>
      <c r="G12" s="24">
        <f>(G6-G8)*(1+'Fane 14. Nøgletal'!C10)</f>
        <v>11702333.570705686</v>
      </c>
      <c r="H12" s="14" t="s">
        <v>3</v>
      </c>
      <c r="I12" s="1"/>
    </row>
    <row r="13" spans="1:9" ht="15" customHeight="1" x14ac:dyDescent="0.25">
      <c r="A13" s="1"/>
      <c r="B13" s="95" t="s">
        <v>182</v>
      </c>
      <c r="C13" s="96"/>
      <c r="D13" s="96"/>
      <c r="E13" s="96"/>
      <c r="F13" s="97"/>
      <c r="G13" s="24">
        <f>(11735780.5452597-G6)*1.0175</f>
        <v>2.4638138711452486E-8</v>
      </c>
      <c r="H13" s="14" t="s">
        <v>3</v>
      </c>
      <c r="I13" s="1"/>
    </row>
    <row r="14" spans="1:9" x14ac:dyDescent="0.25">
      <c r="A14" s="1"/>
      <c r="B14" s="80" t="s">
        <v>179</v>
      </c>
      <c r="C14" s="81"/>
      <c r="D14" s="81"/>
      <c r="E14" s="81"/>
      <c r="F14" s="82"/>
      <c r="G14" s="47">
        <v>0</v>
      </c>
      <c r="H14" s="14" t="s">
        <v>3</v>
      </c>
      <c r="I14" s="1"/>
    </row>
    <row r="15" spans="1:9" x14ac:dyDescent="0.25">
      <c r="A15" s="1"/>
      <c r="B15" s="98" t="s">
        <v>59</v>
      </c>
      <c r="C15" s="99"/>
      <c r="D15" s="99"/>
      <c r="E15" s="99"/>
      <c r="F15" s="100"/>
      <c r="G15" s="47">
        <v>0</v>
      </c>
      <c r="H15" s="14" t="s">
        <v>3</v>
      </c>
      <c r="I15" s="1"/>
    </row>
    <row r="16" spans="1:9" x14ac:dyDescent="0.25">
      <c r="A16" s="1"/>
      <c r="B16" s="95" t="s">
        <v>60</v>
      </c>
      <c r="C16" s="96"/>
      <c r="D16" s="96"/>
      <c r="E16" s="96"/>
      <c r="F16" s="97"/>
      <c r="G16" s="24">
        <f>SUM(G12:G15)*'Fane 14. Nøgletal'!C27</f>
        <v>234046.67141411421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2" t="s">
        <v>69</v>
      </c>
      <c r="C19" s="93"/>
      <c r="D19" s="93"/>
      <c r="E19" s="93"/>
      <c r="F19" s="93"/>
      <c r="G19" s="93"/>
      <c r="H19" s="94"/>
      <c r="I19" s="1"/>
    </row>
    <row r="20" spans="1:9" x14ac:dyDescent="0.25">
      <c r="A20" s="1"/>
      <c r="B20" s="95" t="s">
        <v>61</v>
      </c>
      <c r="C20" s="96"/>
      <c r="D20" s="96"/>
      <c r="E20" s="96"/>
      <c r="F20" s="97"/>
      <c r="G20" s="24">
        <f>(SUM(G12:G13,G15)-(G16))*(1+'Fane 14. Nøgletal'!C10)</f>
        <v>11668981.920029199</v>
      </c>
      <c r="H20" s="14" t="s">
        <v>3</v>
      </c>
      <c r="I20" s="1"/>
    </row>
    <row r="21" spans="1:9" x14ac:dyDescent="0.25">
      <c r="A21" s="1"/>
      <c r="B21" s="98" t="s">
        <v>62</v>
      </c>
      <c r="C21" s="99"/>
      <c r="D21" s="99"/>
      <c r="E21" s="99"/>
      <c r="F21" s="100"/>
      <c r="G21" s="47">
        <v>0</v>
      </c>
      <c r="H21" s="14" t="s">
        <v>3</v>
      </c>
      <c r="I21" s="1"/>
    </row>
    <row r="22" spans="1:9" x14ac:dyDescent="0.25">
      <c r="A22" s="1"/>
      <c r="B22" s="95" t="s">
        <v>63</v>
      </c>
      <c r="C22" s="96"/>
      <c r="D22" s="96"/>
      <c r="E22" s="96"/>
      <c r="F22" s="97"/>
      <c r="G22" s="24">
        <f>SUM(G20:G21)*'Fane 14. Nøgletal'!C27</f>
        <v>233379.63840058399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2" t="s">
        <v>70</v>
      </c>
      <c r="C25" s="93"/>
      <c r="D25" s="93"/>
      <c r="E25" s="93"/>
      <c r="F25" s="93"/>
      <c r="G25" s="93"/>
      <c r="H25" s="94"/>
      <c r="I25" s="1"/>
    </row>
    <row r="26" spans="1:9" x14ac:dyDescent="0.25">
      <c r="A26" s="1"/>
      <c r="B26" s="95" t="s">
        <v>64</v>
      </c>
      <c r="C26" s="96"/>
      <c r="D26" s="96"/>
      <c r="E26" s="96"/>
      <c r="F26" s="97"/>
      <c r="G26" s="24">
        <f>(G20+G21-G22)*(1+'Fane 14. Nøgletal'!C12)</f>
        <v>11660883.646576699</v>
      </c>
      <c r="H26" s="14" t="s">
        <v>3</v>
      </c>
      <c r="I26" s="1"/>
    </row>
    <row r="27" spans="1:9" x14ac:dyDescent="0.25">
      <c r="A27" s="1"/>
      <c r="B27" s="98" t="s">
        <v>65</v>
      </c>
      <c r="C27" s="99"/>
      <c r="D27" s="99"/>
      <c r="E27" s="99"/>
      <c r="F27" s="100"/>
      <c r="G27" s="24">
        <v>40219.003321199998</v>
      </c>
      <c r="H27" s="14" t="s">
        <v>3</v>
      </c>
      <c r="I27" s="1"/>
    </row>
    <row r="28" spans="1:9" x14ac:dyDescent="0.25">
      <c r="A28" s="1"/>
      <c r="B28" s="95" t="s">
        <v>66</v>
      </c>
      <c r="C28" s="96"/>
      <c r="D28" s="96"/>
      <c r="E28" s="96"/>
      <c r="F28" s="97"/>
      <c r="G28" s="24">
        <f>(G26+G27)*'Fane 14. Nøgletal'!C27</f>
        <v>234022.052997958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2" t="s">
        <v>73</v>
      </c>
      <c r="C31" s="93"/>
      <c r="D31" s="93"/>
      <c r="E31" s="93"/>
      <c r="F31" s="93"/>
      <c r="G31" s="93"/>
      <c r="H31" s="94"/>
      <c r="I31" s="1"/>
    </row>
    <row r="32" spans="1:9" x14ac:dyDescent="0.25">
      <c r="A32" s="1"/>
      <c r="B32" s="95" t="s">
        <v>74</v>
      </c>
      <c r="C32" s="96"/>
      <c r="D32" s="96"/>
      <c r="E32" s="96"/>
      <c r="F32" s="97"/>
      <c r="G32" s="24">
        <f>(G26+G27-G28)*(1+'Fane 14. Nøgletal'!C12)</f>
        <v>11692982.08465887</v>
      </c>
      <c r="H32" s="14" t="s">
        <v>3</v>
      </c>
      <c r="I32" s="1"/>
    </row>
    <row r="33" spans="1:9" x14ac:dyDescent="0.25">
      <c r="A33" s="1"/>
      <c r="B33" s="95" t="s">
        <v>230</v>
      </c>
      <c r="C33" s="96"/>
      <c r="D33" s="96"/>
      <c r="E33" s="96"/>
      <c r="F33" s="97"/>
      <c r="G33" s="24">
        <f>SUM('Fane 2.1. Økonomisk ramme 2021'!C10,'Fane 2.1. Økonomisk ramme 2021'!C12,'Fane 2.1. Økonomisk ramme 2021'!C14)*(1+'Fane 14. Nøgletal'!C13)</f>
        <v>40209.812612222398</v>
      </c>
      <c r="H33" s="14" t="s">
        <v>3</v>
      </c>
      <c r="I33" s="1"/>
    </row>
    <row r="34" spans="1:9" x14ac:dyDescent="0.25">
      <c r="A34" s="1"/>
      <c r="B34" s="95" t="s">
        <v>75</v>
      </c>
      <c r="C34" s="96"/>
      <c r="D34" s="96"/>
      <c r="E34" s="96"/>
      <c r="F34" s="97"/>
      <c r="G34" s="24">
        <f>(G32+G33)*'Fane 14. Nøgletal'!C27</f>
        <v>234663.83794542187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2" t="s">
        <v>100</v>
      </c>
      <c r="C37" s="93"/>
      <c r="D37" s="93"/>
      <c r="E37" s="93"/>
      <c r="F37" s="93"/>
      <c r="G37" s="93"/>
      <c r="H37" s="94"/>
      <c r="I37" s="1"/>
    </row>
    <row r="38" spans="1:9" x14ac:dyDescent="0.25">
      <c r="A38" s="1"/>
      <c r="B38" s="95" t="s">
        <v>99</v>
      </c>
      <c r="C38" s="96"/>
      <c r="D38" s="96"/>
      <c r="E38" s="96"/>
      <c r="F38" s="97"/>
      <c r="G38" s="24">
        <f>(G32+G33-G34)*(1+'Fane 14. Nøgletal'!C13)</f>
        <v>11638810.101649445</v>
      </c>
      <c r="H38" s="14" t="s">
        <v>3</v>
      </c>
      <c r="I38" s="1"/>
    </row>
    <row r="39" spans="1:9" x14ac:dyDescent="0.25">
      <c r="A39" s="1"/>
      <c r="B39" s="95" t="s">
        <v>117</v>
      </c>
      <c r="C39" s="96"/>
      <c r="D39" s="96"/>
      <c r="E39" s="96"/>
      <c r="F39" s="97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5" t="s">
        <v>76</v>
      </c>
      <c r="C40" s="96"/>
      <c r="D40" s="96"/>
      <c r="E40" s="96"/>
      <c r="F40" s="97"/>
      <c r="G40" s="24">
        <f>(G38+G39)*'Fane 14. Nøgletal'!C27</f>
        <v>232776.20203298889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2" t="s">
        <v>101</v>
      </c>
      <c r="C43" s="93"/>
      <c r="D43" s="93"/>
      <c r="E43" s="93"/>
      <c r="F43" s="93"/>
      <c r="G43" s="93"/>
      <c r="H43" s="94"/>
      <c r="I43" s="1"/>
    </row>
    <row r="44" spans="1:9" x14ac:dyDescent="0.25">
      <c r="A44" s="1"/>
      <c r="B44" s="95" t="s">
        <v>98</v>
      </c>
      <c r="C44" s="96"/>
      <c r="D44" s="96"/>
      <c r="E44" s="96"/>
      <c r="F44" s="97"/>
      <c r="G44" s="24">
        <f>(G38+G39-G40)*(1+'Fane 14. Nøgletal'!C13)</f>
        <v>11545187.513191776</v>
      </c>
      <c r="H44" s="14" t="s">
        <v>3</v>
      </c>
      <c r="I44" s="1"/>
    </row>
    <row r="45" spans="1:9" x14ac:dyDescent="0.25">
      <c r="A45" s="1"/>
      <c r="B45" s="95" t="s">
        <v>118</v>
      </c>
      <c r="C45" s="96"/>
      <c r="D45" s="96"/>
      <c r="E45" s="96"/>
      <c r="F45" s="97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5" t="s">
        <v>77</v>
      </c>
      <c r="C46" s="96"/>
      <c r="D46" s="96"/>
      <c r="E46" s="96"/>
      <c r="F46" s="97"/>
      <c r="G46" s="24">
        <f>(G44+G45)*'Fane 14. Nøgletal'!C27</f>
        <v>230903.75026383554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2" t="s">
        <v>231</v>
      </c>
      <c r="C51" s="93"/>
      <c r="D51" s="93"/>
      <c r="E51" s="93"/>
      <c r="F51" s="93"/>
      <c r="G51" s="93"/>
      <c r="H51" s="94"/>
      <c r="I51" s="1"/>
    </row>
    <row r="52" spans="1:9" x14ac:dyDescent="0.25">
      <c r="A52" s="1"/>
      <c r="B52" s="95" t="s">
        <v>232</v>
      </c>
      <c r="C52" s="96"/>
      <c r="D52" s="96"/>
      <c r="E52" s="96"/>
      <c r="F52" s="97"/>
      <c r="G52" s="24">
        <f>(G44+G45-G46)*(1+'Fane 14. Nøgletal'!C13)</f>
        <v>11452318.024835661</v>
      </c>
      <c r="H52" s="14" t="s">
        <v>3</v>
      </c>
      <c r="I52" s="1"/>
    </row>
    <row r="53" spans="1:9" x14ac:dyDescent="0.25">
      <c r="A53" s="1"/>
      <c r="B53" s="95" t="s">
        <v>233</v>
      </c>
      <c r="C53" s="96"/>
      <c r="D53" s="96"/>
      <c r="E53" s="96"/>
      <c r="F53" s="97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5" t="s">
        <v>234</v>
      </c>
      <c r="C54" s="96"/>
      <c r="D54" s="96"/>
      <c r="E54" s="96"/>
      <c r="F54" s="97"/>
      <c r="G54" s="24">
        <f>(G52+G53)*'Fane 14. Nøgletal'!C27</f>
        <v>229046.36049671323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Z0U43vHZm0Coi/KxSjzs3r8uj9f9nVcRfBh9a+nsOHWmpxoohPVrSjyNtMcnoaPJbOauKvBoJq3gCwll7+HUNA==" saltValue="SlXcrSU55UZjiwe5V7PVtw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01" t="s">
        <v>164</v>
      </c>
      <c r="C1" s="101"/>
      <c r="D1" s="101"/>
      <c r="E1" s="101"/>
      <c r="F1" s="101"/>
      <c r="G1" s="101"/>
      <c r="H1" s="101"/>
      <c r="I1" s="1"/>
    </row>
    <row r="2" spans="1:9" ht="15" customHeight="1" x14ac:dyDescent="0.25">
      <c r="A2" s="1"/>
      <c r="B2" s="101"/>
      <c r="C2" s="101"/>
      <c r="D2" s="101"/>
      <c r="E2" s="101"/>
      <c r="F2" s="101"/>
      <c r="G2" s="101"/>
      <c r="H2" s="101"/>
      <c r="I2" s="1"/>
    </row>
    <row r="3" spans="1:9" ht="15" customHeight="1" x14ac:dyDescent="0.25">
      <c r="A3" s="1"/>
      <c r="B3" s="102"/>
      <c r="C3" s="102"/>
      <c r="D3" s="102"/>
      <c r="E3" s="102"/>
      <c r="F3" s="102"/>
      <c r="G3" s="102"/>
      <c r="H3" s="102"/>
      <c r="I3" s="1"/>
    </row>
    <row r="4" spans="1:9" x14ac:dyDescent="0.25">
      <c r="A4" s="1"/>
      <c r="B4" s="92" t="s">
        <v>71</v>
      </c>
      <c r="C4" s="93"/>
      <c r="D4" s="93"/>
      <c r="E4" s="93"/>
      <c r="F4" s="93"/>
      <c r="G4" s="93"/>
      <c r="H4" s="94"/>
      <c r="I4" s="1"/>
    </row>
    <row r="5" spans="1:9" x14ac:dyDescent="0.25">
      <c r="A5" s="1"/>
      <c r="B5" s="95" t="s">
        <v>78</v>
      </c>
      <c r="C5" s="96"/>
      <c r="D5" s="96"/>
      <c r="E5" s="96"/>
      <c r="F5" s="97"/>
      <c r="G5" s="24">
        <v>30795122.812565792</v>
      </c>
      <c r="H5" s="14" t="s">
        <v>3</v>
      </c>
      <c r="I5" s="1"/>
    </row>
    <row r="6" spans="1:9" x14ac:dyDescent="0.25">
      <c r="A6" s="1"/>
      <c r="B6" s="95" t="s">
        <v>72</v>
      </c>
      <c r="C6" s="96"/>
      <c r="D6" s="96"/>
      <c r="E6" s="96"/>
      <c r="F6" s="97"/>
      <c r="G6" s="24">
        <f>G5*'Fane 14. Nøgletal'!C18</f>
        <v>280235.61759434873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2" t="s">
        <v>79</v>
      </c>
      <c r="C9" s="93"/>
      <c r="D9" s="93"/>
      <c r="E9" s="93"/>
      <c r="F9" s="93"/>
      <c r="G9" s="93"/>
      <c r="H9" s="94"/>
      <c r="I9" s="1"/>
    </row>
    <row r="10" spans="1:9" x14ac:dyDescent="0.25">
      <c r="A10" s="1"/>
      <c r="B10" s="95" t="s">
        <v>80</v>
      </c>
      <c r="C10" s="96"/>
      <c r="D10" s="96"/>
      <c r="E10" s="96"/>
      <c r="F10" s="97"/>
      <c r="G10" s="24">
        <f>(G5-G6)*(1+'Fane 14. Nøgletal'!C10)</f>
        <v>31048897.720883444</v>
      </c>
      <c r="H10" s="14" t="s">
        <v>3</v>
      </c>
      <c r="I10" s="1"/>
    </row>
    <row r="11" spans="1:9" x14ac:dyDescent="0.25">
      <c r="A11" s="1"/>
      <c r="B11" s="95" t="s">
        <v>183</v>
      </c>
      <c r="C11" s="96"/>
      <c r="D11" s="96"/>
      <c r="E11" s="96"/>
      <c r="F11" s="97"/>
      <c r="G11" s="24">
        <f>(30974432.5986628-G5)*1.0175</f>
        <v>182447.70735370641</v>
      </c>
      <c r="H11" s="14" t="s">
        <v>3</v>
      </c>
      <c r="I11" s="1"/>
    </row>
    <row r="12" spans="1:9" x14ac:dyDescent="0.25">
      <c r="A12" s="1"/>
      <c r="B12" s="98" t="s">
        <v>81</v>
      </c>
      <c r="C12" s="99"/>
      <c r="D12" s="99"/>
      <c r="E12" s="99"/>
      <c r="F12" s="100"/>
      <c r="G12" s="47">
        <v>0</v>
      </c>
      <c r="H12" s="14" t="s">
        <v>3</v>
      </c>
      <c r="I12" s="1"/>
    </row>
    <row r="13" spans="1:9" x14ac:dyDescent="0.25">
      <c r="A13" s="1"/>
      <c r="B13" s="95" t="s">
        <v>82</v>
      </c>
      <c r="C13" s="96"/>
      <c r="D13" s="96"/>
      <c r="E13" s="96"/>
      <c r="F13" s="97"/>
      <c r="G13" s="24">
        <f>SUM(G10:G12)*'Fane 14. Nøgletal'!C19</f>
        <v>552794.81407979759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2" t="s">
        <v>83</v>
      </c>
      <c r="C16" s="93"/>
      <c r="D16" s="93"/>
      <c r="E16" s="93"/>
      <c r="F16" s="93"/>
      <c r="G16" s="93"/>
      <c r="H16" s="94"/>
      <c r="I16" s="1"/>
    </row>
    <row r="17" spans="1:9" x14ac:dyDescent="0.25">
      <c r="A17" s="1"/>
      <c r="B17" s="95" t="s">
        <v>84</v>
      </c>
      <c r="C17" s="96"/>
      <c r="D17" s="96"/>
      <c r="E17" s="96"/>
      <c r="F17" s="97"/>
      <c r="G17" s="24">
        <f>(SUM(G10:G12)-G13)*(1+'Fane 14. Nøgletal'!C10)</f>
        <v>31215425.249905109</v>
      </c>
      <c r="H17" s="14" t="s">
        <v>3</v>
      </c>
      <c r="I17" s="1"/>
    </row>
    <row r="18" spans="1:9" x14ac:dyDescent="0.25">
      <c r="A18" s="1"/>
      <c r="B18" s="98" t="s">
        <v>85</v>
      </c>
      <c r="C18" s="99"/>
      <c r="D18" s="99"/>
      <c r="E18" s="99"/>
      <c r="F18" s="100"/>
      <c r="G18" s="24">
        <v>207805.70784315997</v>
      </c>
      <c r="H18" s="14" t="s">
        <v>3</v>
      </c>
      <c r="I18" s="1"/>
    </row>
    <row r="19" spans="1:9" x14ac:dyDescent="0.25">
      <c r="A19" s="1"/>
      <c r="B19" s="95" t="s">
        <v>86</v>
      </c>
      <c r="C19" s="96"/>
      <c r="D19" s="96"/>
      <c r="E19" s="96"/>
      <c r="F19" s="97"/>
      <c r="G19" s="24">
        <f>G17*'Fane 14. Nøgletal'!C19+G18*'Fane 14. Nøgletal'!C20</f>
        <v>554320.93658155599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2" t="s">
        <v>87</v>
      </c>
      <c r="C22" s="93"/>
      <c r="D22" s="93"/>
      <c r="E22" s="93"/>
      <c r="F22" s="93"/>
      <c r="G22" s="93"/>
      <c r="H22" s="94"/>
      <c r="I22" s="1"/>
    </row>
    <row r="23" spans="1:9" x14ac:dyDescent="0.25">
      <c r="A23" s="1"/>
      <c r="B23" s="95" t="s">
        <v>88</v>
      </c>
      <c r="C23" s="96"/>
      <c r="D23" s="96"/>
      <c r="E23" s="96"/>
      <c r="F23" s="97"/>
      <c r="G23" s="24">
        <f>(G17+G18-G19)*(1+'Fane 14. Nøgletal'!C12)</f>
        <v>31477027.548583698</v>
      </c>
      <c r="H23" s="14" t="s">
        <v>3</v>
      </c>
      <c r="I23" s="1"/>
    </row>
    <row r="24" spans="1:9" x14ac:dyDescent="0.25">
      <c r="A24" s="1"/>
      <c r="B24" s="98" t="s">
        <v>89</v>
      </c>
      <c r="C24" s="99"/>
      <c r="D24" s="99"/>
      <c r="E24" s="99"/>
      <c r="F24" s="100"/>
      <c r="G24" s="24">
        <v>908121.3023536629</v>
      </c>
      <c r="H24" s="14" t="s">
        <v>3</v>
      </c>
      <c r="I24" s="1"/>
    </row>
    <row r="25" spans="1:9" x14ac:dyDescent="0.25">
      <c r="A25" s="1"/>
      <c r="B25" s="95" t="s">
        <v>90</v>
      </c>
      <c r="C25" s="96"/>
      <c r="D25" s="96"/>
      <c r="E25" s="96"/>
      <c r="F25" s="97"/>
      <c r="G25" s="24">
        <f>(G23+G24)*'Fane 14. Nøgletal'!C21</f>
        <v>919738.22736662102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2" t="s">
        <v>91</v>
      </c>
      <c r="C28" s="93"/>
      <c r="D28" s="93"/>
      <c r="E28" s="93"/>
      <c r="F28" s="93"/>
      <c r="G28" s="93"/>
      <c r="H28" s="94"/>
      <c r="I28" s="1"/>
    </row>
    <row r="29" spans="1:9" x14ac:dyDescent="0.25">
      <c r="A29" s="1"/>
      <c r="B29" s="95" t="s">
        <v>92</v>
      </c>
      <c r="C29" s="96"/>
      <c r="D29" s="96"/>
      <c r="E29" s="96"/>
      <c r="F29" s="97"/>
      <c r="G29" s="24">
        <f>(G23+G24-G25)*(1+'Fane 14. Nøgletal'!C12)</f>
        <v>32085279.212855082</v>
      </c>
      <c r="H29" s="14" t="s">
        <v>3</v>
      </c>
      <c r="I29" s="1"/>
    </row>
    <row r="30" spans="1:9" x14ac:dyDescent="0.25">
      <c r="A30" s="1"/>
      <c r="B30" s="95" t="s">
        <v>235</v>
      </c>
      <c r="C30" s="96"/>
      <c r="D30" s="96"/>
      <c r="E30" s="96"/>
      <c r="F30" s="97"/>
      <c r="G30" s="24">
        <f>SUM('Fane 2.1. Økonomisk ramme 2021'!C11,'Fane 2.1. Økonomisk ramme 2021'!C13,'Fane 2.1. Økonomisk ramme 2021'!C15)*(1+'Fane 14. Nøgletal'!C13)</f>
        <v>4674499.5695672706</v>
      </c>
      <c r="H30" s="14" t="s">
        <v>3</v>
      </c>
      <c r="I30" s="1"/>
    </row>
    <row r="31" spans="1:9" x14ac:dyDescent="0.25">
      <c r="A31" s="1"/>
      <c r="B31" s="95" t="s">
        <v>93</v>
      </c>
      <c r="C31" s="96"/>
      <c r="D31" s="96"/>
      <c r="E31" s="96"/>
      <c r="F31" s="97"/>
      <c r="G31" s="24">
        <f>G29*'Fane 14. Nøgletal'!C21+G30*'Fane 14. Nøgletal'!C22</f>
        <v>1039770.6678081844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2" t="s">
        <v>102</v>
      </c>
      <c r="C34" s="93"/>
      <c r="D34" s="93"/>
      <c r="E34" s="93"/>
      <c r="F34" s="93"/>
      <c r="G34" s="93"/>
      <c r="H34" s="94"/>
      <c r="I34" s="1"/>
    </row>
    <row r="35" spans="1:9" x14ac:dyDescent="0.25">
      <c r="A35" s="1"/>
      <c r="B35" s="95" t="s">
        <v>97</v>
      </c>
      <c r="C35" s="96"/>
      <c r="D35" s="96"/>
      <c r="E35" s="96"/>
      <c r="F35" s="97"/>
      <c r="G35" s="24">
        <f>(G29+G30-G31)*(1+'Fane 14. Nøgletal'!C13)</f>
        <v>36155792.21361246</v>
      </c>
      <c r="H35" s="14" t="s">
        <v>3</v>
      </c>
      <c r="I35" s="1"/>
    </row>
    <row r="36" spans="1:9" x14ac:dyDescent="0.25">
      <c r="A36" s="1"/>
      <c r="B36" s="95" t="s">
        <v>122</v>
      </c>
      <c r="C36" s="96"/>
      <c r="D36" s="96"/>
      <c r="E36" s="96"/>
      <c r="F36" s="97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5" t="s">
        <v>94</v>
      </c>
      <c r="C37" s="96"/>
      <c r="D37" s="96"/>
      <c r="E37" s="96"/>
      <c r="F37" s="97"/>
      <c r="G37" s="24">
        <f>(G35+G36)*'Fane 14. Nøgletal'!C22</f>
        <v>994284.28587434266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2" t="s">
        <v>103</v>
      </c>
      <c r="C40" s="93"/>
      <c r="D40" s="93"/>
      <c r="E40" s="93"/>
      <c r="F40" s="93"/>
      <c r="G40" s="93"/>
      <c r="H40" s="94"/>
      <c r="I40" s="1"/>
    </row>
    <row r="41" spans="1:9" x14ac:dyDescent="0.25">
      <c r="A41" s="1"/>
      <c r="B41" s="95" t="s">
        <v>96</v>
      </c>
      <c r="C41" s="96"/>
      <c r="D41" s="96"/>
      <c r="E41" s="96"/>
      <c r="F41" s="97"/>
      <c r="G41" s="24">
        <f>(G35+G36-G37)*(1+'Fane 14. Nøgletal'!C13)</f>
        <v>35590478.32445652</v>
      </c>
      <c r="H41" s="14" t="s">
        <v>3</v>
      </c>
      <c r="I41" s="1"/>
    </row>
    <row r="42" spans="1:9" x14ac:dyDescent="0.25">
      <c r="A42" s="1"/>
      <c r="B42" s="95" t="s">
        <v>123</v>
      </c>
      <c r="C42" s="96"/>
      <c r="D42" s="96"/>
      <c r="E42" s="96"/>
      <c r="F42" s="97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5" t="s">
        <v>95</v>
      </c>
      <c r="C43" s="96"/>
      <c r="D43" s="96"/>
      <c r="E43" s="96"/>
      <c r="F43" s="97"/>
      <c r="G43" s="24">
        <f>(G41+G42)*'Fane 14. Nøgletal'!C22</f>
        <v>978738.15392255434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2" t="s">
        <v>240</v>
      </c>
      <c r="C46" s="93"/>
      <c r="D46" s="93"/>
      <c r="E46" s="93"/>
      <c r="F46" s="93"/>
      <c r="G46" s="93"/>
      <c r="H46" s="94"/>
      <c r="I46" s="1"/>
    </row>
    <row r="47" spans="1:9" x14ac:dyDescent="0.25">
      <c r="A47" s="1"/>
      <c r="B47" s="95" t="s">
        <v>241</v>
      </c>
      <c r="C47" s="96"/>
      <c r="D47" s="96"/>
      <c r="E47" s="96"/>
      <c r="F47" s="97"/>
      <c r="G47" s="24">
        <f>(G41+G42-G43)*(1+'Fane 14. Nøgletal'!C13)</f>
        <v>35034003.400614478</v>
      </c>
      <c r="H47" s="14" t="s">
        <v>3</v>
      </c>
      <c r="I47" s="1"/>
    </row>
    <row r="48" spans="1:9" x14ac:dyDescent="0.25">
      <c r="A48" s="1"/>
      <c r="B48" s="95" t="s">
        <v>242</v>
      </c>
      <c r="C48" s="96"/>
      <c r="D48" s="96"/>
      <c r="E48" s="96"/>
      <c r="F48" s="97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5" t="s">
        <v>243</v>
      </c>
      <c r="C49" s="96"/>
      <c r="D49" s="96"/>
      <c r="E49" s="96"/>
      <c r="F49" s="97"/>
      <c r="G49" s="24">
        <f>(G47+G48)*'Fane 14. Nøgletal'!C22</f>
        <v>963435.09351689811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OBNzr3/kAjpu0JVrXo1swA7kGbdjdDOj4ScXUuHcgSw1BhyJf5XNP9ptqEg01CFujkoF3hzp9j2fWDxy4K2rVw==" saltValue="cLlQDsaRreFrTqV3E1b/2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116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10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5" t="s">
        <v>104</v>
      </c>
      <c r="C9" s="96"/>
      <c r="D9" s="96"/>
      <c r="E9" s="96"/>
      <c r="F9" s="97"/>
      <c r="G9" s="23">
        <v>1.37549716820041E-3</v>
      </c>
      <c r="H9" s="14"/>
      <c r="I9" s="1"/>
    </row>
    <row r="10" spans="1:9" x14ac:dyDescent="0.25">
      <c r="A10" s="1"/>
      <c r="B10" s="95" t="s">
        <v>105</v>
      </c>
      <c r="C10" s="96"/>
      <c r="D10" s="96"/>
      <c r="E10" s="96"/>
      <c r="F10" s="97"/>
      <c r="G10" s="23">
        <v>1.3521932947510792E-3</v>
      </c>
      <c r="H10" s="14"/>
      <c r="I10" s="1"/>
    </row>
    <row r="11" spans="1:9" x14ac:dyDescent="0.25">
      <c r="A11" s="1"/>
      <c r="B11" s="95" t="s">
        <v>106</v>
      </c>
      <c r="C11" s="96"/>
      <c r="D11" s="96"/>
      <c r="E11" s="96"/>
      <c r="F11" s="97"/>
      <c r="G11" s="41">
        <v>1.5974089158731755E-3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80" t="s">
        <v>258</v>
      </c>
      <c r="C13" s="81"/>
      <c r="D13" s="81"/>
      <c r="E13" s="81"/>
      <c r="F13" s="81"/>
      <c r="G13" s="81"/>
      <c r="H13" s="82"/>
      <c r="I13" s="1"/>
    </row>
    <row r="14" spans="1:9" ht="14.25" customHeight="1" x14ac:dyDescent="0.25">
      <c r="A14" s="18"/>
      <c r="B14" s="103"/>
      <c r="C14" s="103"/>
      <c r="D14" s="103"/>
      <c r="E14" s="103"/>
      <c r="F14" s="103"/>
      <c r="G14" s="103"/>
      <c r="H14" s="103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6Hr1Z4zVuwYZZ0+Ksz9W5J7+DqJZe0Cyh2icE7e1m919OaVxQIl08FsBbcYY33WV+wxsz3JmN1bDel6rlWbbbQ==" saltValue="c5hUizh9jBO/rlsDm2veNQ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2020-10-23T08:32:07Z</dcterms:modified>
</cp:coreProperties>
</file>