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Vestforsyning Vand AS (V207)\ØR2025\"/>
    </mc:Choice>
  </mc:AlternateContent>
  <xr:revisionPtr revIDLastSave="0" documentId="13_ncr:1_{8622CE0E-C045-41A0-8E39-19BCFF314CE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11" i="30" l="1"/>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5" i="30" l="1"/>
  <c r="C17" i="30" s="1"/>
  <c r="C18" i="2" l="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<sst xmlns="http://schemas.openxmlformats.org/spreadsheetml/2006/main" count="446" uniqueCount="202">
  <si>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</si>
  <si>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</si>
  <si>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</si>
  <si>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</si>
  <si>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</si>
  <si>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</si>
  <si>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</si>
  <si>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</si>
  <si>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</si>
  <si>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</si>
  <si>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</si>
  <si>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</si>
  <si>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</si>
  <si>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</si>
  <si>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</si>
  <si>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</si>
  <si>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</si>
  <si>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</si>
  <si>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</si>
  <si>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</si>
  <si>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</si>
  <si>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</si>
  <si>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</si>
  <si>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</si>
  <si>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</si>
  <si>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</si>
  <si>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</si>
  <si>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</si>
  <si>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</si>
  <si>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</si>
  <si>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</si>
  <si>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</si>
  <si>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</si>
  <si>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</si>
  <si>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</si>
  <si>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</si>
  <si>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</si>
  <si>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</si>
  <si>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</si>
  <si>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</si>
  <si>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</si>
  <si>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</si>
  <si>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</si>
  <si>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</si>
  <si>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</si>
  <si>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</si>
  <si>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</si>
  <si>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</si>
  <si>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</si>
  <si>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</si>
  <si>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</si>
  <si>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</si>
  <si>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</si>
  <si>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</si>
  <si>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</si>
  <si>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</si>
  <si>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</si>
  <si>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</si>
  <si>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</si>
  <si>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</si>
  <si>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</si>
  <si>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</si>
  <si>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</si>
  <si>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</si>
  <si>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</si>
  <si>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</si>
  <si>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</si>
  <si>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</si>
  <si>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</si>
  <si>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</si>
  <si>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</si>
  <si>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</si>
  <si>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</si>
  <si>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</si>
  <si>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</si>
  <si>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</si>
  <si>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</si>
  <si>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</si>
  <si>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</si>
  <si>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</si>
  <si>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</si>
  <si>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</si>
  <si>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</si>
  <si>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</si>
  <si>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</si>
  <si>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</si>
  <si>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</si>
  <si>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</si>
  <si>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</si>
  <si>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</si>
  <si>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</si>
  <si>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</si>
  <si>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</si>
  <si>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</si>
  <si>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</si>
  <si>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</si>
  <si>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</si>
  <si>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</si>
  <si>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</si>
  <si>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</si>
  <si>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</si>
  <si>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</si>
  <si>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</si>
  <si>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</si>
  <si>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</si>
  <si>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</si>
  <si>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</si>
  <si>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</si>
  <si>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</si>
  <si>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</si>
  <si>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</si>
  <si>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</si>
  <si>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</si>
  <si>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</si>
  <si>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</si>
  <si>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</si>
  <si>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</si>
  <si>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</si>
  <si>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</si>
  <si>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</si>
  <si>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</si>
  <si>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</si>
  <si>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</si>
  <si>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</si>
  <si>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</si>
  <si>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</si>
  <si>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</si>
  <si>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</si>
  <si>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</si>
  <si>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</si>
  <si>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</si>
  <si>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</si>
  <si>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</si>
  <si>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</si>
  <si>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</si>
  <si>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</si>
  <si>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</si>
  <si>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</si>
  <si>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</si>
  <si>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</si>
  <si>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</si>
  <si>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</si>
  <si>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</si>
  <si>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</si>
  <si>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</si>
  <si>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</si>
  <si>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</si>
  <si>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</si>
  <si>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</si>
  <si>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</si>
  <si>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</si>
  <si>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</si>
  <si>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</si>
  <si>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</si>
  <si>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</si>
  <si>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</si>
  <si>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</si>
  <si>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</si>
  <si>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</si>
  <si>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</si>
  <si>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</si>
  <si>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</si>
  <si>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</si>
  <si>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</si>
  <si>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</si>
  <si>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</si>
  <si>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</si>
  <si>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</si>
  <si>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</si>
  <si>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</si>
  <si>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</si>
  <si>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</si>
  <si>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</si>
  <si>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</si>
  <si>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</si>
  <si>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</si>
  <si>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</si>
  <si>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</si>
  <si>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</si>
  <si>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</si>
  <si>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</si>
  <si>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</si>
  <si>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</si>
  <si>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</si>
  <si>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</si>
  <si>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</si>
  <si>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</si>
  <si>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</si>
  <si>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</si>
  <si>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</si>
  <si>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</si>
  <si>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</si>
  <si>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</si>
  <si>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</si>
  <si>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</si>
  <si>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</si>
  <si>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</si>
  <si>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</si>
  <si>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</si>
  <si>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</si>
  <si>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Erstatninger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</si>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</sst>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1"/>
    </row>
    <row r="7" spans="1:7" ht="15" customHeight="1" x14ac:dyDescent="0.25">
      <c r="A7" s="1"/>
      <c r="B7" s="3"/>
      <c r="C7" s="79"/>
      <c r="D7" s="79"/>
      <c r="E7" s="79"/>
      <c r="F7" s="79"/>
      <c r="G7" s="1"/>
    </row>
    <row r="8" spans="1:7" ht="15.75" x14ac:dyDescent="0.25">
      <c r="A8" s="1"/>
      <c r="B8" s="4"/>
      <c r="C8" s="84" t="s">
        <v>196</v>
      </c>
      <c r="D8" s="84"/>
      <c r="E8" s="84"/>
      <c r="F8" s="84"/>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3" t="s">
        <v>5</v>
      </c>
      <c r="D11" s="83"/>
      <c r="E11" s="83"/>
      <c r="F11" s="83"/>
      <c r="G11" s="1"/>
    </row>
    <row r="12" spans="1:7" x14ac:dyDescent="0.25">
      <c r="A12" s="1"/>
      <c r="B12" s="1"/>
      <c r="C12" s="1"/>
      <c r="D12" s="1"/>
      <c r="E12" s="1"/>
      <c r="F12" s="1"/>
      <c r="G12" s="1"/>
    </row>
    <row r="13" spans="1:7" x14ac:dyDescent="0.25">
      <c r="A13" s="1"/>
      <c r="B13" s="6" t="s">
        <v>6</v>
      </c>
      <c r="C13" s="76" t="s">
        <v>124</v>
      </c>
      <c r="D13" s="77"/>
      <c r="E13" s="77"/>
      <c r="F13" s="78"/>
      <c r="G13" s="1"/>
    </row>
    <row r="14" spans="1:7" x14ac:dyDescent="0.25">
      <c r="A14" s="1"/>
      <c r="B14" s="6" t="s">
        <v>14</v>
      </c>
      <c r="C14" s="76" t="s">
        <v>159</v>
      </c>
      <c r="D14" s="77"/>
      <c r="E14" s="77"/>
      <c r="F14" s="78"/>
      <c r="G14" s="1"/>
    </row>
    <row r="15" spans="1:7" x14ac:dyDescent="0.25">
      <c r="A15" s="1"/>
      <c r="B15" s="6" t="s">
        <v>29</v>
      </c>
      <c r="C15" s="76" t="s">
        <v>107</v>
      </c>
      <c r="D15" s="77"/>
      <c r="E15" s="77"/>
      <c r="F15" s="78"/>
      <c r="G15" s="1"/>
    </row>
    <row r="16" spans="1:7" x14ac:dyDescent="0.25">
      <c r="A16" s="1"/>
      <c r="B16" s="6" t="s">
        <v>30</v>
      </c>
      <c r="C16" s="76" t="s">
        <v>125</v>
      </c>
      <c r="D16" s="77"/>
      <c r="E16" s="77"/>
      <c r="F16" s="78"/>
      <c r="G16" s="1"/>
    </row>
    <row r="17" spans="1:7" x14ac:dyDescent="0.25">
      <c r="A17" s="1"/>
      <c r="B17" s="6" t="s">
        <v>57</v>
      </c>
      <c r="C17" s="76" t="s">
        <v>126</v>
      </c>
      <c r="D17" s="77"/>
      <c r="E17" s="77"/>
      <c r="F17" s="78"/>
      <c r="G17" s="1"/>
    </row>
    <row r="18" spans="1:7" x14ac:dyDescent="0.25">
      <c r="A18" s="1"/>
      <c r="B18" s="6" t="s">
        <v>49</v>
      </c>
      <c r="C18" s="85" t="s">
        <v>42</v>
      </c>
      <c r="D18" s="86"/>
      <c r="E18" s="86"/>
      <c r="F18" s="87"/>
      <c r="G18" s="1"/>
    </row>
    <row r="19" spans="1:7" x14ac:dyDescent="0.25">
      <c r="A19" s="1"/>
      <c r="B19" s="6" t="s">
        <v>50</v>
      </c>
      <c r="C19" s="85" t="s">
        <v>43</v>
      </c>
      <c r="D19" s="86"/>
      <c r="E19" s="86"/>
      <c r="F19" s="87"/>
      <c r="G19" s="1"/>
    </row>
    <row r="20" spans="1:7" x14ac:dyDescent="0.25">
      <c r="A20" s="1"/>
      <c r="B20" s="6" t="s">
        <v>7</v>
      </c>
      <c r="C20" s="85" t="s">
        <v>9</v>
      </c>
      <c r="D20" s="86"/>
      <c r="E20" s="86"/>
      <c r="F20" s="87"/>
      <c r="G20" s="1"/>
    </row>
    <row r="21" spans="1:7" x14ac:dyDescent="0.25">
      <c r="A21" s="1"/>
      <c r="B21" s="6" t="s">
        <v>51</v>
      </c>
      <c r="C21" s="91" t="s">
        <v>11</v>
      </c>
      <c r="D21" s="92"/>
      <c r="E21" s="92"/>
      <c r="F21" s="93"/>
      <c r="G21" s="1"/>
    </row>
    <row r="22" spans="1:7" x14ac:dyDescent="0.25">
      <c r="A22" s="1"/>
      <c r="B22" s="6" t="s">
        <v>37</v>
      </c>
      <c r="C22" s="80" t="s">
        <v>127</v>
      </c>
      <c r="D22" s="81"/>
      <c r="E22" s="81"/>
      <c r="F22" s="82"/>
      <c r="G22" s="1"/>
    </row>
    <row r="23" spans="1:7" x14ac:dyDescent="0.25">
      <c r="A23" s="1"/>
      <c r="B23" s="6" t="s">
        <v>8</v>
      </c>
      <c r="C23" s="80" t="s">
        <v>89</v>
      </c>
      <c r="D23" s="81"/>
      <c r="E23" s="81"/>
      <c r="F23" s="82"/>
      <c r="G23" s="1"/>
    </row>
    <row r="24" spans="1:7" x14ac:dyDescent="0.25">
      <c r="A24" s="1"/>
      <c r="B24" s="6" t="s">
        <v>85</v>
      </c>
      <c r="C24" s="80" t="s">
        <v>78</v>
      </c>
      <c r="D24" s="81"/>
      <c r="E24" s="81"/>
      <c r="F24" s="82"/>
      <c r="G24" s="1"/>
    </row>
    <row r="25" spans="1:7" x14ac:dyDescent="0.25">
      <c r="A25" s="1"/>
      <c r="B25" s="6" t="s">
        <v>86</v>
      </c>
      <c r="C25" s="80" t="s">
        <v>38</v>
      </c>
      <c r="D25" s="81"/>
      <c r="E25" s="81"/>
      <c r="F25" s="82"/>
      <c r="G25" s="1"/>
    </row>
    <row r="26" spans="1:7" x14ac:dyDescent="0.25">
      <c r="A26" s="1"/>
      <c r="B26" s="6" t="s">
        <v>87</v>
      </c>
      <c r="C26" s="80" t="s">
        <v>39</v>
      </c>
      <c r="D26" s="81"/>
      <c r="E26" s="81"/>
      <c r="F26" s="82"/>
      <c r="G26" s="1"/>
    </row>
    <row r="27" spans="1:7" x14ac:dyDescent="0.25">
      <c r="A27" s="1"/>
      <c r="B27" s="6" t="s">
        <v>52</v>
      </c>
      <c r="C27" s="80" t="s">
        <v>58</v>
      </c>
      <c r="D27" s="81"/>
      <c r="E27" s="81"/>
      <c r="F27" s="82"/>
      <c r="G27" s="1"/>
    </row>
    <row r="28" spans="1:7" x14ac:dyDescent="0.25">
      <c r="A28" s="1"/>
      <c r="B28" s="6" t="s">
        <v>46</v>
      </c>
      <c r="C28" s="80" t="s">
        <v>31</v>
      </c>
      <c r="D28" s="81"/>
      <c r="E28" s="81"/>
      <c r="F28" s="82"/>
      <c r="G28" s="1"/>
    </row>
    <row r="29" spans="1:7" x14ac:dyDescent="0.25">
      <c r="A29" s="1"/>
      <c r="B29" s="6" t="s">
        <v>88</v>
      </c>
      <c r="C29" s="88" t="s">
        <v>47</v>
      </c>
      <c r="D29" s="89"/>
      <c r="E29" s="89"/>
      <c r="F29" s="9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nhd/C0hZXUkMMgWHZ4/sp7zr8sJfweR3XMrewYURw/gGL1QV/x/N+RtZArlU4vG4+eEv++aPJdiyRrtcKYDC/w==" saltValue="QGKBqgGPrh378tcEO5k+NQ=="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197</v>
      </c>
      <c r="C10" s="65">
        <v>20552925.48</v>
      </c>
      <c r="D10" s="14" t="s">
        <v>3</v>
      </c>
      <c r="E10" s="1"/>
    </row>
    <row r="11" spans="1:5" x14ac:dyDescent="0.25">
      <c r="A11" s="1"/>
      <c r="B11" s="64" t="s">
        <v>198</v>
      </c>
      <c r="C11" s="65">
        <v>111592</v>
      </c>
      <c r="D11" s="14" t="s">
        <v>3</v>
      </c>
      <c r="E11" s="1"/>
    </row>
    <row r="12" spans="1:5" x14ac:dyDescent="0.25">
      <c r="A12" s="1"/>
      <c r="B12" s="64" t="s">
        <v>199</v>
      </c>
      <c r="C12" s="65">
        <v>60288.66</v>
      </c>
      <c r="D12" s="14" t="s">
        <v>3</v>
      </c>
      <c r="E12" s="1"/>
    </row>
    <row r="13" spans="1:5" x14ac:dyDescent="0.25">
      <c r="A13" s="1"/>
      <c r="B13" s="64" t="s">
        <v>200</v>
      </c>
      <c r="C13" s="65">
        <v>2592</v>
      </c>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20727398.140000001</v>
      </c>
      <c r="D19" s="13" t="s">
        <v>3</v>
      </c>
      <c r="E19" s="1"/>
    </row>
    <row r="20" spans="1:5" x14ac:dyDescent="0.25">
      <c r="A20" s="1"/>
      <c r="B20" s="52" t="s">
        <v>144</v>
      </c>
      <c r="C20" s="12">
        <f>C19*(1+'Fane 13. Nøgletal'!C11)^2</f>
        <v>23566962.350094017</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jO0dseoiMjK2u3PUAkPD08ec4DS3nU8xUiwMzwt0hh2LHgQggxe3iVCpVMV16qS/js+QJ9pv/XsUjSqwBMwNtA==" saltValue="xeAsy0Ngjx2tJ8PYHi+QB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1"/>
      <c r="D7" s="1"/>
      <c r="E7" s="1"/>
    </row>
    <row r="8" spans="1:5" x14ac:dyDescent="0.25">
      <c r="A8" s="1"/>
      <c r="B8" s="98" t="s">
        <v>175</v>
      </c>
      <c r="C8" s="99"/>
      <c r="D8" s="100"/>
      <c r="E8" s="1"/>
    </row>
    <row r="9" spans="1:5" x14ac:dyDescent="0.25">
      <c r="A9" s="1"/>
      <c r="B9" s="56" t="s">
        <v>176</v>
      </c>
      <c r="C9" s="9">
        <v>8259736.7076548934</v>
      </c>
      <c r="D9" s="39" t="s">
        <v>3</v>
      </c>
      <c r="E9" s="1"/>
    </row>
    <row r="10" spans="1:5" x14ac:dyDescent="0.25">
      <c r="A10" s="1"/>
      <c r="B10" s="56" t="s">
        <v>174</v>
      </c>
      <c r="C10" s="9">
        <v>52795.458773419261</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0</v>
      </c>
      <c r="D15" s="14" t="s">
        <v>3</v>
      </c>
      <c r="E15" s="1"/>
    </row>
    <row r="16" spans="1:5" x14ac:dyDescent="0.25">
      <c r="A16" s="1"/>
      <c r="B16" s="56" t="s">
        <v>185</v>
      </c>
      <c r="C16" s="9">
        <f>IF(SUM(C9)&gt;0,SUM(C9),0)</f>
        <v>8259736.7076548934</v>
      </c>
      <c r="D16" s="14" t="s">
        <v>3</v>
      </c>
      <c r="E16" s="1"/>
    </row>
    <row r="17" spans="1:5" ht="26.25" x14ac:dyDescent="0.25">
      <c r="A17" s="1"/>
      <c r="B17" s="71" t="s">
        <v>179</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70761806.578768089</v>
      </c>
      <c r="D21" s="14" t="s">
        <v>3</v>
      </c>
      <c r="E21" s="1"/>
    </row>
    <row r="22" spans="1:5" x14ac:dyDescent="0.25">
      <c r="A22" s="1"/>
      <c r="B22" s="56" t="s">
        <v>182</v>
      </c>
      <c r="C22" s="9">
        <v>62109607.419999994</v>
      </c>
      <c r="D22" s="14" t="s">
        <v>3</v>
      </c>
      <c r="E22" s="1"/>
    </row>
    <row r="23" spans="1:5" x14ac:dyDescent="0.25">
      <c r="A23" s="1"/>
      <c r="B23" s="56" t="s">
        <v>28</v>
      </c>
      <c r="C23" s="9">
        <v>0</v>
      </c>
      <c r="D23" s="14" t="s">
        <v>3</v>
      </c>
      <c r="E23" s="1"/>
    </row>
    <row r="24" spans="1:5" x14ac:dyDescent="0.25">
      <c r="A24" s="1"/>
      <c r="B24" s="73" t="s">
        <v>183</v>
      </c>
      <c r="C24" s="46">
        <f>C21-C22-C23</f>
        <v>8652199.1587680951</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2Xep4mbpj+8K9sJKnt67U0GWnpszfAJAtOsgFjujCFVdGPH52Y71Q7cc/+K7B++ArRvzHSwfskW+vae81Gr8pQ==" saltValue="egAXhEHuTmKXdPs80E8BT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EQ549RuGusEK2pVzHLmGWSwwM8VFDQFigbdFHnAseWRCk526hZrirAXLa0zFBRIRLTXUUhSQuwlzWbALcZaJQ==" saltValue="XSeIBnB5a6/CqK/h6mpjL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K1nupiFqjJUJIOXNgxc+QNUTvMF+admoq4jGVn/+RxGXZIGNOuD9cgEzTxmrpryU7CCQR+NS2Gqna4UArNYj/g==" saltValue="4bfNKcH2rl4/tfhI0mqhq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c r="C11" s="21"/>
      <c r="D11" s="14" t="s">
        <v>3</v>
      </c>
      <c r="E11" s="9"/>
      <c r="F11" s="14" t="s">
        <v>3</v>
      </c>
      <c r="G11" s="1"/>
    </row>
    <row r="12" spans="1:7" x14ac:dyDescent="0.25">
      <c r="A12" s="1"/>
      <c r="B12" s="26"/>
      <c r="C12" s="21"/>
      <c r="D12" s="14" t="s">
        <v>3</v>
      </c>
      <c r="E12" s="9"/>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0</v>
      </c>
      <c r="D17" s="13" t="s">
        <v>3</v>
      </c>
      <c r="E17" s="12">
        <f>SUM(E10:E16)</f>
        <v>0</v>
      </c>
      <c r="F17" s="13" t="s">
        <v>3</v>
      </c>
      <c r="G17" s="1"/>
    </row>
    <row r="18" spans="1:7" x14ac:dyDescent="0.25">
      <c r="A18" s="1"/>
      <c r="B18" s="52" t="s">
        <v>147</v>
      </c>
      <c r="C18" s="12">
        <f>C17*(1+'Fane 13. Nøgletal'!C11)</f>
        <v>0</v>
      </c>
      <c r="D18" s="13" t="s">
        <v>3</v>
      </c>
      <c r="E18" s="12">
        <f>E17*(1+'Fane 13. Nøgletal'!C11)</f>
        <v>0</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iSoIp1o1L2/3QJcFiQqwqAgYZ5Rmu4/TLCgpH//yAVJ25d5pPS/7bLUFKcSR4OAEcXnGgaJgF6v7JzWzdwqUDQ==" saltValue="5Nr2UuuemiR2rpQJawunB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1" t="s">
        <v>15</v>
      </c>
      <c r="C9" s="73" t="s">
        <v>10</v>
      </c>
      <c r="D9" s="74"/>
      <c r="E9" s="73" t="s">
        <v>26</v>
      </c>
      <c r="F9" s="27"/>
      <c r="G9" s="1"/>
    </row>
    <row r="10" spans="1:7" x14ac:dyDescent="0.25">
      <c r="A10" s="1"/>
      <c r="B10" s="23" t="s">
        <v>201</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DUGPE6ULsui7lsfaoGnHqRZRE6pPIYXCDtXy8WwJo9uX/B1WYoarB1wkCw4foIu/CSSofAgOtc0giHnP+HDpQ==" saltValue="/+XycfTjUnJPu2dcejghNQ=="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G4o3A+Q6ryTwjsyMEMd5+wnU0gDGn5mP6P+KcebUVMQ9ALjyhsxi4swma7JkxZvRXLxCuLo1JoHqPx9pQOWZFw==" saltValue="uvQmTTpRNIObUYtUmEHEvg=="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Hi1xkNHXXMF95qXx9oxDxgwAz8R5ySSUgsxf0PEu5dSiay5OEfZOJNQhnXcnJVcOXeZhkfa4xZQVqsP/pwmqQ==" saltValue="BmdzzKm0c1dvilhY1r6Zkw=="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Sg0Jy/XKd4ofe0ZH1kQeZQkowdCtK7hrNiQQjGMxEi6FKXTpg3IA/G/98lS4c75DEx3v3A9r0jZXUNXVct6VFw==" saltValue="83ss/RXz63MzURY37H+ypQ=="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47023413.111796342</v>
      </c>
      <c r="D9" s="8" t="s">
        <v>3</v>
      </c>
      <c r="E9" s="1"/>
    </row>
    <row r="10" spans="1:5" ht="17.100000000000001" customHeight="1" x14ac:dyDescent="0.25">
      <c r="A10" s="1"/>
      <c r="B10" s="24" t="s">
        <v>32</v>
      </c>
      <c r="C10" s="7">
        <f>'Fane 10.1. Varige tillæg'!C18</f>
        <v>0</v>
      </c>
      <c r="D10" s="8" t="s">
        <v>3</v>
      </c>
      <c r="E10" s="1"/>
    </row>
    <row r="11" spans="1:5" ht="17.100000000000001" customHeight="1" x14ac:dyDescent="0.25">
      <c r="A11" s="1"/>
      <c r="B11" s="24" t="s">
        <v>33</v>
      </c>
      <c r="C11" s="9">
        <f>'Fane 10.1. Varige tillæg'!E18</f>
        <v>0</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3117652.2893120972</v>
      </c>
      <c r="D16" s="8" t="s">
        <v>3</v>
      </c>
      <c r="E16" s="1"/>
    </row>
    <row r="17" spans="1:5" ht="17.100000000000001" customHeight="1" x14ac:dyDescent="0.25">
      <c r="A17" s="1"/>
      <c r="B17" s="24" t="s">
        <v>9</v>
      </c>
      <c r="C17" s="9">
        <f>-SUM(C9:C16)*'Fane 5. Individuelt eff. krav'!C9</f>
        <v>-435069.4503347844</v>
      </c>
      <c r="D17" s="8" t="s">
        <v>3</v>
      </c>
      <c r="E17" s="1"/>
    </row>
    <row r="18" spans="1:5" ht="17.100000000000001" customHeight="1" x14ac:dyDescent="0.25">
      <c r="A18" s="1"/>
      <c r="B18" s="24" t="s">
        <v>21</v>
      </c>
      <c r="C18" s="9">
        <f>-'Fane 4.1. Gen. krav - drift'!C17</f>
        <v>-384875.51909393334</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49321120.431679718</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23566962.350094017</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0</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72888082.781773731</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7vpauzv1sdheqHOfjoAt9BEMapGhbsVk4nc1nrk44q4XJaKeQHxoZw/JButGtPjra/Iee8R2uKE4xwQUtCWPg==" saltValue="HfCOChq4q98R8BRh+uPKo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49321120.431679718</v>
      </c>
      <c r="D9" s="8" t="s">
        <v>3</v>
      </c>
      <c r="E9" s="1"/>
    </row>
    <row r="10" spans="1:5" ht="15" customHeight="1" x14ac:dyDescent="0.25">
      <c r="A10" s="1"/>
      <c r="B10" s="47" t="s">
        <v>17</v>
      </c>
      <c r="C10" s="41">
        <f>C9*'Fane 13. Nøgletal'!C11</f>
        <v>3269990.2846203651</v>
      </c>
      <c r="D10" s="8" t="s">
        <v>3</v>
      </c>
      <c r="E10" s="1"/>
    </row>
    <row r="11" spans="1:5" ht="15" customHeight="1" x14ac:dyDescent="0.25">
      <c r="A11" s="1"/>
      <c r="B11" s="47" t="s">
        <v>9</v>
      </c>
      <c r="C11" s="9">
        <f>-SUM(C9:C10)*'Fane 5. Individuelt eff. krav'!C9</f>
        <v>-456328.27002775762</v>
      </c>
      <c r="D11" s="8" t="s">
        <v>3</v>
      </c>
      <c r="E11" s="1"/>
    </row>
    <row r="12" spans="1:5" ht="15" customHeight="1" x14ac:dyDescent="0.25">
      <c r="A12" s="1"/>
      <c r="B12" s="47" t="s">
        <v>21</v>
      </c>
      <c r="C12" s="9">
        <f>-'Fane 4.1. Gen. krav - drift'!C22</f>
        <v>-402184.9106896639</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51732597.535582662</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25129451.953905251</v>
      </c>
      <c r="D16" s="11" t="s">
        <v>3</v>
      </c>
      <c r="E16" s="1"/>
    </row>
    <row r="17" spans="1:5" x14ac:dyDescent="0.25">
      <c r="A17" s="1"/>
      <c r="B17" s="25" t="s">
        <v>65</v>
      </c>
      <c r="C17" s="53"/>
      <c r="D17" s="19"/>
      <c r="E17" s="1"/>
    </row>
    <row r="18" spans="1:5" ht="15" customHeight="1" x14ac:dyDescent="0.25">
      <c r="A18" s="1"/>
      <c r="B18" s="45" t="s">
        <v>66</v>
      </c>
      <c r="C18" s="10">
        <f>'Fane 7. Kontrol af ØR2023'!C30</f>
        <v>0</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76862049.489487916</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ZDSt5q5dEPhNi66SsxdMVBMXOBol+5jq3ttKrzLjRI90/4WucJ05VQE3Vi1Bokf2nWX04sRre95/dlMcaVwTw==" saltValue="VFM/+kjM/OkkjBZHls9Bl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51732597.535582662</v>
      </c>
      <c r="D9" s="8" t="s">
        <v>3</v>
      </c>
      <c r="E9" s="1"/>
    </row>
    <row r="10" spans="1:5" ht="15" customHeight="1" x14ac:dyDescent="0.25">
      <c r="A10" s="1"/>
      <c r="B10" s="47" t="s">
        <v>17</v>
      </c>
      <c r="C10" s="41">
        <f>C9*'Fane 13. Nøgletal'!C11</f>
        <v>3429871.2166091301</v>
      </c>
      <c r="D10" s="8" t="s">
        <v>3</v>
      </c>
      <c r="E10" s="1"/>
    </row>
    <row r="11" spans="1:5" ht="15" customHeight="1" x14ac:dyDescent="0.25">
      <c r="A11" s="1"/>
      <c r="B11" s="47" t="s">
        <v>9</v>
      </c>
      <c r="C11" s="9">
        <f>-SUM(C9:C10)*'Fane 5. Individuelt eff. krav'!C9</f>
        <v>-478639.70913141506</v>
      </c>
      <c r="D11" s="8" t="s">
        <v>3</v>
      </c>
      <c r="E11" s="1"/>
    </row>
    <row r="12" spans="1:5" ht="15" customHeight="1" x14ac:dyDescent="0.25">
      <c r="A12" s="1"/>
      <c r="B12" s="47" t="s">
        <v>21</v>
      </c>
      <c r="C12" s="9">
        <f>-'Fane 4.1. Gen. krav - drift'!C27</f>
        <v>-420272.77486302087</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54263556.268197358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26795534.618449166</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81059090.886646524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YXo5chZyTpbAQ9//EmQpv+jhcL4C43FHeEjb+kWlmHcNnSFL/+j/7VmuEBfGVJ8Ji6LsUdJCSDV8HJb92ewYw==" saltValue="fwBdRlGiX+BNefxcth3n4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54263556.268197358</v>
      </c>
      <c r="D9" s="8" t="s">
        <v>3</v>
      </c>
      <c r="E9" s="1"/>
    </row>
    <row r="10" spans="1:5" ht="15" customHeight="1" x14ac:dyDescent="0.25">
      <c r="A10" s="1"/>
      <c r="B10" s="47" t="s">
        <v>17</v>
      </c>
      <c r="C10" s="9">
        <f>C9*'Fane 13. Nøgletal'!C11</f>
        <v>3597673.7805814845</v>
      </c>
      <c r="D10" s="8" t="s">
        <v>3</v>
      </c>
      <c r="E10" s="1"/>
    </row>
    <row r="11" spans="1:5" ht="15" customHeight="1" x14ac:dyDescent="0.25">
      <c r="A11" s="1"/>
      <c r="B11" s="47" t="s">
        <v>9</v>
      </c>
      <c r="C11" s="9">
        <f>-SUM(C9:C10)*'Fane 5. Individuelt eff. krav'!C9</f>
        <v>-502056.61470568232</v>
      </c>
      <c r="D11" s="8" t="s">
        <v>3</v>
      </c>
      <c r="E11" s="1"/>
    </row>
    <row r="12" spans="1:5" ht="15" customHeight="1" x14ac:dyDescent="0.25">
      <c r="A12" s="1"/>
      <c r="B12" s="47" t="s">
        <v>21</v>
      </c>
      <c r="C12" s="9">
        <f>-'Fane 4.1. Gen. krav - drift'!C32</f>
        <v>-439174.12263971037</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56919999.311433449</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28572078.563652351</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85492077.875085801</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JPCI7ve/iq+IEcPtdVBLGE8oiNj5ZUmTcYW+xv8nDrJonjVDWXOBlzndBEkLT6KtOsh43GqYBmF6Hyj0STd4g==" saltValue="5w2J4yVnSyEEtbLXPWopW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45680414.048025064</v>
      </c>
      <c r="D9" s="8" t="s">
        <v>3</v>
      </c>
      <c r="E9" s="1"/>
    </row>
    <row r="10" spans="1:5" x14ac:dyDescent="0.25">
      <c r="A10" s="1"/>
      <c r="B10" s="24" t="s">
        <v>32</v>
      </c>
      <c r="C10" s="7">
        <v>771686.87679999997</v>
      </c>
      <c r="D10" s="8" t="s">
        <v>3</v>
      </c>
      <c r="E10" s="1"/>
    </row>
    <row r="11" spans="1:5" ht="15" customHeight="1" x14ac:dyDescent="0.25">
      <c r="A11" s="1"/>
      <c r="B11" s="24" t="s">
        <v>33</v>
      </c>
      <c r="C11" s="9">
        <v>201911.81359999999</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1704889.5142940122</v>
      </c>
      <c r="D16" s="8" t="s">
        <v>3</v>
      </c>
      <c r="E16" s="1"/>
    </row>
    <row r="17" spans="1:5" x14ac:dyDescent="0.25">
      <c r="A17" s="1"/>
      <c r="B17" s="24" t="s">
        <v>9</v>
      </c>
      <c r="C17" s="9">
        <v>-967178.04505438148</v>
      </c>
      <c r="D17" s="8" t="s">
        <v>3</v>
      </c>
      <c r="E17" s="1"/>
    </row>
    <row r="18" spans="1:5" x14ac:dyDescent="0.25">
      <c r="A18" s="1"/>
      <c r="B18" s="24" t="s">
        <v>21</v>
      </c>
      <c r="C18" s="9">
        <v>-368311.09586835012</v>
      </c>
      <c r="D18" s="8" t="s">
        <v>3</v>
      </c>
      <c r="E18" s="1"/>
    </row>
    <row r="19" spans="1:5" x14ac:dyDescent="0.25">
      <c r="A19" s="1"/>
      <c r="B19" s="24" t="s">
        <v>22</v>
      </c>
      <c r="C19" s="9">
        <v>0</v>
      </c>
      <c r="D19" s="8" t="s">
        <v>3</v>
      </c>
      <c r="E19" s="1"/>
    </row>
    <row r="20" spans="1:5" x14ac:dyDescent="0.25">
      <c r="A20" s="1"/>
      <c r="B20" s="73" t="s">
        <v>19</v>
      </c>
      <c r="C20" s="10">
        <v>47023413.111796342</v>
      </c>
      <c r="D20" s="11" t="s">
        <v>3</v>
      </c>
      <c r="E20" s="1"/>
    </row>
    <row r="21" spans="1:5" x14ac:dyDescent="0.25">
      <c r="A21" s="1"/>
      <c r="B21" s="52" t="s">
        <v>11</v>
      </c>
      <c r="C21" s="53"/>
      <c r="D21" s="19"/>
      <c r="E21" s="1"/>
    </row>
    <row r="22" spans="1:5" x14ac:dyDescent="0.25">
      <c r="A22" s="1"/>
      <c r="B22" s="54" t="s">
        <v>11</v>
      </c>
      <c r="C22" s="10">
        <v>24872764.549651198</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50">
        <v>0</v>
      </c>
      <c r="D28" s="11" t="s">
        <v>3</v>
      </c>
      <c r="E28" s="1"/>
    </row>
    <row r="29" spans="1:5" x14ac:dyDescent="0.25">
      <c r="A29" s="1"/>
      <c r="B29" s="25" t="s">
        <v>65</v>
      </c>
      <c r="C29" s="53"/>
      <c r="D29" s="19"/>
      <c r="E29" s="1"/>
    </row>
    <row r="30" spans="1:5" x14ac:dyDescent="0.25">
      <c r="A30" s="1"/>
      <c r="B30" s="58" t="s">
        <v>66</v>
      </c>
      <c r="C30" s="10">
        <v>0</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71896177.66144754</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lE02xobSxBSCid10WDfLtn2weukOwHDhxAiJ6oo+rZnHeTiPxlFJ7EoXYD5BuIRLQh25IaME5igOJcvfKStR7g==" saltValue="mL/DPoDPLjo0uKAVxGcOyg=="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32"/>
      <c r="D7" s="1"/>
      <c r="E7" s="1"/>
    </row>
    <row r="8" spans="1:5" x14ac:dyDescent="0.25">
      <c r="A8" s="1"/>
      <c r="B8" s="98" t="s">
        <v>75</v>
      </c>
      <c r="C8" s="99"/>
      <c r="D8" s="100"/>
      <c r="E8" s="1"/>
    </row>
    <row r="9" spans="1:5" x14ac:dyDescent="0.25">
      <c r="A9" s="1"/>
      <c r="B9" s="56" t="s">
        <v>167</v>
      </c>
      <c r="C9" s="22">
        <v>17581515.616972066</v>
      </c>
      <c r="D9" s="14" t="s">
        <v>3</v>
      </c>
      <c r="E9" s="1"/>
    </row>
    <row r="10" spans="1:5" x14ac:dyDescent="0.25">
      <c r="A10" s="1"/>
      <c r="B10" s="56" t="s">
        <v>110</v>
      </c>
      <c r="C10" s="22">
        <f>('Fane 3. Omkostninger i ØR2024'!C10+'Fane 3. Omkostninger i ØR2024'!C12+'Fane 3. Omkostninger i ØR2024'!C14)*(1+'Fane 13. Nøgletal'!C10)</f>
        <v>834039.17644543992</v>
      </c>
      <c r="D10" s="14" t="s">
        <v>3</v>
      </c>
      <c r="E10" s="1"/>
    </row>
    <row r="11" spans="1:5" x14ac:dyDescent="0.25">
      <c r="A11" s="1"/>
      <c r="B11" s="56" t="s">
        <v>81</v>
      </c>
      <c r="C11" s="22">
        <f>C9*'Fane 13. Nøgletal'!C23+C10*'Fane 13. Nøgletal'!C23</f>
        <v>368311.09586835012</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19243775.954696666</v>
      </c>
      <c r="D15" s="14" t="s">
        <v>3</v>
      </c>
      <c r="E15" s="1"/>
    </row>
    <row r="16" spans="1:5" x14ac:dyDescent="0.25">
      <c r="A16" s="1"/>
      <c r="B16" s="56" t="s">
        <v>154</v>
      </c>
      <c r="C16" s="61">
        <f>('Fane 2.1. Økonomisk ramme 2025'!C10+'Fane 2.1. Økonomisk ramme 2025'!C12+'Fane 2.1. Økonomisk ramme 2025'!C14)*(1+'Fane 13. Nøgletal'!C11)</f>
        <v>0</v>
      </c>
      <c r="D16" s="14" t="s">
        <v>3</v>
      </c>
      <c r="E16" s="1"/>
    </row>
    <row r="17" spans="1:5" x14ac:dyDescent="0.25">
      <c r="A17" s="1"/>
      <c r="B17" s="56" t="s">
        <v>155</v>
      </c>
      <c r="C17" s="22">
        <f>(C15+C16)*'Fane 13. Nøgletal'!C23</f>
        <v>384875.51909393334</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20109245.534483194</v>
      </c>
      <c r="D21" s="14" t="s">
        <v>3</v>
      </c>
      <c r="E21" s="1"/>
    </row>
    <row r="22" spans="1:5" x14ac:dyDescent="0.25">
      <c r="A22" s="1"/>
      <c r="B22" s="56" t="s">
        <v>171</v>
      </c>
      <c r="C22" s="48">
        <f>(C21)*'Fane 13. Nøgletal'!C23</f>
        <v>402184.9106896639</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21013638.743151043</v>
      </c>
      <c r="D26" s="14" t="s">
        <v>3</v>
      </c>
      <c r="E26" s="1"/>
    </row>
    <row r="27" spans="1:5" x14ac:dyDescent="0.25">
      <c r="A27" s="1"/>
      <c r="B27" s="56" t="s">
        <v>118</v>
      </c>
      <c r="C27" s="48">
        <f>(C26)*'Fane 13. Nøgletal'!C23</f>
        <v>420272.77486302087</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21958706.131985519</v>
      </c>
      <c r="D31" s="14" t="s">
        <v>3</v>
      </c>
      <c r="E31" s="1"/>
    </row>
    <row r="32" spans="1:5" x14ac:dyDescent="0.25">
      <c r="A32" s="1"/>
      <c r="B32" s="56" t="s">
        <v>138</v>
      </c>
      <c r="C32" s="48">
        <f>(C31)*'Fane 13. Nøgletal'!C23</f>
        <v>439174.12263971037</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fIqbPXacrI7v99Out4oUSoxrZpglAQeXLl+PEEEn6gQ50KQGcUEOhMAdnopHNBS/e3+feHmkD8PKMiLtWOtRyA==" saltValue="cT+vReijNooxdE/Q42WCA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35131778.535822533</v>
      </c>
      <c r="D9" s="14" t="s">
        <v>3</v>
      </c>
      <c r="E9" s="1"/>
    </row>
    <row r="10" spans="1:5" x14ac:dyDescent="0.25">
      <c r="A10" s="1"/>
      <c r="B10" s="56" t="s">
        <v>113</v>
      </c>
      <c r="C10" s="48">
        <f>('Fane 3. Omkostninger i ØR2024'!C11+'Fane 3. Omkostninger i ØR2024'!C13+'Fane 3. Omkostninger i ØR2024'!C15)*(1+'Fane 13. Nøgletal'!C10)</f>
        <v>218226.28813887999</v>
      </c>
      <c r="D10" s="14" t="s">
        <v>3</v>
      </c>
      <c r="E10" s="1"/>
    </row>
    <row r="11" spans="1:5" x14ac:dyDescent="0.25">
      <c r="A11" s="1"/>
      <c r="B11" s="56" t="s">
        <v>114</v>
      </c>
      <c r="C11" s="75">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37693710.143790059</v>
      </c>
      <c r="D15" s="14" t="s">
        <v>3</v>
      </c>
      <c r="E15" s="1"/>
    </row>
    <row r="16" spans="1:5" x14ac:dyDescent="0.25">
      <c r="A16" s="1"/>
      <c r="B16" s="56" t="s">
        <v>157</v>
      </c>
      <c r="C16" s="75">
        <f>('Fane 2.1. Økonomisk ramme 2025'!C11+'Fane 2.1. Økonomisk ramme 2025'!C13+'Fane 2.1. Økonomisk ramme 2025'!C15)*(1+'Fane 13. Nøgletal'!C11)</f>
        <v>0</v>
      </c>
      <c r="D16" s="14" t="s">
        <v>3</v>
      </c>
      <c r="E16" s="1"/>
    </row>
    <row r="17" spans="1:5" x14ac:dyDescent="0.25">
      <c r="A17" s="1"/>
      <c r="B17" s="56" t="s">
        <v>158</v>
      </c>
      <c r="C17" s="75">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40192803.126323342</v>
      </c>
      <c r="D21" s="14" t="s">
        <v>3</v>
      </c>
      <c r="E21" s="1"/>
    </row>
    <row r="22" spans="1:5" x14ac:dyDescent="0.25">
      <c r="A22" s="1"/>
      <c r="B22" s="56" t="s">
        <v>165</v>
      </c>
      <c r="C22" s="75">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42857585.973598585</v>
      </c>
      <c r="D26" s="14" t="s">
        <v>3</v>
      </c>
      <c r="E26" s="1"/>
    </row>
    <row r="27" spans="1:5" x14ac:dyDescent="0.25">
      <c r="A27" s="1"/>
      <c r="B27" s="56" t="s">
        <v>121</v>
      </c>
      <c r="C27" s="75">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45699043.923648171</v>
      </c>
      <c r="D31" s="14" t="s">
        <v>3</v>
      </c>
      <c r="E31" s="1"/>
    </row>
    <row r="32" spans="1:5" x14ac:dyDescent="0.25">
      <c r="A32" s="1"/>
      <c r="B32" s="56" t="s">
        <v>141</v>
      </c>
      <c r="C32" s="75">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tDBug5kwjsA9TagnwzpuL6BTZjOAgCkMWo8/jYt6IjwZEzFzhnOJlegvxHG1+vrvSYaHzWwuqZnxYA7Ay6qg==" saltValue="aTulf4xNL8ZkPUmuqOjTUg=="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8.676908774362951E-3</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OVYIMr0KufsSlsSA0FZMgdTMGW2UnrLPBlU4YYyfAQJyGJg+YCa9CVQY99a7+/peVYt8XMn/W25FKHO9pj9SCw==" saltValue="zr9Akrh9Wckl6zJEOIafSA=="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2024-09-05T07:26:38Z</dcterms:modified>
</cp:coreProperties>
</file>