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Roskilde AS (V15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4" i="19"/>
  <c r="E11" i="11" l="1"/>
  <c r="E12" i="11"/>
  <c r="E13" i="11"/>
  <c r="E14" i="11"/>
  <c r="E15" i="11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6" i="11"/>
  <c r="G16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6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<sst xmlns="http://schemas.openxmlformats.org/spreadsheetml/2006/main" count="636" uniqueCount="263">
  <si>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</si>
  <si>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</si>
  <si>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</si>
  <si>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</si>
  <si>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</si>
  <si>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</si>
  <si>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</si>
  <si>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</si>
  <si>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</si>
  <si>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</si>
  <si>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</si>
  <si>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</si>
  <si>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</si>
  <si>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</si>
  <si>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</si>
  <si>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</si>
  <si>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</si>
  <si>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</si>
  <si>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</si>
  <si>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</si>
  <si>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</si>
  <si>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</si>
  <si>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</si>
  <si>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</si>
  <si>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</si>
  <si>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</si>
  <si>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</si>
  <si>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</si>
  <si>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</si>
  <si>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</si>
  <si>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</si>
  <si>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</si>
  <si>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</si>
  <si>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</si>
  <si>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</si>
  <si>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</si>
  <si>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</si>
  <si>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</si>
  <si>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</si>
  <si>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</si>
  <si>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</si>
  <si>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</si>
  <si>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</si>
  <si>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</si>
  <si>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</si>
  <si>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</si>
  <si>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</si>
  <si>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</si>
  <si>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</si>
  <si>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</si>
  <si>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</si>
  <si>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</si>
  <si>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</si>
  <si>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</si>
  <si>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</si>
  <si>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</si>
  <si>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</si>
  <si>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</si>
  <si>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</si>
  <si>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</si>
  <si>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</si>
  <si>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</si>
  <si>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</si>
  <si>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</si>
  <si>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</si>
  <si>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</si>
  <si>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</si>
  <si>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</si>
  <si>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</si>
  <si>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</si>
  <si>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</si>
  <si>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</si>
  <si>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</si>
  <si>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</si>
  <si>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</si>
  <si>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</si>
  <si>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</si>
  <si>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</si>
  <si>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</si>
  <si>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</si>
  <si>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</si>
  <si>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</si>
  <si>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</si>
  <si>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</si>
  <si>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</si>
  <si>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</si>
  <si>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</si>
  <si>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</si>
  <si>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</si>
  <si>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</si>
  <si>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</si>
  <si>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</si>
  <si>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</si>
  <si>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</si>
  <si>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</si>
  <si>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</si>
  <si>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</si>
  <si>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</si>
  <si>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</si>
  <si>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</si>
  <si>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</si>
  <si>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</si>
  <si>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</si>
  <si>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</si>
  <si>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</si>
  <si>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</si>
  <si>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</si>
  <si>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</si>
  <si>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</si>
  <si>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</si>
  <si>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</si>
  <si>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</si>
  <si>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</si>
  <si>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</si>
  <si>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</si>
  <si>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</si>
  <si>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</si>
  <si>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</si>
  <si>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</si>
  <si>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</si>
  <si>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</si>
  <si>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</si>
  <si>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</si>
  <si>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</si>
  <si>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</si>
  <si>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</si>
  <si>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</si>
  <si>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</si>
  <si>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</si>
  <si>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</si>
  <si>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</si>
  <si>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</si>
  <si>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</si>
  <si>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</si>
  <si>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</si>
  <si>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</si>
  <si>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</si>
  <si>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</si>
  <si>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</si>
  <si>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</si>
  <si>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</si>
  <si>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</si>
  <si>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</si>
  <si>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</si>
  <si>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</si>
  <si>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</si>
  <si>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</si>
  <si>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</si>
  <si>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</si>
  <si>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</si>
  <si>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</si>
  <si>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</si>
  <si>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</si>
  <si>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</si>
  <si>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</si>
  <si>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</si>
  <si>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</si>
  <si>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</si>
  <si>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</si>
  <si>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</si>
  <si>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</si>
  <si>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</si>
  <si>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</si>
  <si>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</si>
  <si>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</si>
  <si>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</si>
  <si>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</si>
  <si>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</si>
  <si>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</si>
  <si>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</si>
  <si>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</si>
  <si>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</si>
  <si>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</si>
  <si>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</si>
  <si>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</si>
  <si>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</si>
  <si>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</si>
  <si>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</si>
  <si>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</si>
  <si>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</si>
  <si>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</si>
  <si>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</si>
  <si>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</si>
  <si>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</si>
  <si>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</si>
  <si>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</si>
  <si>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</si>
  <si>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</si>
  <si>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</si>
  <si>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</si>
  <si>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</si>
  <si>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</si>
  <si>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</si>
  <si>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</si>
  <si>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</si>
  <si>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</si>
  <si>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</si>
  <si>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</si>
  <si>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</si>
  <si>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</si>
  <si>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</si>
  <si>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</si>
  <si>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</si>
  <si>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</si>
  <si>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</si>
  <si>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</si>
  <si>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</si>
  <si>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</si>
  <si>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</si>
  <si>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</si>
  <si>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</si>
  <si>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</si>
  <si>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</si>
  <si>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</si>
  <si>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</si>
  <si>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</si>
  <si>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</si>
  <si>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</si>
  <si>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</si>
  <si>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</si>
  <si>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</si>
  <si>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</si>
  <si>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</si>
  <si>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</si>
  <si>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</si>
  <si>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</si>
  <si>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</si>
  <si>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Ventiler på Ø110 mm &lt; Ledningsnet ≤ Ø 250 mm</t>
  </si>
  <si>
    <t>75</t>
  </si>
  <si>
    <t>Råvandsstation komplet montering og boringshus/tørbrønd</t>
  </si>
  <si>
    <t>30</t>
  </si>
  <si>
    <t>Boring (inkl. etablering, forerør, filter og prøvepumpning)</t>
  </si>
  <si>
    <t>Ø110 mm &lt; Ledningsnet ≤ Ø 250 mm</t>
  </si>
  <si>
    <t>Elanlæg</t>
  </si>
  <si>
    <t>20</t>
  </si>
  <si>
    <t>SRO anlæg</t>
  </si>
  <si>
    <t>10</t>
  </si>
  <si>
    <t>Byggemodninger og udvidelser</t>
  </si>
  <si>
    <t>Ingen tilknyttet virksomhed</t>
  </si>
  <si>
    <t>Afgift for ledningsført vand</t>
  </si>
  <si>
    <t>Afgift til Forsyningssekretariatet</t>
  </si>
  <si>
    <t>Ejendomsskat</t>
  </si>
  <si>
    <t>Erstatninger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</si>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</sst>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vkWUtCCXfgLGFT2KAlYr4w17xttP0E9HWnf4OwpktDypHlOpTA/7MVe80DIK04sT2qaOKPJwZf0sBJlixLUhg==" saltValue="fE0I+rIYGutrXVx+Jh0AD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239</v>
      </c>
      <c r="C10" s="9">
        <v>18775687</v>
      </c>
      <c r="D10" s="14" t="s">
        <v>3</v>
      </c>
      <c r="E10" s="1"/>
      <c r="F10" s="1"/>
    </row>
    <row r="11" spans="1:6" x14ac:dyDescent="0.25">
      <c r="A11" s="1"/>
      <c r="B11" s="63" t="s">
        <v>240</v>
      </c>
      <c r="C11" s="9">
        <v>102778</v>
      </c>
      <c r="D11" s="14" t="s">
        <v>3</v>
      </c>
      <c r="E11" s="1"/>
      <c r="F11" s="1"/>
    </row>
    <row r="12" spans="1:6" x14ac:dyDescent="0.25">
      <c r="A12" s="1"/>
      <c r="B12" s="63" t="s">
        <v>241</v>
      </c>
      <c r="C12" s="9">
        <v>83795</v>
      </c>
      <c r="D12" s="14" t="s">
        <v>3</v>
      </c>
      <c r="E12" s="1"/>
      <c r="F12" s="1"/>
    </row>
    <row r="13" spans="1:6" x14ac:dyDescent="0.25">
      <c r="A13" s="1"/>
      <c r="B13" s="63" t="s">
        <v>242</v>
      </c>
      <c r="C13" s="9">
        <v>21072</v>
      </c>
      <c r="D13" s="14" t="s">
        <v>3</v>
      </c>
      <c r="E13" s="1"/>
      <c r="F13" s="1"/>
    </row>
    <row r="14" spans="1:6" x14ac:dyDescent="0.25">
      <c r="A14" s="1"/>
      <c r="B14" s="55" t="s">
        <v>205</v>
      </c>
      <c r="C14" s="12">
        <f>SUM(C10:C13)</f>
        <v>18983332</v>
      </c>
      <c r="D14" s="13" t="s">
        <v>3</v>
      </c>
      <c r="E14" s="1"/>
      <c r="F14" s="1"/>
    </row>
    <row r="15" spans="1:6" x14ac:dyDescent="0.25">
      <c r="A15" s="1"/>
      <c r="B15" s="55" t="s">
        <v>206</v>
      </c>
      <c r="C15" s="12">
        <f>C14*(1+'Fane 12. Nøgletal'!C14)^2</f>
        <v>19108828.719685484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4PoSoe/ZWHz9SD0ZBChTgU/ReCUPQQZY1S5DgWynRlZrV7GGYD2o+iHTONfL55GrYAUSE2cCzHEaecR3bncbrA==" saltValue="v5lz1ES/hWoNVfqdMeTJB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245</v>
      </c>
      <c r="C8" s="116"/>
      <c r="D8" s="116"/>
      <c r="E8" s="116"/>
      <c r="F8" s="117"/>
      <c r="G8" s="1"/>
    </row>
    <row r="9" spans="1:7" x14ac:dyDescent="0.25">
      <c r="A9" s="1"/>
      <c r="B9" s="112" t="s">
        <v>246</v>
      </c>
      <c r="C9" s="113"/>
      <c r="D9" s="114"/>
      <c r="E9" s="9">
        <v>28449658.487639099</v>
      </c>
      <c r="F9" s="14" t="s">
        <v>3</v>
      </c>
      <c r="G9" s="1"/>
    </row>
    <row r="10" spans="1:7" x14ac:dyDescent="0.25">
      <c r="A10" s="1"/>
      <c r="B10" s="112" t="s">
        <v>247</v>
      </c>
      <c r="C10" s="113"/>
      <c r="D10" s="114"/>
      <c r="E10" s="9">
        <v>22606324.232777148</v>
      </c>
      <c r="F10" s="14" t="s">
        <v>3</v>
      </c>
      <c r="G10" s="1"/>
    </row>
    <row r="11" spans="1:7" x14ac:dyDescent="0.25">
      <c r="A11" s="1"/>
      <c r="B11" s="112" t="s">
        <v>248</v>
      </c>
      <c r="C11" s="113"/>
      <c r="D11" s="114"/>
      <c r="E11" s="9">
        <v>35971531.794313997</v>
      </c>
      <c r="F11" s="14" t="s">
        <v>3</v>
      </c>
      <c r="G11" s="1"/>
    </row>
    <row r="12" spans="1:7" x14ac:dyDescent="0.25">
      <c r="A12" s="1"/>
      <c r="B12" s="112" t="s">
        <v>249</v>
      </c>
      <c r="C12" s="113"/>
      <c r="D12" s="114"/>
      <c r="E12" s="9">
        <f>IF(OR(AND(E10&gt;0,E11&lt;0),AND(E11&lt;0,E34&gt;0)),E17+E18,E11)</f>
        <v>35971531.794313997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250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251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252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253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254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90735367.869504616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51637235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261</v>
      </c>
      <c r="C26" s="65"/>
      <c r="D26" s="66"/>
      <c r="E26" s="45">
        <f>E23-(E24-E25)</f>
        <v>39098132.869504616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255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256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257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262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0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260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z1tIQ2Ky0O3ie36zKuADDyRShVW9zlHpdAIvLhtAk3wzq7fvfYRIP3zgUhQC3a6crFTp5Xzi6ip+x7Sj8j2fA==" saltValue="f91maTE1WXCCnNy75/IaVg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ht="26.25" x14ac:dyDescent="0.25">
      <c r="A10" s="1"/>
      <c r="B10" s="68" t="s">
        <v>227</v>
      </c>
      <c r="C10" s="69" t="s">
        <v>228</v>
      </c>
      <c r="D10" s="9">
        <v>201947</v>
      </c>
      <c r="E10" s="9">
        <f>IFERROR(D10/C10,0)</f>
        <v>2692.6266666666666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68" t="s">
        <v>229</v>
      </c>
      <c r="C11" s="69" t="s">
        <v>230</v>
      </c>
      <c r="D11" s="9">
        <v>201947</v>
      </c>
      <c r="E11" s="9">
        <f t="shared" ref="E11:E15" si="0">IFERROR(D11/C11,0)</f>
        <v>6731.5666666666666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68" t="s">
        <v>231</v>
      </c>
      <c r="C12" s="69" t="s">
        <v>230</v>
      </c>
      <c r="D12" s="9">
        <v>2906662</v>
      </c>
      <c r="E12" s="9">
        <f t="shared" si="0"/>
        <v>96888.733333333337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68" t="s">
        <v>232</v>
      </c>
      <c r="C13" s="69" t="s">
        <v>228</v>
      </c>
      <c r="D13" s="9">
        <v>201947</v>
      </c>
      <c r="E13" s="9">
        <f t="shared" si="0"/>
        <v>2692.6266666666666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68" t="s">
        <v>233</v>
      </c>
      <c r="C14" s="69" t="s">
        <v>234</v>
      </c>
      <c r="D14" s="9">
        <v>201947</v>
      </c>
      <c r="E14" s="9">
        <f t="shared" si="0"/>
        <v>10097.35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68" t="s">
        <v>235</v>
      </c>
      <c r="C15" s="69" t="s">
        <v>236</v>
      </c>
      <c r="D15" s="9">
        <v>324496</v>
      </c>
      <c r="E15" s="9">
        <f t="shared" si="0"/>
        <v>32449.599999999999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115" t="s">
        <v>158</v>
      </c>
      <c r="C16" s="116"/>
      <c r="D16" s="117"/>
      <c r="E16" s="12">
        <f>SUM(E10:E15)</f>
        <v>151552.50333333333</v>
      </c>
      <c r="F16" s="12">
        <f>SUM(F10:F15)</f>
        <v>0</v>
      </c>
      <c r="G16" s="12">
        <f>SUM(G10:G15)</f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sheetProtection algorithmName="SHA-512" hashValue="E3NjIulJmCS/H9cyiR1SjJ1NwqEmDLUQuR1Y4OnlyarL0xzqwmgW9evURhIwDfVfE2jHym+0nw/7IqkNP0yxKA==" saltValue="zrQgYKgvMu0wltpjzkG1IQ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Anlægsprojekter'!F16</f>
        <v>0</v>
      </c>
      <c r="D10" s="14" t="s">
        <v>3</v>
      </c>
      <c r="E10" s="9">
        <f>SUM('Fane 8. Anlægsprojekter'!E16,'Fane 8. Anlægsprojekter'!G16)</f>
        <v>151552.50333333333</v>
      </c>
      <c r="F10" s="14" t="s">
        <v>3</v>
      </c>
      <c r="G10" s="1"/>
    </row>
    <row r="11" spans="1:7" x14ac:dyDescent="0.25">
      <c r="A11" s="1"/>
      <c r="B11" s="37" t="s">
        <v>237</v>
      </c>
      <c r="C11" s="22">
        <v>1478</v>
      </c>
      <c r="D11" s="14" t="s">
        <v>3</v>
      </c>
      <c r="E11" s="9">
        <v>5311</v>
      </c>
      <c r="F11" s="14" t="s">
        <v>3</v>
      </c>
      <c r="G11" s="1"/>
    </row>
    <row r="12" spans="1:7" x14ac:dyDescent="0.25">
      <c r="A12" s="1"/>
      <c r="B12" s="55" t="s">
        <v>136</v>
      </c>
      <c r="C12" s="12">
        <f>SUM(C10:C11)</f>
        <v>1478</v>
      </c>
      <c r="D12" s="13" t="s">
        <v>3</v>
      </c>
      <c r="E12" s="12">
        <f>SUM(E10:E11)</f>
        <v>156863.50333333333</v>
      </c>
      <c r="F12" s="13" t="s">
        <v>3</v>
      </c>
      <c r="G12" s="1"/>
    </row>
    <row r="13" spans="1:7" x14ac:dyDescent="0.25">
      <c r="A13" s="1"/>
      <c r="B13" s="55" t="s">
        <v>210</v>
      </c>
      <c r="C13" s="12">
        <f>C12*(1+'Fane 12. Nøgletal'!C14)</f>
        <v>1482.8774000000001</v>
      </c>
      <c r="D13" s="13" t="s">
        <v>3</v>
      </c>
      <c r="E13" s="12">
        <f>E12*(1+'Fane 12. Nøgletal'!C14)</f>
        <v>157381.15289433333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f009p72UYIyE0XFg0OnpmtywwNTv7TipoL3YriUQqC8Be7pplvnmovapX1zkL9Z6PHAmL2H5hI6S5C465BJPg==" saltValue="fRrK8c47jzym97DuJMRE4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R9qKCp1NNxNRgI0AUKnevAMGTFfM/0xh4LfGrqiV4XIDbQMrb0dqoioaXycyPwiJvOoM6O4b5qIptfTfzb2Lg==" saltValue="ufopMQX8KdEx7FfxPVTfe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ihbfIfMzwIO9LWD/eK/9mgtQvpJZBmPD8jsyVXCSngUSMXXwT3kseqm3PoNbQ0R53hvlbo5TezCVDtFtNdmiMQ==" saltValue="IOMdUNoEbOVl3LuhmFg+S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244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244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244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244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F7DSKcyMoqvbm6wL6WPBM4a0uFXP7FZ5+tPgABvcznEj5hck0ijp6OwovDaiAS4h0ghRkgpHcg1Cjg758+rwQ==" saltValue="75DvMCmirc1gMsVotK6L3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9A0plqySP6XSTRS9wtcWXyxYZ0nvTRrG+Po56JnxYSh7+QFgkCAADGQOdgNm3WK+ilFGuvCEO10sHmUSDxuzA==" saltValue="YTZX53eLM8VGUegmYTbkK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52470192.410069712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14491.859135985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1482.8774000000001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157381.15289433333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640660.59870282176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-1065394.3407813373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-352853.63472695678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-1040826.6755220903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50810642.388036482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omk.'!C15</f>
        <v>19108828.719685484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69919471.107721969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eAZQu62b/2KcxDumQ+W4+uS24yMeWz3JOLRZp4sun6fJc7zLmV/12+YK6zpy/xeMFvGS/N+3w8coggOm2Xv2mA==" saltValue="M3OUlS+uRkUYG+Gej/qM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50810642.388036482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167675.11988052039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-1019566.3501583401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-346937.69068712468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-547630.22916141769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49064183.237910114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omk.'!C15*(1+'Fane 12. Nøgletal'!C14)</f>
        <v>19171887.854460448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68236071.09237057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hYMXrIOvBtYR2oNxRCCyvIg0vj1MnpDd7zsz7poF1ZF9ZR7+Q59fb5hPLu8wcNg6KzTnw6VEaZFIY/+/eBO2A==" saltValue="0+SKUE/w4IfMWvWUewvV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49064183.237910114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161911.80468510339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-984521.9008519043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-341120.93336506432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-541305.73526566918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47359146.473112576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Nøgletal'!C14)^2</f>
        <v>19235155.084380168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66594301.557492748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wQNCE5iK5coJ8Mux89t0xOpkYgDiOpeIJgEuzMfXpPm/TvXpbFqCYc5TlA8RRpDeBsxOwIJADj72JpyuzbUibA==" saltValue="RJHMMWS11Td7o9cvk3ayg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47359146.473112576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156285.18336127151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-950308.63312947692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-335401.69979626569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-535054.28193800361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45694667.041610099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Nøgletal'!C14)^3</f>
        <v>19298631.096158624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64993298.137768723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iGkWQza1kP9pxKCIODgsWftHIQISA5+/RR1zoN2kOME6qfNW/2jDY0saIiZcyY6BZq4xtboM2U/dtmL6/YHUQ==" saltValue="OAHGFOcE+DyopQuvoSGT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54302763.555759497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15031.17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662677.09565426596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-1099609.4364282752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-355685.00952567288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-1054984.9653901036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52470192.410069712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21709234.015532281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5" t="s">
        <v>258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259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74179426.425601989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l+F/EBKzd+6C9war4oG1cWx7HJsGexw6AYJ2+WsdjVrfVpO7prTKbf/29+5dahGE3xn8pQzc1g5d7L6Pp/qrQ==" saltValue="qmh0yGfVE+rPIXKHMY8pt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18348008.436917938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366960.16873835877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18209407.58118546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364188.15162370919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18146803.637921341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-156485.86004361912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359806.35555755446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17928467.06535738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358569.34130714758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17784250.476283643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355685.00952567288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17641193.965452418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1487.7708954200002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352853.63472695678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17346884.534356233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346937.69068712468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17056046.668253217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341120.93336506432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16770084.989813285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335401.69979626569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n964CW0UflT7GMccTsl8eI6s5i2JK9/JIRZb48GfrdlD0rk0vBygd7dYjl2JnlboVe7780n8dTKlVLFZOjYK4w==" saltValue="T4W/+rKa7LdPWIzZCf+FBA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36563009.258593991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332723.38425320532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36690410.504944913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333882.73559499875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36970953.088651925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218005.14351470809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583289.64514445595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328618.55653260642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38076426.656299636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144615.25604569231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335371.98518150451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38347875.100275226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15214.550273999999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1054984.9653901036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37763263.562318064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14539.682271133752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157900.51069888464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1040826.6755220903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37002042.510906599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547630.22916141769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36574711.842274942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541305.73526566918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36152316.347162403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535054.28193800361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NIgDN1CnVoRt7BrMpAMeHT39RBZAw7WhA2gfTu9Bnq5sCtXeU2S+Z1JKDzZk6F+6APJZMXvK1rwGAktmFbfI2A==" saltValue="Dad5ESTeLqwQI2v897OIWQ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1.0258806641192171E-2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0.02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K0ufeWGMJluqiA1v6e3EtBgdIRYmF6YrAG3pU7Ookm9aFiEe5bh0SfJf8+0NPBxbBKsL78J4NhY6A5Xgp7kzQ==" saltValue="Dcrv9p1Dtt/WlGPuVpmZw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2021-09-02T08:03:53Z</dcterms:modified>
</cp:coreProperties>
</file>