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Dianalund Vandværk (V03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C12" i="7" l="1"/>
  <c r="E25" i="8" l="1"/>
  <c r="E29" i="8" l="1"/>
  <c r="E25" i="2" s="1"/>
  <c r="E33" i="8"/>
  <c r="E35" i="8" s="1"/>
  <c r="E20" i="5" s="1"/>
  <c r="E10" i="2"/>
  <c r="E14" i="6"/>
  <c r="E20" i="3" l="1"/>
  <c r="E20" i="4"/>
  <c r="C11" i="12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8" i="3" l="1"/>
  <c r="E10" i="3" s="1"/>
  <c r="E11" i="3" s="1"/>
  <c r="E12" i="3" s="1"/>
  <c r="E21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<sst xmlns="http://schemas.openxmlformats.org/spreadsheetml/2006/main" count="401" uniqueCount="151">
  <si>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</si>
  <si>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</si>
  <si>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</si>
  <si>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</si>
  <si>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</si>
  <si>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</si>
  <si>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</si>
  <si>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</si>
  <si>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</si>
  <si>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</si>
  <si>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</si>
  <si>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</si>
  <si>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</si>
  <si>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</si>
  <si>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</si>
  <si>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</si>
  <si>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</si>
  <si>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</si>
  <si>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</si>
  <si>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</si>
  <si>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</si>
  <si>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</si>
  <si>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</si>
  <si>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</si>
  <si>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</si>
  <si>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</si>
  <si>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</si>
  <si>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</si>
  <si>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</si>
  <si>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</si>
  <si>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</si>
  <si>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</si>
  <si>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</si>
  <si>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</si>
  <si>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</si>
  <si>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</si>
  <si>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</si>
  <si>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</si>
  <si>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</si>
  <si>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</si>
  <si>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</si>
  <si>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</si>
  <si>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</si>
  <si>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</si>
  <si>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</si>
  <si>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</si>
  <si>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</si>
  <si>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</si>
  <si>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</si>
  <si>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</si>
  <si>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</si>
  <si>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</si>
  <si>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</si>
  <si>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</si>
  <si>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</si>
  <si>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</si>
  <si>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</si>
  <si>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</si>
  <si>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</si>
  <si>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</si>
  <si>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</si>
  <si>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</si>
  <si>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</si>
  <si>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</si>
  <si>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</si>
  <si>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</si>
  <si>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</si>
  <si>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</si>
  <si>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</si>
  <si>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</si>
  <si>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</si>
  <si>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</si>
  <si>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</si>
  <si>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</si>
  <si>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</si>
  <si>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</si>
  <si>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</si>
  <si>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</si>
  <si>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</si>
  <si>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</si>
  <si>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</si>
  <si>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</si>
  <si>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</si>
  <si>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</si>
  <si>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</si>
  <si>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</si>
  <si>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</si>
  <si>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</si>
  <si>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</si>
  <si>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</si>
  <si>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</si>
  <si>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</si>
  <si>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</si>
  <si>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</si>
  <si>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</si>
  <si>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</si>
  <si>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</si>
  <si>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</si>
  <si>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</si>
  <si>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</si>
  <si>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</si>
  <si>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</si>
  <si>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</si>
  <si>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</si>
  <si>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</si>
  <si>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</si>
  <si>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</si>
  <si>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</si>
  <si>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</si>
  <si>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</si>
  <si>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</si>
  <si>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</si>
  <si>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</si>
  <si>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</si>
  <si>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</si>
  <si>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</si>
  <si>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</si>
  <si>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</si>
  <si>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</si>
  <si>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</si>
  <si>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</si>
  <si>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</si>
  <si>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</si>
  <si>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</si>
  <si>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</si>
  <si>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</si>
  <si>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</si>
  <si>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</si>
  <si>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</si>
  <si>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bortfald eller nedsættelse</t>
  </si>
  <si>
    <t>Fane 7: Kontrol med overholdelse af den økonomiske ramme for 2020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</si>
  <si>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</si>
  <si>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</si>
  <si>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</si>
  <si>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</si>
  <si>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</si>
  <si>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</si>
  <si>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</si>
  <si>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</si>
  <si>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</si>
  <si>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</si>
  <si>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</si>
  <si>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</si>
  <si>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</si>
  <si>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</si>
  <si>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</si>
  <si>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Ingen anlægsprojekter</t>
  </si>
  <si>
    <t>Ingen engangstillæg</t>
  </si>
  <si>
    <t>Skønnede indtægter for 2020</t>
  </si>
  <si>
    <t>Skøn for afgift til ledningsført vand</t>
  </si>
  <si>
    <t>Skøn for afgift til Forsyningssekretariatet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</si>
</sst>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2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2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2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2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2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ZI9TE+JCuXK4g63h2lCNxAT28EFRnzGyGxgHEuiR1EoRyszpm596bFe5KNvlPxdauae64IwxDI1xzHZ26mGKw==" saltValue="4RWaXIAZJS9GsSqxUgedd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ZLWpFd65BzF91ro5fLEsDt+/0Wtx7jO2sDIhkMYZ5614mWUuCCyMYsEB4xOUoRf75uBZ7ExcD437MSqytz6kPw==" saltValue="R64hE1Z9LXFb6+pMjHxiG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51</v>
      </c>
      <c r="C8" s="89"/>
      <c r="D8" s="89"/>
      <c r="E8" s="89"/>
      <c r="F8" s="90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147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52</v>
      </c>
      <c r="C15" s="89"/>
      <c r="D15" s="89"/>
      <c r="E15" s="89"/>
      <c r="F15" s="90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25">
      <c r="A17" s="1"/>
      <c r="B17" s="20" t="s">
        <v>147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77</v>
      </c>
      <c r="C22" s="89"/>
      <c r="D22" s="89"/>
      <c r="E22" s="89"/>
      <c r="F22" s="90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25">
      <c r="A24" s="1"/>
      <c r="B24" s="20" t="s">
        <v>147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112</v>
      </c>
      <c r="C29" s="89"/>
      <c r="D29" s="89"/>
      <c r="E29" s="89"/>
      <c r="F29" s="90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25">
      <c r="A31" s="1"/>
      <c r="B31" s="20" t="s">
        <v>147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ZP+mjjB6hdiktY99YpKPC8cmfRU8D7tVXBNB6X9RsZkdhQeMbqT+NJ1gSfVXQrQyXN2Gblp5ILJVkt7W4krew==" saltValue="t6/xTTDGVrCdrUhX355yy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25">
      <c r="A10" s="1"/>
      <c r="B10" s="20" t="s">
        <v>128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edhtna1ICem4HeQcYZ9j95Dmk+a9dBIT4dxoDKDWCpHZKVz/m/ib48dQ+xYFAxZNG+joJp+v0y5tSt4KoZhuyA==" saltValue="HkLP4BfdSGfXXdvNwSLAd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49</v>
      </c>
      <c r="C14" s="89"/>
      <c r="D14" s="89"/>
      <c r="E14" s="89"/>
      <c r="F14" s="90"/>
      <c r="G14" s="1"/>
    </row>
    <row r="15" spans="1:7" ht="26.25" x14ac:dyDescent="0.2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25">
      <c r="A16" s="1"/>
      <c r="B16" s="20" t="s">
        <v>129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73</v>
      </c>
      <c r="C20" s="89"/>
      <c r="D20" s="89"/>
      <c r="E20" s="89"/>
      <c r="F20" s="90"/>
      <c r="G20" s="1"/>
    </row>
    <row r="21" spans="1:7" ht="26.25" x14ac:dyDescent="0.2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25">
      <c r="A22" s="1"/>
      <c r="B22" s="20" t="s">
        <v>129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26.25" x14ac:dyDescent="0.2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25">
      <c r="A28" s="1"/>
      <c r="B28" s="20" t="s">
        <v>129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+y+QuVmSpZELJ33yVCbl2xb2S4Fd+DK17/I9E/Ijj7JFD9Qmjxf3m+kMMTgqrW4JCMtoxobRo3w22lV2ybKaoA==" saltValue="eyKAdeXTTCUN8xCCGfMTJ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93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57"/>
      <c r="D8" s="1"/>
    </row>
    <row r="9" spans="1:4" x14ac:dyDescent="0.25">
      <c r="A9" s="1"/>
      <c r="B9" s="28" t="s">
        <v>126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6"/>
      <c r="C15" s="5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54</v>
      </c>
      <c r="C18" s="57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6"/>
      <c r="C20" s="107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X0RI2nFc1+1nMq4X/1HbC2QR95rZS8sUlrfR8ZdypUpflzDcsZx6zG/XucyhoASMgDgDvQ3VP4bHl1YmUcEdvw==" saltValue="UqbywooyswzZZJlUAsbNr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x14ac:dyDescent="0.25">
      <c r="A9" s="1"/>
      <c r="B9" s="39" t="s">
        <v>24</v>
      </c>
      <c r="C9" s="39"/>
      <c r="D9" s="39"/>
      <c r="E9" s="7">
        <f>'Fane 3. Omkostninger i ØR2021'!E16</f>
        <v>2770311.0925724613</v>
      </c>
      <c r="F9" s="39" t="s">
        <v>3</v>
      </c>
      <c r="G9" s="1"/>
    </row>
    <row r="10" spans="1:7" ht="17.100000000000001" customHeight="1" x14ac:dyDescent="0.2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2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9" t="s">
        <v>18</v>
      </c>
      <c r="C14" s="39"/>
      <c r="D14" s="39"/>
      <c r="E14" s="8">
        <f>E9*'Fane 10. Nøgletal'!C13+SUM(E11:E13)*'Fane 10. Nøgletal'!C14</f>
        <v>33797.795329384033</v>
      </c>
      <c r="F14" s="39" t="s">
        <v>3</v>
      </c>
      <c r="G14" s="1"/>
    </row>
    <row r="15" spans="1:7" ht="17.100000000000001" customHeight="1" x14ac:dyDescent="0.25">
      <c r="A15" s="1"/>
      <c r="B15" s="29" t="s">
        <v>54</v>
      </c>
      <c r="C15" s="39"/>
      <c r="D15" s="39"/>
      <c r="E15" s="8">
        <f>-SUM(E9,E11:E14)*'Fane 10. Nøgletal'!C19</f>
        <v>-47669.851094331374</v>
      </c>
      <c r="F15" s="39" t="s">
        <v>3</v>
      </c>
      <c r="G15" s="1"/>
    </row>
    <row r="16" spans="1:7" ht="15" customHeight="1" x14ac:dyDescent="0.25">
      <c r="A16" s="1"/>
      <c r="B16" s="50" t="s">
        <v>20</v>
      </c>
      <c r="C16" s="41"/>
      <c r="D16" s="41"/>
      <c r="E16" s="9">
        <f>SUM(E9,E11:E15)</f>
        <v>2756439.0368075138</v>
      </c>
      <c r="F16" s="43" t="s">
        <v>3</v>
      </c>
      <c r="G16" s="1"/>
    </row>
    <row r="17" spans="1:7" ht="15" customHeight="1" x14ac:dyDescent="0.2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25">
      <c r="A18" s="1"/>
      <c r="B18" s="43" t="s">
        <v>12</v>
      </c>
      <c r="C18" s="43"/>
      <c r="D18" s="43"/>
      <c r="E18" s="9">
        <f>'Fane 4. Ikke-påvirkelige omk.'!C13</f>
        <v>1922243.2811509103</v>
      </c>
      <c r="F18" s="43" t="s">
        <v>3</v>
      </c>
      <c r="G18" s="1"/>
    </row>
    <row r="19" spans="1:7" ht="15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2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50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0" t="s">
        <v>31</v>
      </c>
      <c r="C24" s="41"/>
      <c r="D24" s="41"/>
      <c r="E24" s="9">
        <v>-914739.86891314504</v>
      </c>
      <c r="F24" s="43" t="s">
        <v>3</v>
      </c>
      <c r="G24" s="1"/>
    </row>
    <row r="25" spans="1:7" x14ac:dyDescent="0.25">
      <c r="A25" s="1"/>
      <c r="B25" s="50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25">
      <c r="A26" s="1"/>
      <c r="B26" s="42" t="s">
        <v>144</v>
      </c>
      <c r="C26" s="42"/>
      <c r="D26" s="42"/>
      <c r="E26" s="42"/>
      <c r="F26" s="42"/>
      <c r="G26" s="1"/>
    </row>
    <row r="27" spans="1:7" x14ac:dyDescent="0.25">
      <c r="A27" s="1"/>
      <c r="B27" s="43" t="s">
        <v>145</v>
      </c>
      <c r="C27" s="43"/>
      <c r="D27" s="43"/>
      <c r="E27" s="9">
        <v>0</v>
      </c>
      <c r="F27" s="43" t="s">
        <v>3</v>
      </c>
      <c r="G27" s="1"/>
    </row>
    <row r="28" spans="1:7" x14ac:dyDescent="0.25">
      <c r="A28" s="1"/>
      <c r="B28" s="42" t="s">
        <v>26</v>
      </c>
      <c r="C28" s="42"/>
      <c r="D28" s="42"/>
      <c r="E28" s="10">
        <f>SUM(E16,E18,E22,E24,E25,E27)</f>
        <v>3763942.4490452791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eg3qvv3Pj0yc/ifNKwKcn/oe2hXI5khGavENkj5/r2fU9xAQAQK/DsMxuNJyFyfXkl89MkcOo1zQLuxVnTJOg==" saltValue="A8uyyX0qLw0VhS7Yo3u/B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101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66</v>
      </c>
      <c r="C8" s="39"/>
      <c r="D8" s="39"/>
      <c r="E8" s="7">
        <f>'Fane 2.1. Økonomisk ramme 2022'!E16</f>
        <v>2756439.0368075138</v>
      </c>
      <c r="F8" s="39" t="s">
        <v>3</v>
      </c>
      <c r="G8" s="1"/>
    </row>
    <row r="9" spans="1:7" ht="15" customHeight="1" x14ac:dyDescent="0.25">
      <c r="A9" s="1"/>
      <c r="B9" s="29" t="s">
        <v>62</v>
      </c>
      <c r="C9" s="39"/>
      <c r="D9" s="39"/>
      <c r="E9" s="7">
        <f>-('Fane 9. Bortfald'!C18+'Fane 9. Bortfald'!E18)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9096.2488214647947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-47014.099855692642</v>
      </c>
      <c r="F11" s="39" t="s">
        <v>3</v>
      </c>
      <c r="G11" s="1"/>
    </row>
    <row r="12" spans="1:7" ht="15" customHeight="1" x14ac:dyDescent="0.25">
      <c r="A12" s="1"/>
      <c r="B12" s="41" t="s">
        <v>20</v>
      </c>
      <c r="C12" s="41"/>
      <c r="D12" s="41"/>
      <c r="E12" s="9">
        <f>SUM(E8:E11)</f>
        <v>2718521.185773286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</f>
        <v>1928586.6839787085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Engangstillæg'!C20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Engangstillæg'!E20</f>
        <v>0</v>
      </c>
      <c r="F17" s="39" t="s">
        <v>3</v>
      </c>
      <c r="G17" s="1"/>
    </row>
    <row r="18" spans="1:7" ht="15" customHeight="1" x14ac:dyDescent="0.2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x14ac:dyDescent="0.25">
      <c r="A19" s="1"/>
      <c r="B19" s="42" t="s">
        <v>85</v>
      </c>
      <c r="C19" s="42"/>
      <c r="D19" s="42"/>
      <c r="E19" s="42"/>
      <c r="F19" s="42"/>
      <c r="G19" s="1"/>
    </row>
    <row r="20" spans="1:7" x14ac:dyDescent="0.2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47</v>
      </c>
      <c r="C21" s="42"/>
      <c r="D21" s="42"/>
      <c r="E21" s="10">
        <f>SUM(E12,E14,E18,E20)</f>
        <v>4647107.8697519945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AJ0bPJuKLZR1AVh3mV+MgrlU21DIAimhEjywqGIAD7QPrdUY7yRYRU/0emuV2oHG8cmotqH36ne4mUQuI/8Zg==" saltValue="ZoFMae8ePjAs8+JIcFt+9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67</v>
      </c>
      <c r="C8" s="39"/>
      <c r="D8" s="39"/>
      <c r="E8" s="7">
        <f>'Fane 2.2. Økonomisk ramme 2023'!E12</f>
        <v>2718521.185773286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8971.1199130518435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-46367.369196667751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2681124.9364896701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Nøgletal'!C14)^2</f>
        <v>1934951.0200358382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68</v>
      </c>
      <c r="C21" s="42"/>
      <c r="D21" s="42"/>
      <c r="E21" s="10">
        <f>SUM(E12,E14,E18,E20)</f>
        <v>4616075.9565255083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tL9pZ2EOOjqi675BZrf7tggQdNbWli7G+JR9+mk4SZlrRJ959OqTs1ZhJ201Jf1ndnpTW2Tpar2cp9knGT8O4A==" saltValue="S2yv3iAAj+K1F6NQNX9RY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103</v>
      </c>
      <c r="C8" s="39"/>
      <c r="D8" s="39"/>
      <c r="E8" s="7">
        <f>'Fane 2.3. Økonomisk ramme 2024'!E12</f>
        <v>2681124.9364896701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8847.7122904159114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-45729.535029261468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2644243.1137508247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Nøgletal'!C14)^3</f>
        <v>1941336.3584019567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104</v>
      </c>
      <c r="C21" s="42"/>
      <c r="D21" s="42"/>
      <c r="E21" s="10">
        <f>SUM(E12,E14,E18,E20)</f>
        <v>4585579.4721527817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3CN5Wetr2DVf9E2ktP2bud+b+wEeE17A79BuwFvUT8ongtMtuCM5tmc7agAw9NjLMU5yK67vHZ10Q+fz1ob0Eg==" saltValue="9D+sKN3qsWLrrh2O1mO9z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125</v>
      </c>
      <c r="C8" s="42"/>
      <c r="D8" s="42"/>
      <c r="E8" s="42"/>
      <c r="F8" s="42"/>
      <c r="G8" s="1"/>
    </row>
    <row r="9" spans="1:7" x14ac:dyDescent="0.25">
      <c r="A9" s="1"/>
      <c r="B9" s="87" t="s">
        <v>23</v>
      </c>
      <c r="C9" s="87"/>
      <c r="D9" s="87"/>
      <c r="E9" s="7">
        <v>2721786.3990501761</v>
      </c>
      <c r="F9" s="39" t="s">
        <v>3</v>
      </c>
      <c r="G9" s="1"/>
    </row>
    <row r="10" spans="1:7" x14ac:dyDescent="0.25">
      <c r="A10" s="1"/>
      <c r="B10" s="76" t="s">
        <v>127</v>
      </c>
      <c r="C10" s="76"/>
      <c r="D10" s="76"/>
      <c r="E10" s="7">
        <v>62466.561798438939</v>
      </c>
      <c r="F10" s="39" t="s">
        <v>3</v>
      </c>
      <c r="G10" s="1"/>
    </row>
    <row r="11" spans="1:7" x14ac:dyDescent="0.25">
      <c r="A11" s="1"/>
      <c r="B11" s="76" t="s">
        <v>60</v>
      </c>
      <c r="C11" s="76"/>
      <c r="D11" s="76"/>
      <c r="E11" s="7">
        <v>0</v>
      </c>
      <c r="F11" s="39" t="s">
        <v>3</v>
      </c>
      <c r="G11" s="1"/>
    </row>
    <row r="12" spans="1:7" x14ac:dyDescent="0.25">
      <c r="A12" s="1"/>
      <c r="B12" s="76" t="s">
        <v>65</v>
      </c>
      <c r="C12" s="76"/>
      <c r="D12" s="76"/>
      <c r="E12" s="7">
        <v>0</v>
      </c>
      <c r="F12" s="39" t="s">
        <v>3</v>
      </c>
      <c r="G12" s="1"/>
    </row>
    <row r="13" spans="1:7" x14ac:dyDescent="0.25">
      <c r="A13" s="1"/>
      <c r="B13" s="76" t="s">
        <v>61</v>
      </c>
      <c r="C13" s="76"/>
      <c r="D13" s="76"/>
      <c r="E13" s="8">
        <v>0</v>
      </c>
      <c r="F13" s="39" t="s">
        <v>3</v>
      </c>
      <c r="G13" s="1"/>
    </row>
    <row r="14" spans="1:7" x14ac:dyDescent="0.25">
      <c r="A14" s="1"/>
      <c r="B14" s="76" t="s">
        <v>18</v>
      </c>
      <c r="C14" s="76"/>
      <c r="D14" s="76"/>
      <c r="E14" s="8">
        <f>SUM(E9:E13)*'Fane 10. Nøgletal'!C13</f>
        <v>33967.886122353106</v>
      </c>
      <c r="F14" s="39" t="s">
        <v>3</v>
      </c>
      <c r="G14" s="1"/>
    </row>
    <row r="15" spans="1:7" x14ac:dyDescent="0.25">
      <c r="A15" s="1"/>
      <c r="B15" s="76" t="s">
        <v>54</v>
      </c>
      <c r="C15" s="76"/>
      <c r="D15" s="76"/>
      <c r="E15" s="8">
        <f>-SUM(E9:E14)*'Fane 10. Nøgletal'!C19</f>
        <v>-47909.754398506462</v>
      </c>
      <c r="F15" s="39" t="s">
        <v>3</v>
      </c>
      <c r="G15" s="1"/>
    </row>
    <row r="16" spans="1:7" x14ac:dyDescent="0.25">
      <c r="A16" s="1"/>
      <c r="B16" s="77" t="s">
        <v>20</v>
      </c>
      <c r="C16" s="77"/>
      <c r="D16" s="77"/>
      <c r="E16" s="9">
        <f>SUM(E9:E15)</f>
        <v>2770311.0925724613</v>
      </c>
      <c r="F16" s="43" t="s">
        <v>3</v>
      </c>
      <c r="G16" s="1"/>
    </row>
    <row r="17" spans="1:7" x14ac:dyDescent="0.25">
      <c r="A17" s="1"/>
      <c r="B17" s="78" t="s">
        <v>12</v>
      </c>
      <c r="C17" s="78"/>
      <c r="D17" s="78"/>
      <c r="E17" s="42"/>
      <c r="F17" s="42"/>
      <c r="G17" s="1"/>
    </row>
    <row r="18" spans="1:7" x14ac:dyDescent="0.25">
      <c r="A18" s="1"/>
      <c r="B18" s="79" t="s">
        <v>12</v>
      </c>
      <c r="C18" s="79"/>
      <c r="D18" s="79"/>
      <c r="E18" s="9">
        <v>1944685.9077156</v>
      </c>
      <c r="F18" s="43" t="s">
        <v>3</v>
      </c>
      <c r="G18" s="1"/>
    </row>
    <row r="19" spans="1:7" ht="15.4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2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2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2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0" t="s">
        <v>31</v>
      </c>
      <c r="C24" s="41"/>
      <c r="D24" s="41"/>
      <c r="E24" s="9">
        <v>-914739.86891314504</v>
      </c>
      <c r="F24" s="43" t="s">
        <v>3</v>
      </c>
      <c r="G24" s="1"/>
    </row>
    <row r="25" spans="1:7" x14ac:dyDescent="0.25">
      <c r="A25" s="1"/>
      <c r="B25" s="50" t="s">
        <v>86</v>
      </c>
      <c r="C25" s="41"/>
      <c r="D25" s="41"/>
      <c r="E25" s="9">
        <v>0</v>
      </c>
      <c r="F25" s="43" t="s">
        <v>3</v>
      </c>
      <c r="G25" s="1"/>
    </row>
    <row r="26" spans="1:7" ht="15" customHeight="1" x14ac:dyDescent="0.25">
      <c r="A26" s="1"/>
      <c r="B26" s="42" t="s">
        <v>25</v>
      </c>
      <c r="C26" s="42"/>
      <c r="D26" s="42"/>
      <c r="E26" s="10">
        <f>E16+E18+E22+E24+E25</f>
        <v>3800257.131374917</v>
      </c>
      <c r="F26" s="11" t="s">
        <v>3</v>
      </c>
      <c r="G26" s="1"/>
    </row>
    <row r="27" spans="1:7" ht="27" customHeight="1" x14ac:dyDescent="0.25">
      <c r="A27" s="1"/>
      <c r="B27" s="75" t="s">
        <v>120</v>
      </c>
      <c r="C27" s="75"/>
      <c r="D27" s="75"/>
      <c r="E27" s="75"/>
      <c r="F27" s="75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VXM/IMiwlTiCW1XiBDmWLeKS7Li1lvg/isHRcjA6VZ2x0QTqPyLSWv6V6rBmBFAqHf+U30IGWDHtCbeFIixBdg==" saltValue="TCSZcNnLLkT1UmXnkC0rx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53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107</v>
      </c>
      <c r="C8" s="89"/>
      <c r="D8" s="90"/>
      <c r="E8" s="1"/>
      <c r="F8" s="1"/>
    </row>
    <row r="9" spans="1:6" ht="15" customHeight="1" x14ac:dyDescent="0.25">
      <c r="A9" s="1"/>
      <c r="B9" s="17" t="s">
        <v>29</v>
      </c>
      <c r="C9" s="43" t="s">
        <v>106</v>
      </c>
      <c r="D9" s="43"/>
      <c r="E9" s="1"/>
      <c r="F9" s="1"/>
    </row>
    <row r="10" spans="1:6" ht="15" customHeight="1" x14ac:dyDescent="0.25">
      <c r="A10" s="1"/>
      <c r="B10" s="28" t="s">
        <v>149</v>
      </c>
      <c r="C10" s="8">
        <v>1903292</v>
      </c>
      <c r="D10" s="12" t="s">
        <v>3</v>
      </c>
      <c r="E10" s="1"/>
      <c r="F10" s="1"/>
    </row>
    <row r="11" spans="1:6" x14ac:dyDescent="0.25">
      <c r="A11" s="1"/>
      <c r="B11" s="28" t="s">
        <v>150</v>
      </c>
      <c r="C11" s="8">
        <v>6327</v>
      </c>
      <c r="D11" s="12" t="s">
        <v>3</v>
      </c>
      <c r="E11" s="1"/>
      <c r="F11" s="1"/>
    </row>
    <row r="12" spans="1:6" x14ac:dyDescent="0.25">
      <c r="A12" s="1"/>
      <c r="B12" s="56" t="s">
        <v>108</v>
      </c>
      <c r="C12" s="10">
        <f>SUM(C10:C11)</f>
        <v>1909619</v>
      </c>
      <c r="D12" s="11" t="s">
        <v>3</v>
      </c>
      <c r="E12" s="1"/>
      <c r="F12" s="1"/>
    </row>
    <row r="13" spans="1:6" x14ac:dyDescent="0.25">
      <c r="A13" s="1"/>
      <c r="B13" s="56" t="s">
        <v>109</v>
      </c>
      <c r="C13" s="10">
        <f>C12*(1+'Fane 10. Nøgletal'!C14)^2</f>
        <v>1922243.2811509103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DRToE1+U7eTdrSDCSKAOn6vX/h3ojfmesZgfTKprpHZWtA8ftOaesX5KxMn7vTlDtPiwtRDVf2/FnkvqdLIpdg==" saltValue="9FAkU/m4nhSW6ef+/wCkl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130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38"/>
      <c r="C6" s="38"/>
      <c r="D6" s="38"/>
      <c r="E6" s="38"/>
      <c r="F6" s="3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131</v>
      </c>
      <c r="C8" s="89"/>
      <c r="D8" s="89"/>
      <c r="E8" s="89"/>
      <c r="F8" s="90"/>
      <c r="G8" s="1"/>
    </row>
    <row r="9" spans="1:7" x14ac:dyDescent="0.25">
      <c r="A9" s="1"/>
      <c r="B9" s="91" t="s">
        <v>132</v>
      </c>
      <c r="C9" s="92"/>
      <c r="D9" s="93"/>
      <c r="E9" s="8">
        <v>-2414865.8559999997</v>
      </c>
      <c r="F9" s="12" t="s">
        <v>3</v>
      </c>
      <c r="G9" s="1"/>
    </row>
    <row r="10" spans="1:7" x14ac:dyDescent="0.25">
      <c r="A10" s="1"/>
      <c r="B10" s="91" t="s">
        <v>133</v>
      </c>
      <c r="C10" s="92"/>
      <c r="D10" s="93"/>
      <c r="E10" s="8">
        <v>36586.818035190925</v>
      </c>
      <c r="F10" s="12" t="s">
        <v>3</v>
      </c>
      <c r="G10" s="1"/>
    </row>
    <row r="11" spans="1:7" x14ac:dyDescent="0.25">
      <c r="A11" s="1"/>
      <c r="B11" s="91" t="s">
        <v>134</v>
      </c>
      <c r="C11" s="92"/>
      <c r="D11" s="93"/>
      <c r="E11" s="8">
        <v>4176533.4423127584</v>
      </c>
      <c r="F11" s="12" t="s">
        <v>3</v>
      </c>
      <c r="G11" s="1"/>
    </row>
    <row r="12" spans="1:7" x14ac:dyDescent="0.25">
      <c r="A12" s="1"/>
      <c r="B12" s="56"/>
      <c r="C12" s="22"/>
      <c r="D12" s="22"/>
      <c r="E12" s="22"/>
      <c r="F12" s="57"/>
      <c r="G12" s="1"/>
    </row>
    <row r="13" spans="1:7" ht="51.75" customHeight="1" x14ac:dyDescent="0.25">
      <c r="A13" s="1"/>
      <c r="B13" s="94" t="s">
        <v>135</v>
      </c>
      <c r="C13" s="95"/>
      <c r="D13" s="95"/>
      <c r="E13" s="95"/>
      <c r="F13" s="96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136</v>
      </c>
      <c r="C15" s="89"/>
      <c r="D15" s="89"/>
      <c r="E15" s="89"/>
      <c r="F15" s="90"/>
      <c r="G15" s="1"/>
    </row>
    <row r="16" spans="1:7" x14ac:dyDescent="0.25">
      <c r="A16" s="1"/>
      <c r="B16" s="91" t="s">
        <v>137</v>
      </c>
      <c r="C16" s="92"/>
      <c r="D16" s="93"/>
      <c r="E16" s="8">
        <v>0</v>
      </c>
      <c r="F16" s="12" t="s">
        <v>3</v>
      </c>
      <c r="G16" s="1"/>
    </row>
    <row r="17" spans="1:7" x14ac:dyDescent="0.25">
      <c r="A17" s="1"/>
      <c r="B17" s="91" t="s">
        <v>138</v>
      </c>
      <c r="C17" s="92"/>
      <c r="D17" s="93"/>
      <c r="E17" s="8">
        <v>0</v>
      </c>
      <c r="F17" s="12" t="s">
        <v>3</v>
      </c>
      <c r="G17" s="1"/>
    </row>
    <row r="18" spans="1:7" x14ac:dyDescent="0.25">
      <c r="A18" s="1"/>
      <c r="B18" s="56"/>
      <c r="C18" s="22"/>
      <c r="D18" s="22"/>
      <c r="E18" s="22"/>
      <c r="F18" s="57"/>
      <c r="G18" s="1"/>
    </row>
    <row r="19" spans="1:7" ht="29.25" customHeight="1" x14ac:dyDescent="0.25">
      <c r="A19" s="1"/>
      <c r="B19" s="94" t="s">
        <v>139</v>
      </c>
      <c r="C19" s="95"/>
      <c r="D19" s="95"/>
      <c r="E19" s="95"/>
      <c r="F19" s="96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7" t="s">
        <v>122</v>
      </c>
      <c r="C21" s="48"/>
      <c r="D21" s="48"/>
      <c r="E21" s="48"/>
      <c r="F21" s="49"/>
      <c r="G21" s="1"/>
    </row>
    <row r="22" spans="1:7" x14ac:dyDescent="0.25">
      <c r="A22" s="1"/>
      <c r="B22" s="51" t="s">
        <v>123</v>
      </c>
      <c r="C22" s="52"/>
      <c r="D22" s="53"/>
      <c r="E22" s="8">
        <v>4215814.2121840762</v>
      </c>
      <c r="F22" s="12" t="s">
        <v>3</v>
      </c>
      <c r="G22" s="1"/>
    </row>
    <row r="23" spans="1:7" x14ac:dyDescent="0.25">
      <c r="A23" s="1"/>
      <c r="B23" s="51" t="s">
        <v>148</v>
      </c>
      <c r="C23" s="52"/>
      <c r="D23" s="53"/>
      <c r="E23" s="8">
        <v>4410587.666666667</v>
      </c>
      <c r="F23" s="12" t="s">
        <v>3</v>
      </c>
      <c r="G23" s="1"/>
    </row>
    <row r="24" spans="1:7" x14ac:dyDescent="0.2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25">
      <c r="A25" s="1"/>
      <c r="B25" s="44" t="s">
        <v>124</v>
      </c>
      <c r="C25" s="45"/>
      <c r="D25" s="46"/>
      <c r="E25" s="34">
        <f>E22-(E23-E24)</f>
        <v>-194773.45448259078</v>
      </c>
      <c r="F25" s="15" t="s">
        <v>3</v>
      </c>
      <c r="G25" s="1"/>
    </row>
    <row r="26" spans="1:7" x14ac:dyDescent="0.25">
      <c r="A26" s="1"/>
      <c r="B26" s="56"/>
      <c r="C26" s="22"/>
      <c r="D26" s="22"/>
      <c r="E26" s="22"/>
      <c r="F26" s="57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8" t="s">
        <v>140</v>
      </c>
      <c r="C28" s="89"/>
      <c r="D28" s="89"/>
      <c r="E28" s="89"/>
      <c r="F28" s="90"/>
      <c r="G28" s="1"/>
    </row>
    <row r="29" spans="1:7" x14ac:dyDescent="0.25">
      <c r="A29" s="1"/>
      <c r="B29" s="83" t="s">
        <v>141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88"/>
      <c r="C30" s="89"/>
      <c r="D30" s="89"/>
      <c r="E30" s="89"/>
      <c r="F30" s="9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142</v>
      </c>
      <c r="C32" s="89"/>
      <c r="D32" s="89"/>
      <c r="E32" s="89"/>
      <c r="F32" s="90"/>
      <c r="G32" s="1"/>
    </row>
    <row r="33" spans="1:7" x14ac:dyDescent="0.25">
      <c r="A33" s="1"/>
      <c r="B33" s="100" t="s">
        <v>85</v>
      </c>
      <c r="C33" s="101"/>
      <c r="D33" s="102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100" t="s">
        <v>55</v>
      </c>
      <c r="C34" s="101"/>
      <c r="D34" s="102"/>
      <c r="E34" s="8">
        <v>4</v>
      </c>
      <c r="F34" s="12" t="s">
        <v>19</v>
      </c>
      <c r="G34" s="1"/>
    </row>
    <row r="35" spans="1:7" x14ac:dyDescent="0.25">
      <c r="A35" s="1"/>
      <c r="B35" s="103" t="s">
        <v>143</v>
      </c>
      <c r="C35" s="103"/>
      <c r="D35" s="103"/>
      <c r="E35" s="9">
        <f>E33/E34</f>
        <v>0</v>
      </c>
      <c r="F35" s="15" t="s">
        <v>3</v>
      </c>
      <c r="G35" s="1"/>
    </row>
    <row r="36" spans="1:7" x14ac:dyDescent="0.25">
      <c r="A36" s="1"/>
      <c r="B36" s="97"/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pKZKKbMEG3sImycmTxMsEJuQ/8pHisP3Kq9w7FVpRb/e+YMLESGd3rOqcTl0sZQ6LsMpJvkCItu8fwHUILIyuA==" saltValue="XO/5cdDj09kKBMmS4Qz0X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4:D34"/>
    <mergeCell ref="B33:D33"/>
    <mergeCell ref="B32:F32"/>
    <mergeCell ref="B35:D35"/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25">
      <c r="A10" s="1"/>
      <c r="B10" s="36" t="s">
        <v>146</v>
      </c>
      <c r="C10" s="3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cguSWVFBDOcr4ndBC/KiGvGpatr8Hu3i39azRqgue6PvFtKCPb7I1/IPCKl5zINQzWcdYOyWgXzrFf3zHcSJw==" saltValue="kGUu+j4OZrVGFGkM/katD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2021-09-15T14:30:52Z</dcterms:modified>
</cp:coreProperties>
</file>