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Arwos Vand AS (V01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32" i="27" l="1"/>
  <c r="C19" i="23"/>
  <c r="C19" i="22"/>
  <c r="C19" i="15"/>
  <c r="C31" i="2"/>
  <c r="G18" i="40" l="1"/>
  <c r="E25" i="32" l="1"/>
  <c r="E29" i="32" s="1"/>
  <c r="E31" i="32" s="1"/>
  <c r="C17" i="15" l="1"/>
  <c r="C29" i="2"/>
  <c r="F10" i="11" l="1"/>
  <c r="E12" i="39" l="1"/>
  <c r="C12" i="39"/>
  <c r="E11" i="29"/>
  <c r="E12" i="29" s="1"/>
  <c r="C14" i="2" s="1"/>
  <c r="C11" i="29"/>
  <c r="J11" i="11"/>
  <c r="H11" i="11"/>
  <c r="C15" i="19"/>
  <c r="C16" i="19" l="1"/>
  <c r="F11" i="11" l="1"/>
  <c r="E10" i="37" s="1"/>
  <c r="C10" i="37"/>
  <c r="C13" i="37" l="1"/>
  <c r="C12" i="37"/>
  <c r="C15" i="23"/>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s="1"/>
  <c r="G47" i="30" l="1"/>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<sst xmlns="http://schemas.openxmlformats.org/spreadsheetml/2006/main" count="511" uniqueCount="255">
  <si>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</si>
  <si>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</si>
  <si>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</si>
  <si>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</si>
  <si>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</si>
  <si>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</si>
  <si>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</si>
  <si>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</si>
  <si>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</si>
  <si>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</si>
  <si>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</si>
  <si>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</si>
  <si>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</si>
  <si>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</si>
  <si>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</si>
  <si>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</si>
  <si>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</si>
  <si>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</si>
  <si>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</si>
  <si>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</si>
  <si>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</si>
  <si>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</si>
  <si>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</si>
  <si>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</si>
  <si>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</si>
  <si>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</si>
  <si>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</si>
  <si>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</si>
  <si>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</si>
  <si>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</si>
  <si>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</si>
  <si>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</si>
  <si>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</si>
  <si>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</si>
  <si>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</si>
  <si>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</si>
  <si>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</si>
  <si>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</si>
  <si>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</si>
  <si>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</si>
  <si>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</si>
  <si>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</si>
  <si>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</si>
  <si>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</si>
  <si>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</si>
  <si>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</si>
  <si>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</si>
  <si>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</si>
  <si>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</si>
  <si>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</si>
  <si>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</si>
  <si>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</si>
  <si>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</si>
  <si>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</si>
  <si>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</si>
  <si>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</si>
  <si>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</si>
  <si>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</si>
  <si>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</si>
  <si>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</si>
  <si>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</si>
  <si>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</si>
  <si>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</si>
  <si>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</si>
  <si>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</si>
  <si>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</si>
  <si>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</si>
  <si>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</si>
  <si>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</si>
  <si>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</si>
  <si>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</si>
  <si>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</si>
  <si>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</si>
  <si>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</si>
  <si>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</si>
  <si>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</si>
  <si>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</si>
  <si>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</si>
  <si>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</si>
  <si>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</si>
  <si>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</si>
  <si>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</si>
  <si>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</si>
  <si>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</si>
  <si>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</si>
  <si>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</si>
  <si>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</si>
  <si>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</si>
  <si>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</si>
  <si>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</si>
  <si>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</si>
  <si>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</si>
  <si>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</si>
  <si>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</si>
  <si>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</si>
  <si>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</si>
  <si>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</si>
  <si>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</si>
  <si>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</si>
  <si>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</si>
  <si>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</si>
  <si>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</si>
  <si>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</si>
  <si>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</si>
  <si>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</si>
  <si>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</si>
  <si>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</si>
  <si>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</si>
  <si>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</si>
  <si>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</si>
  <si>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</si>
  <si>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</si>
  <si>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</si>
  <si>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</si>
  <si>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</si>
  <si>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</si>
  <si>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</si>
  <si>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</si>
  <si>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</si>
  <si>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</si>
  <si>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</si>
  <si>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</si>
  <si>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</si>
  <si>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</si>
  <si>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</si>
  <si>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</si>
  <si>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</si>
  <si>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</si>
  <si>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</si>
  <si>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</si>
  <si>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</si>
  <si>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</si>
  <si>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</si>
  <si>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</si>
  <si>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</si>
  <si>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</si>
  <si>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</si>
  <si>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</si>
  <si>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</si>
  <si>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</si>
  <si>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</si>
  <si>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</si>
  <si>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</si>
  <si>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</si>
  <si>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</si>
  <si>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</si>
  <si>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</si>
  <si>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</si>
  <si>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</si>
  <si>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</si>
  <si>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</si>
  <si>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</si>
  <si>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</si>
  <si>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</si>
  <si>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</si>
  <si>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</si>
  <si>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</si>
  <si>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</si>
  <si>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</si>
  <si>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</si>
  <si>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</si>
  <si>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</si>
  <si>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</si>
  <si>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</si>
  <si>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</si>
  <si>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</si>
  <si>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</si>
  <si>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</si>
  <si>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</si>
  <si>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</si>
  <si>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</si>
  <si>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</si>
  <si>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</si>
  <si>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</si>
  <si>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</si>
  <si>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</si>
  <si>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</si>
  <si>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</si>
  <si>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</si>
  <si>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</si>
  <si>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</si>
  <si>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</si>
  <si>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</si>
  <si>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</si>
  <si>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</si>
  <si>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</si>
  <si>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</si>
  <si>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</si>
  <si>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</si>
  <si>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</si>
  <si>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</si>
  <si>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</si>
  <si>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</si>
  <si>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</si>
  <si>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</si>
  <si>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</si>
  <si>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</si>
  <si>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</si>
  <si>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</si>
  <si>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</si>
  <si>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</si>
  <si>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</si>
  <si>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</si>
  <si>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</si>
  <si>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</si>
  <si>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</si>
  <si>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</si>
  <si>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</si>
  <si>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</si>
  <si>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</si>
  <si>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</si>
  <si>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</si>
  <si>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</si>
  <si>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</si>
  <si>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</si>
  <si>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</si>
  <si>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</si>
  <si>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</si>
  <si>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</si>
  <si>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</si>
  <si>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</si>
  <si>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</si>
  <si>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</si>
  <si>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</si>
  <si>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</si>
  <si>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</si>
  <si>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</si>
  <si>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</si>
  <si>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</si>
  <si>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</si>
  <si>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</si>
  <si>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</si>
  <si>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</si>
  <si>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</si>
  <si>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</si>
  <si>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</si>
  <si>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</si>
  <si>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</si>
  <si>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Ingen anlægsprojekter</t>
  </si>
  <si>
    <t>Afgift for ledningsført vand</t>
  </si>
  <si>
    <t>Afgift til Forsyningssekretariatet</t>
  </si>
  <si>
    <t>Køb af ydelser og produkter fra andre vandselskaber reguleret af vandsektorloven</t>
  </si>
  <si>
    <t>Ejendomsskat</t>
  </si>
  <si>
    <t>Øvrige afgifter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</si>
  <si>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</si>
  <si>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</si>
  <si>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</si>
  <si>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</si>
  <si>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</si>
  <si>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</si>
  <si>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</si>
  <si>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 af forsyningsområdet</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</si>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</sst>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3" fontId="0" fillId="0" borderId="0" xfId="0" applyNumberFormat="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16" fillId="0" borderId="1" xfId="0" applyFont="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8" t="s">
        <v>194</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9" t="s">
        <v>86</v>
      </c>
      <c r="E18" s="100"/>
      <c r="F18" s="100"/>
      <c r="G18" s="101"/>
      <c r="H18" s="1"/>
      <c r="I18" s="1"/>
    </row>
    <row r="19" spans="1:9" x14ac:dyDescent="0.25">
      <c r="A19" s="1"/>
      <c r="B19" s="1"/>
      <c r="C19" s="6" t="s">
        <v>95</v>
      </c>
      <c r="D19" s="99" t="s">
        <v>87</v>
      </c>
      <c r="E19" s="100"/>
      <c r="F19" s="100"/>
      <c r="G19" s="101"/>
      <c r="H19" s="1"/>
      <c r="I19" s="1"/>
    </row>
    <row r="20" spans="1:9" x14ac:dyDescent="0.25">
      <c r="A20" s="1"/>
      <c r="B20" s="1"/>
      <c r="C20" s="6" t="s">
        <v>7</v>
      </c>
      <c r="D20" s="99" t="s">
        <v>9</v>
      </c>
      <c r="E20" s="100"/>
      <c r="F20" s="100"/>
      <c r="G20" s="101"/>
      <c r="H20" s="1"/>
      <c r="I20" s="1"/>
    </row>
    <row r="21" spans="1:9" x14ac:dyDescent="0.25">
      <c r="A21" s="1"/>
      <c r="B21" s="1"/>
      <c r="C21" s="6" t="s">
        <v>96</v>
      </c>
      <c r="D21" s="105" t="s">
        <v>11</v>
      </c>
      <c r="E21" s="106"/>
      <c r="F21" s="106"/>
      <c r="G21" s="107"/>
      <c r="H21" s="1"/>
      <c r="I21" s="1"/>
    </row>
    <row r="22" spans="1:9" x14ac:dyDescent="0.25">
      <c r="A22" s="1"/>
      <c r="B22" s="1"/>
      <c r="C22" s="6" t="s">
        <v>78</v>
      </c>
      <c r="D22" s="94" t="s">
        <v>164</v>
      </c>
      <c r="E22" s="95"/>
      <c r="F22" s="95"/>
      <c r="G22" s="96"/>
      <c r="H22" s="1"/>
      <c r="I22" s="1"/>
    </row>
    <row r="23" spans="1:9" x14ac:dyDescent="0.25">
      <c r="A23" s="1"/>
      <c r="B23" s="1"/>
      <c r="C23" s="6" t="s">
        <v>8</v>
      </c>
      <c r="D23" s="94" t="s">
        <v>219</v>
      </c>
      <c r="E23" s="95"/>
      <c r="F23" s="95"/>
      <c r="G23" s="96"/>
      <c r="H23" s="1"/>
      <c r="I23" s="1"/>
    </row>
    <row r="24" spans="1:9" x14ac:dyDescent="0.25">
      <c r="A24" s="1"/>
      <c r="B24" s="1"/>
      <c r="C24" s="6" t="s">
        <v>215</v>
      </c>
      <c r="D24" s="94" t="s">
        <v>205</v>
      </c>
      <c r="E24" s="95"/>
      <c r="F24" s="95"/>
      <c r="G24" s="96"/>
      <c r="H24" s="1"/>
      <c r="I24" s="1"/>
    </row>
    <row r="25" spans="1:9" x14ac:dyDescent="0.25">
      <c r="A25" s="1"/>
      <c r="B25" s="1"/>
      <c r="C25" s="6" t="s">
        <v>216</v>
      </c>
      <c r="D25" s="94" t="s">
        <v>79</v>
      </c>
      <c r="E25" s="95"/>
      <c r="F25" s="95"/>
      <c r="G25" s="96"/>
      <c r="H25" s="1"/>
      <c r="I25" s="1"/>
    </row>
    <row r="26" spans="1:9" x14ac:dyDescent="0.25">
      <c r="A26" s="1"/>
      <c r="B26" s="1"/>
      <c r="C26" s="6" t="s">
        <v>217</v>
      </c>
      <c r="D26" s="94" t="s">
        <v>80</v>
      </c>
      <c r="E26" s="95"/>
      <c r="F26" s="95"/>
      <c r="G26" s="96"/>
      <c r="H26" s="1"/>
      <c r="I26" s="1"/>
    </row>
    <row r="27" spans="1:9" x14ac:dyDescent="0.25">
      <c r="A27" s="1"/>
      <c r="B27" s="1"/>
      <c r="C27" s="6" t="s">
        <v>97</v>
      </c>
      <c r="D27" s="94" t="s">
        <v>111</v>
      </c>
      <c r="E27" s="95"/>
      <c r="F27" s="95"/>
      <c r="G27" s="96"/>
      <c r="H27" s="1"/>
      <c r="I27" s="1"/>
    </row>
    <row r="28" spans="1:9" x14ac:dyDescent="0.25">
      <c r="A28" s="1"/>
      <c r="B28" s="1"/>
      <c r="C28" s="6" t="s">
        <v>91</v>
      </c>
      <c r="D28" s="94" t="s">
        <v>34</v>
      </c>
      <c r="E28" s="95"/>
      <c r="F28" s="95"/>
      <c r="G28" s="96"/>
      <c r="H28" s="1"/>
      <c r="I28" s="1"/>
    </row>
    <row r="29" spans="1:9" x14ac:dyDescent="0.25">
      <c r="A29" s="1"/>
      <c r="B29" s="1"/>
      <c r="C29" s="6" t="s">
        <v>218</v>
      </c>
      <c r="D29" s="102" t="s">
        <v>92</v>
      </c>
      <c r="E29" s="103"/>
      <c r="F29" s="103"/>
      <c r="G29" s="10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EYG8n12jRL2y4jMtIH3TAly9Ma8j8mO98Gei18M/f8NeDjNsJOj925ZrBpFmYRBXdwxJssshcFgbe2J44lx0og==" saltValue="rqVyXtUoQEwlMRsMDmDCr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100</v>
      </c>
      <c r="C3" s="108"/>
      <c r="D3" s="108"/>
      <c r="E3" s="1"/>
      <c r="F3" s="1"/>
    </row>
    <row r="4" spans="1:6" ht="15" customHeight="1" x14ac:dyDescent="0.25">
      <c r="A4" s="1"/>
      <c r="B4" s="108"/>
      <c r="C4" s="108"/>
      <c r="D4" s="10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181</v>
      </c>
      <c r="C8" s="128"/>
      <c r="D8" s="129"/>
      <c r="E8" s="1"/>
      <c r="F8" s="1"/>
    </row>
    <row r="9" spans="1:6" ht="15" customHeight="1" x14ac:dyDescent="0.25">
      <c r="A9" s="1"/>
      <c r="B9" s="33" t="s">
        <v>30</v>
      </c>
      <c r="C9" s="11" t="s">
        <v>212</v>
      </c>
      <c r="D9" s="11"/>
      <c r="E9" s="1"/>
      <c r="F9" s="1"/>
    </row>
    <row r="10" spans="1:6" x14ac:dyDescent="0.25">
      <c r="A10" s="1"/>
      <c r="B10" s="81" t="s">
        <v>239</v>
      </c>
      <c r="C10" s="9">
        <v>7889506</v>
      </c>
      <c r="D10" s="14" t="s">
        <v>3</v>
      </c>
      <c r="E10" s="1"/>
      <c r="F10" s="1"/>
    </row>
    <row r="11" spans="1:6" x14ac:dyDescent="0.25">
      <c r="A11" s="1"/>
      <c r="B11" s="81" t="s">
        <v>240</v>
      </c>
      <c r="C11" s="9">
        <v>83069</v>
      </c>
      <c r="D11" s="14" t="s">
        <v>3</v>
      </c>
      <c r="E11" s="1"/>
      <c r="F11" s="1"/>
    </row>
    <row r="12" spans="1:6" x14ac:dyDescent="0.25">
      <c r="A12" s="1"/>
      <c r="B12" s="81" t="s">
        <v>241</v>
      </c>
      <c r="C12" s="9">
        <v>7071</v>
      </c>
      <c r="D12" s="14" t="s">
        <v>3</v>
      </c>
      <c r="E12" s="1"/>
      <c r="F12" s="1"/>
    </row>
    <row r="13" spans="1:6" x14ac:dyDescent="0.25">
      <c r="A13" s="1"/>
      <c r="B13" s="81" t="s">
        <v>242</v>
      </c>
      <c r="C13" s="9">
        <v>64349</v>
      </c>
      <c r="D13" s="14" t="s">
        <v>3</v>
      </c>
      <c r="E13" s="1"/>
      <c r="F13" s="1"/>
    </row>
    <row r="14" spans="1:6" x14ac:dyDescent="0.25">
      <c r="A14" s="1"/>
      <c r="B14" s="81" t="s">
        <v>243</v>
      </c>
      <c r="C14" s="9">
        <v>954983</v>
      </c>
      <c r="D14" s="14" t="s">
        <v>3</v>
      </c>
      <c r="E14" s="1"/>
      <c r="F14" s="1"/>
    </row>
    <row r="15" spans="1:6" x14ac:dyDescent="0.25">
      <c r="A15" s="1"/>
      <c r="B15" s="69" t="s">
        <v>182</v>
      </c>
      <c r="C15" s="12">
        <f>SUM(C10:C14)</f>
        <v>8998978</v>
      </c>
      <c r="D15" s="13" t="s">
        <v>3</v>
      </c>
      <c r="E15" s="1"/>
      <c r="F15" s="1"/>
    </row>
    <row r="16" spans="1:6" x14ac:dyDescent="0.25">
      <c r="A16" s="1"/>
      <c r="B16" s="69" t="s">
        <v>183</v>
      </c>
      <c r="C16" s="12">
        <f>C15*(1+'Fane 13. Nøgletal'!C15)^2</f>
        <v>9651110.1783580817</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sheetData>
  <sheetProtection algorithmName="SHA-512" hashValue="Qykkgz81IVJ2wSiZ7rcTSrKH3+j6NEiP2gj+WLriRhfYzXWkqGkKiBY8FqVIdKOVailEh77oXfik9aWZqxqByQ==" saltValue="5hOG7hdnybS5ouQ7wA7Lr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J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9" width="9" style="2"/>
    <col min="10" max="10" width="9.85546875" style="2" bestFit="1" customWidth="1"/>
    <col min="11"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0" t="s">
        <v>184</v>
      </c>
      <c r="C3" s="130"/>
      <c r="D3" s="130"/>
      <c r="E3" s="130"/>
      <c r="F3" s="130"/>
      <c r="G3" s="1"/>
    </row>
    <row r="4" spans="1:7" ht="15" customHeight="1" x14ac:dyDescent="0.25">
      <c r="A4" s="1"/>
      <c r="B4" s="130"/>
      <c r="C4" s="130"/>
      <c r="D4" s="130"/>
      <c r="E4" s="130"/>
      <c r="F4" s="130"/>
      <c r="G4" s="1"/>
    </row>
    <row r="5" spans="1:7" ht="15" customHeight="1" x14ac:dyDescent="0.25">
      <c r="A5" s="1"/>
      <c r="B5" s="76"/>
      <c r="C5" s="76"/>
      <c r="D5" s="76"/>
      <c r="E5" s="76"/>
      <c r="F5" s="76"/>
      <c r="G5" s="1"/>
    </row>
    <row r="6" spans="1:7" ht="15" customHeight="1" x14ac:dyDescent="0.25">
      <c r="A6" s="1"/>
      <c r="B6" s="76"/>
      <c r="C6" s="76"/>
      <c r="D6" s="76"/>
      <c r="E6" s="76"/>
      <c r="F6" s="76"/>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4" t="s">
        <v>156</v>
      </c>
      <c r="C9" s="135"/>
      <c r="D9" s="136"/>
      <c r="E9" s="9">
        <v>-1724579</v>
      </c>
      <c r="F9" s="14" t="s">
        <v>3</v>
      </c>
      <c r="G9" s="1"/>
    </row>
    <row r="10" spans="1:7" x14ac:dyDescent="0.25">
      <c r="A10" s="1"/>
      <c r="B10" s="149" t="s">
        <v>244</v>
      </c>
      <c r="C10" s="150"/>
      <c r="D10" s="151"/>
      <c r="E10" s="9">
        <v>-583489.95259366743</v>
      </c>
      <c r="F10" s="54" t="s">
        <v>3</v>
      </c>
      <c r="G10" s="1"/>
    </row>
    <row r="11" spans="1:7" x14ac:dyDescent="0.25">
      <c r="A11" s="1"/>
      <c r="B11" s="134" t="s">
        <v>185</v>
      </c>
      <c r="C11" s="135"/>
      <c r="D11" s="136"/>
      <c r="E11" s="9">
        <v>-618796.8842928037</v>
      </c>
      <c r="F11" s="14" t="s">
        <v>3</v>
      </c>
      <c r="G11" s="1"/>
    </row>
    <row r="12" spans="1:7" x14ac:dyDescent="0.25">
      <c r="A12" s="1"/>
      <c r="B12" s="69"/>
      <c r="C12" s="70"/>
      <c r="D12" s="70"/>
      <c r="E12" s="70"/>
      <c r="F12" s="19"/>
      <c r="G12" s="1"/>
    </row>
    <row r="13" spans="1:7" ht="64.900000000000006" customHeight="1" x14ac:dyDescent="0.25">
      <c r="A13" s="1"/>
      <c r="B13" s="110" t="s">
        <v>252</v>
      </c>
      <c r="C13" s="111"/>
      <c r="D13" s="111"/>
      <c r="E13" s="111"/>
      <c r="F13" s="112"/>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4" t="s">
        <v>245</v>
      </c>
      <c r="C16" s="135"/>
      <c r="D16" s="136"/>
      <c r="E16" s="9">
        <f>-154699.221073201*2</f>
        <v>-309398.44214640203</v>
      </c>
      <c r="F16" s="14" t="s">
        <v>3</v>
      </c>
      <c r="G16" s="1"/>
    </row>
    <row r="17" spans="1:10" x14ac:dyDescent="0.25">
      <c r="A17" s="1"/>
      <c r="B17" s="134" t="s">
        <v>246</v>
      </c>
      <c r="C17" s="135"/>
      <c r="D17" s="136"/>
      <c r="E17" s="9">
        <f>-154699.221073201*2</f>
        <v>-309398.44214640203</v>
      </c>
      <c r="F17" s="14" t="s">
        <v>3</v>
      </c>
      <c r="G17" s="1"/>
      <c r="J17" s="58"/>
    </row>
    <row r="18" spans="1:10" x14ac:dyDescent="0.25">
      <c r="A18" s="1"/>
      <c r="B18" s="69"/>
      <c r="C18" s="70"/>
      <c r="D18" s="70"/>
      <c r="E18" s="70"/>
      <c r="F18" s="19"/>
      <c r="G18" s="1"/>
    </row>
    <row r="19" spans="1:10" ht="31.5" customHeight="1" x14ac:dyDescent="0.25">
      <c r="A19" s="1"/>
      <c r="B19" s="110" t="s">
        <v>158</v>
      </c>
      <c r="C19" s="111"/>
      <c r="D19" s="111"/>
      <c r="E19" s="111"/>
      <c r="F19" s="112"/>
      <c r="G19" s="1"/>
    </row>
    <row r="20" spans="1:10" ht="28.5" customHeight="1" x14ac:dyDescent="0.25">
      <c r="A20" s="1"/>
      <c r="B20" s="1"/>
      <c r="C20" s="1"/>
      <c r="D20" s="1"/>
      <c r="E20" s="1"/>
      <c r="F20" s="1"/>
      <c r="G20" s="1"/>
    </row>
    <row r="21" spans="1:10" ht="28.5" customHeight="1" x14ac:dyDescent="0.25">
      <c r="A21" s="1"/>
      <c r="B21" s="73" t="s">
        <v>186</v>
      </c>
      <c r="C21" s="74"/>
      <c r="D21" s="74"/>
      <c r="E21" s="74"/>
      <c r="F21" s="75"/>
      <c r="G21" s="1"/>
    </row>
    <row r="22" spans="1:10" x14ac:dyDescent="0.25">
      <c r="A22" s="1"/>
      <c r="B22" s="78" t="s">
        <v>247</v>
      </c>
      <c r="C22" s="79"/>
      <c r="D22" s="80"/>
      <c r="E22" s="9">
        <v>19110725.796323899</v>
      </c>
      <c r="F22" s="14" t="s">
        <v>3</v>
      </c>
      <c r="G22" s="1"/>
    </row>
    <row r="23" spans="1:10" x14ac:dyDescent="0.25">
      <c r="A23" s="1"/>
      <c r="B23" s="78" t="s">
        <v>187</v>
      </c>
      <c r="C23" s="79"/>
      <c r="D23" s="80"/>
      <c r="E23" s="9">
        <v>21224459</v>
      </c>
      <c r="F23" s="14" t="s">
        <v>3</v>
      </c>
      <c r="G23" s="1"/>
    </row>
    <row r="24" spans="1:10" x14ac:dyDescent="0.25">
      <c r="A24" s="1"/>
      <c r="B24" s="78" t="s">
        <v>31</v>
      </c>
      <c r="C24" s="79"/>
      <c r="D24" s="80"/>
      <c r="E24" s="9">
        <v>0</v>
      </c>
      <c r="F24" s="14" t="s">
        <v>3</v>
      </c>
      <c r="G24" s="1"/>
    </row>
    <row r="25" spans="1:10" x14ac:dyDescent="0.25">
      <c r="A25" s="1"/>
      <c r="B25" s="51" t="s">
        <v>253</v>
      </c>
      <c r="C25" s="52"/>
      <c r="D25" s="53"/>
      <c r="E25" s="57">
        <f>E22-(E23-E24)</f>
        <v>-2113733.2036761008</v>
      </c>
      <c r="F25" s="17" t="s">
        <v>3</v>
      </c>
      <c r="G25" s="1"/>
    </row>
    <row r="26" spans="1:10" x14ac:dyDescent="0.25">
      <c r="A26" s="1"/>
      <c r="B26" s="69"/>
      <c r="C26" s="70"/>
      <c r="D26" s="70"/>
      <c r="E26" s="70"/>
      <c r="F26" s="19"/>
      <c r="G26" s="1"/>
    </row>
    <row r="27" spans="1:10" x14ac:dyDescent="0.25">
      <c r="A27" s="1"/>
      <c r="B27" s="1"/>
      <c r="C27" s="1"/>
      <c r="D27" s="1"/>
      <c r="E27" s="1"/>
      <c r="F27" s="1"/>
      <c r="G27" s="1"/>
    </row>
    <row r="28" spans="1:10" ht="28.5" customHeight="1" x14ac:dyDescent="0.25">
      <c r="A28" s="1"/>
      <c r="B28" s="127" t="s">
        <v>248</v>
      </c>
      <c r="C28" s="128"/>
      <c r="D28" s="128"/>
      <c r="E28" s="128"/>
      <c r="F28" s="129"/>
      <c r="G28" s="1"/>
    </row>
    <row r="29" spans="1:10" x14ac:dyDescent="0.25">
      <c r="A29" s="1"/>
      <c r="B29" s="152" t="s">
        <v>128</v>
      </c>
      <c r="C29" s="153"/>
      <c r="D29" s="15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-2732530.087968905</v>
      </c>
      <c r="F29" s="14" t="s">
        <v>3</v>
      </c>
      <c r="G29" s="1"/>
    </row>
    <row r="30" spans="1:10" x14ac:dyDescent="0.25">
      <c r="A30" s="1"/>
      <c r="B30" s="152" t="s">
        <v>93</v>
      </c>
      <c r="C30" s="153"/>
      <c r="D30" s="154"/>
      <c r="E30" s="9">
        <v>2</v>
      </c>
      <c r="F30" s="14" t="s">
        <v>18</v>
      </c>
      <c r="G30" s="1"/>
    </row>
    <row r="31" spans="1:10" x14ac:dyDescent="0.25">
      <c r="A31" s="1"/>
      <c r="B31" s="145" t="s">
        <v>127</v>
      </c>
      <c r="C31" s="145"/>
      <c r="D31" s="145"/>
      <c r="E31" s="10">
        <f>E29/E30</f>
        <v>-1366265.0439844525</v>
      </c>
      <c r="F31" s="17" t="s">
        <v>3</v>
      </c>
      <c r="G31" s="1"/>
    </row>
    <row r="32" spans="1:10" x14ac:dyDescent="0.25">
      <c r="A32" s="1"/>
      <c r="B32" s="146"/>
      <c r="C32" s="147"/>
      <c r="D32" s="147"/>
      <c r="E32" s="147"/>
      <c r="F32" s="14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RuTp6FK4Q4H+INDus1A6y4YEKmMg2Wd+eMfY5giwa79XtK1AkmzeP5xGIVxwZUl9e0QVgDpQpnYRKSfFyClQew==" saltValue="QFrbzaR3ZPHPFadF+g3k0Q=="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8" t="s">
        <v>226</v>
      </c>
      <c r="C3" s="108"/>
      <c r="D3" s="108"/>
      <c r="E3" s="108"/>
      <c r="F3" s="108"/>
      <c r="G3" s="108"/>
      <c r="H3" s="108"/>
      <c r="I3" s="1"/>
    </row>
    <row r="4" spans="1:9" ht="15" customHeight="1" x14ac:dyDescent="0.25">
      <c r="A4" s="1"/>
      <c r="B4" s="108"/>
      <c r="C4" s="108"/>
      <c r="D4" s="108"/>
      <c r="E4" s="108"/>
      <c r="F4" s="108"/>
      <c r="G4" s="108"/>
      <c r="H4" s="10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19" t="s">
        <v>228</v>
      </c>
      <c r="C9" s="120"/>
      <c r="D9" s="120"/>
      <c r="E9" s="120"/>
      <c r="F9" s="120"/>
      <c r="G9" s="120"/>
      <c r="H9" s="121"/>
      <c r="I9" s="1"/>
    </row>
    <row r="10" spans="1:9" x14ac:dyDescent="0.25">
      <c r="A10" s="1"/>
      <c r="B10" s="155" t="s">
        <v>229</v>
      </c>
      <c r="C10" s="156"/>
      <c r="D10" s="156"/>
      <c r="E10" s="156"/>
      <c r="F10" s="157"/>
      <c r="G10" s="56">
        <v>0</v>
      </c>
      <c r="H10" s="9" t="s">
        <v>3</v>
      </c>
      <c r="I10" s="1"/>
    </row>
    <row r="11" spans="1:9" x14ac:dyDescent="0.25">
      <c r="A11" s="1"/>
      <c r="B11" s="155" t="s">
        <v>230</v>
      </c>
      <c r="C11" s="156"/>
      <c r="D11" s="156"/>
      <c r="E11" s="156"/>
      <c r="F11" s="157"/>
      <c r="G11" s="56">
        <v>0</v>
      </c>
      <c r="H11" s="9" t="s">
        <v>3</v>
      </c>
      <c r="I11" s="1"/>
    </row>
    <row r="12" spans="1:9" x14ac:dyDescent="0.25">
      <c r="A12" s="1"/>
      <c r="B12" s="155" t="s">
        <v>231</v>
      </c>
      <c r="C12" s="156"/>
      <c r="D12" s="156"/>
      <c r="E12" s="156"/>
      <c r="F12" s="157"/>
      <c r="G12" s="9">
        <v>-2480833.3333333302</v>
      </c>
      <c r="H12" s="9" t="s">
        <v>3</v>
      </c>
      <c r="I12" s="1"/>
    </row>
    <row r="13" spans="1:9" x14ac:dyDescent="0.25">
      <c r="A13" s="1"/>
      <c r="B13" s="155" t="s">
        <v>232</v>
      </c>
      <c r="C13" s="156"/>
      <c r="D13" s="156"/>
      <c r="E13" s="156"/>
      <c r="F13" s="157"/>
      <c r="G13" s="9">
        <v>-2480833.3333333302</v>
      </c>
      <c r="H13" s="9" t="s">
        <v>3</v>
      </c>
      <c r="I13" s="1"/>
    </row>
    <row r="14" spans="1:9" x14ac:dyDescent="0.25">
      <c r="A14" s="1"/>
      <c r="B14" s="155" t="s">
        <v>233</v>
      </c>
      <c r="C14" s="156"/>
      <c r="D14" s="156"/>
      <c r="E14" s="156"/>
      <c r="F14" s="157"/>
      <c r="G14" s="9">
        <v>-2480833.3333333302</v>
      </c>
      <c r="H14" s="9" t="s">
        <v>3</v>
      </c>
      <c r="I14" s="1"/>
    </row>
    <row r="15" spans="1:9" x14ac:dyDescent="0.25">
      <c r="A15" s="1"/>
      <c r="B15" s="155" t="s">
        <v>234</v>
      </c>
      <c r="C15" s="156"/>
      <c r="D15" s="156"/>
      <c r="E15" s="156"/>
      <c r="F15" s="157"/>
      <c r="G15" s="9">
        <v>-2480833.3333333302</v>
      </c>
      <c r="H15" s="9" t="s">
        <v>3</v>
      </c>
      <c r="I15" s="1"/>
    </row>
    <row r="16" spans="1:9" x14ac:dyDescent="0.25">
      <c r="A16" s="1"/>
      <c r="B16" s="155" t="s">
        <v>235</v>
      </c>
      <c r="C16" s="156"/>
      <c r="D16" s="156"/>
      <c r="E16" s="156"/>
      <c r="F16" s="157"/>
      <c r="G16" s="9">
        <v>-2480833.3333333302</v>
      </c>
      <c r="H16" s="9" t="s">
        <v>3</v>
      </c>
      <c r="I16" s="1"/>
    </row>
    <row r="17" spans="1:9" x14ac:dyDescent="0.25">
      <c r="A17" s="1"/>
      <c r="B17" s="155" t="s">
        <v>236</v>
      </c>
      <c r="C17" s="156"/>
      <c r="D17" s="156"/>
      <c r="E17" s="156"/>
      <c r="F17" s="157"/>
      <c r="G17" s="9">
        <v>-2480833.3333333302</v>
      </c>
      <c r="H17" s="9" t="s">
        <v>3</v>
      </c>
      <c r="I17" s="1"/>
    </row>
    <row r="18" spans="1:9" x14ac:dyDescent="0.25">
      <c r="A18" s="1"/>
      <c r="B18" s="127" t="s">
        <v>237</v>
      </c>
      <c r="C18" s="128"/>
      <c r="D18" s="128"/>
      <c r="E18" s="128"/>
      <c r="F18" s="129"/>
      <c r="G18" s="12">
        <f>SUM(G10:G17)</f>
        <v>-14884999.999999981</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v8D/fS0iGLwBDGa9gg6jKIXreCJZs0Lv1Mj6sxgeuvFaVYkccI1AfXOWjbsT+xG5fqyhi+wwYIsFpv6p/wzJPA==" saltValue="47n9EEYQZHvQPVh7cAqb4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4.7109375" style="2" customWidth="1"/>
    <col min="6" max="6" width="10" style="2" customWidth="1"/>
    <col min="7" max="7" width="2.7109375" style="2" customWidth="1"/>
    <col min="8" max="8" width="8.5703125"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8" t="s">
        <v>220</v>
      </c>
      <c r="C3" s="108"/>
      <c r="D3" s="108"/>
      <c r="E3" s="108"/>
      <c r="F3" s="108"/>
      <c r="G3" s="108"/>
      <c r="H3" s="108"/>
      <c r="I3" s="108"/>
      <c r="J3" s="108"/>
      <c r="K3" s="108"/>
      <c r="L3" s="1"/>
    </row>
    <row r="4" spans="1:12" ht="15" customHeight="1" x14ac:dyDescent="0.25">
      <c r="A4" s="1"/>
      <c r="B4" s="108"/>
      <c r="C4" s="108"/>
      <c r="D4" s="108"/>
      <c r="E4" s="108"/>
      <c r="F4" s="108"/>
      <c r="G4" s="108"/>
      <c r="H4" s="108"/>
      <c r="I4" s="108"/>
      <c r="J4" s="108"/>
      <c r="K4" s="10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18" t="s">
        <v>0</v>
      </c>
      <c r="C9" s="18" t="s">
        <v>1</v>
      </c>
      <c r="D9" s="158" t="s">
        <v>213</v>
      </c>
      <c r="E9" s="159"/>
      <c r="F9" s="158" t="s">
        <v>2</v>
      </c>
      <c r="G9" s="159"/>
      <c r="H9" s="158" t="s">
        <v>214</v>
      </c>
      <c r="I9" s="159"/>
      <c r="J9" s="158" t="s">
        <v>28</v>
      </c>
      <c r="K9" s="159"/>
      <c r="L9" s="1"/>
    </row>
    <row r="10" spans="1:12" x14ac:dyDescent="0.25">
      <c r="A10" s="1"/>
      <c r="B10" s="65" t="s">
        <v>238</v>
      </c>
      <c r="C10" s="29">
        <v>0</v>
      </c>
      <c r="D10" s="9">
        <v>0</v>
      </c>
      <c r="E10" s="14" t="s">
        <v>3</v>
      </c>
      <c r="F10" s="39">
        <f>IFERROR(D10/C10,0)</f>
        <v>0</v>
      </c>
      <c r="G10" s="14" t="s">
        <v>3</v>
      </c>
      <c r="H10" s="9">
        <v>0</v>
      </c>
      <c r="I10" s="14" t="s">
        <v>3</v>
      </c>
      <c r="J10" s="9">
        <v>0</v>
      </c>
      <c r="K10" s="14" t="s">
        <v>3</v>
      </c>
      <c r="L10" s="1"/>
    </row>
    <row r="11" spans="1:12" x14ac:dyDescent="0.25">
      <c r="A11" s="1"/>
      <c r="B11" s="69" t="s">
        <v>193</v>
      </c>
      <c r="C11" s="70"/>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55"/>
      <c r="L49" s="55"/>
    </row>
    <row r="50" spans="1:12" x14ac:dyDescent="0.25">
      <c r="A50" s="55"/>
      <c r="L50" s="55"/>
    </row>
    <row r="51" spans="1:12" x14ac:dyDescent="0.25">
      <c r="A51" s="55"/>
      <c r="L51" s="55"/>
    </row>
    <row r="52" spans="1:12" x14ac:dyDescent="0.25">
      <c r="A52" s="55"/>
      <c r="L52" s="55"/>
    </row>
  </sheetData>
  <sheetProtection algorithmName="SHA-512" hashValue="AK1z+TfjIDmO6CKU4SB91g6K69Bv51gVwn7xzs4qACAOKFjqS2oVR7uCXSYsoSU8HsORvLkiGLMjjduLwF8Cvw==" saltValue="Lj1YYvH3Hzb6RnVKUtz0d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221</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9" t="s">
        <v>75</v>
      </c>
      <c r="C8" s="70"/>
      <c r="D8" s="70"/>
      <c r="E8" s="70"/>
      <c r="F8" s="19"/>
      <c r="G8" s="1"/>
    </row>
    <row r="9" spans="1:7" ht="17.25" customHeight="1" x14ac:dyDescent="0.25">
      <c r="A9" s="1"/>
      <c r="B9" s="67" t="s">
        <v>15</v>
      </c>
      <c r="C9" s="67" t="s">
        <v>10</v>
      </c>
      <c r="D9" s="68"/>
      <c r="E9" s="67" t="s">
        <v>29</v>
      </c>
      <c r="F9" s="7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251</v>
      </c>
      <c r="C11" s="21">
        <v>804</v>
      </c>
      <c r="D11" s="14" t="s">
        <v>3</v>
      </c>
      <c r="E11" s="9">
        <v>17982</v>
      </c>
      <c r="F11" s="14" t="s">
        <v>3</v>
      </c>
      <c r="G11" s="1"/>
    </row>
    <row r="12" spans="1:7" x14ac:dyDescent="0.25">
      <c r="A12" s="1"/>
      <c r="B12" s="69" t="s">
        <v>148</v>
      </c>
      <c r="C12" s="12">
        <f>SUM(C10:C11)</f>
        <v>804</v>
      </c>
      <c r="D12" s="13" t="s">
        <v>3</v>
      </c>
      <c r="E12" s="12">
        <f>SUM(E10:E11)</f>
        <v>17982</v>
      </c>
      <c r="F12" s="13" t="s">
        <v>3</v>
      </c>
      <c r="G12" s="1"/>
    </row>
    <row r="13" spans="1:7" x14ac:dyDescent="0.25">
      <c r="A13" s="1"/>
      <c r="B13" s="69" t="s">
        <v>188</v>
      </c>
      <c r="C13" s="12">
        <f>C12*(1+'Fane 13. Nøgletal'!C15)</f>
        <v>832.62240000000008</v>
      </c>
      <c r="D13" s="13" t="s">
        <v>3</v>
      </c>
      <c r="E13" s="12">
        <f>E12*(1+'Fane 13. Nøgletal'!C15)</f>
        <v>18622.159200000002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55"/>
      <c r="B46" s="55"/>
      <c r="C46" s="55"/>
      <c r="D46" s="55"/>
      <c r="E46" s="55"/>
      <c r="F46" s="55"/>
      <c r="G46" s="55"/>
    </row>
    <row r="47" spans="1:7" x14ac:dyDescent="0.25">
      <c r="A47" s="55"/>
      <c r="B47" s="55"/>
      <c r="C47" s="55"/>
      <c r="D47" s="55"/>
      <c r="E47" s="55"/>
      <c r="F47" s="55"/>
      <c r="G47" s="55"/>
    </row>
    <row r="48" spans="1:7" x14ac:dyDescent="0.25">
      <c r="A48" s="55"/>
      <c r="B48" s="55"/>
      <c r="C48" s="55"/>
      <c r="D48" s="55"/>
      <c r="E48" s="55"/>
      <c r="F48" s="55"/>
      <c r="G48" s="55"/>
    </row>
    <row r="49" spans="1:7" x14ac:dyDescent="0.25">
      <c r="A49" s="55"/>
      <c r="B49" s="55"/>
      <c r="C49" s="55"/>
      <c r="D49" s="55"/>
      <c r="E49" s="55"/>
      <c r="F49" s="55"/>
      <c r="G49" s="55"/>
    </row>
  </sheetData>
  <sheetProtection algorithmName="SHA-512" hashValue="PLt1nj5JE3cKaQSU3YKJuI+lpjZzXxpwqtwlCk2W5Kx/2KeYhgxSRDk/E3bfVTpCAthr+dyhpLbH2NBmzZCi/A==" saltValue="Kl7VUi1oomoy3dQsDPHvX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222</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67" t="s">
        <v>15</v>
      </c>
      <c r="C10" s="67" t="s">
        <v>10</v>
      </c>
      <c r="D10" s="68"/>
      <c r="E10" s="67" t="s">
        <v>29</v>
      </c>
      <c r="F10" s="72"/>
      <c r="G10" s="1"/>
    </row>
    <row r="11" spans="1:7" x14ac:dyDescent="0.25">
      <c r="A11" s="1"/>
      <c r="B11" s="22" t="s">
        <v>254</v>
      </c>
      <c r="C11" s="21">
        <v>0</v>
      </c>
      <c r="D11" s="14" t="s">
        <v>3</v>
      </c>
      <c r="E11" s="9">
        <v>0</v>
      </c>
      <c r="F11" s="14" t="s">
        <v>3</v>
      </c>
      <c r="G11" s="1"/>
    </row>
    <row r="12" spans="1:7" x14ac:dyDescent="0.25">
      <c r="A12" s="1"/>
      <c r="B12" s="69" t="s">
        <v>195</v>
      </c>
      <c r="C12" s="12">
        <f>SUM(C11:C11)</f>
        <v>0</v>
      </c>
      <c r="D12" s="13" t="s">
        <v>3</v>
      </c>
      <c r="E12" s="12">
        <f>SUM(E11:E11)</f>
        <v>0</v>
      </c>
      <c r="F12" s="13" t="s">
        <v>3</v>
      </c>
      <c r="G12" s="1"/>
    </row>
    <row r="13" spans="1:7" x14ac:dyDescent="0.25">
      <c r="A13" s="1"/>
      <c r="B13" s="69"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aeCXMpoTrL444zJKCTP9ae5iBZ7+Prhx15VG0ldTFp9bBaSqvMzzKpfdV4rcFUeXm4yr3obeG7j0ZwC3q657yw==" saltValue="yi9tgkAXuTCuf1qVl5HGM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223</v>
      </c>
      <c r="C3" s="130"/>
      <c r="D3" s="130"/>
      <c r="E3" s="130"/>
      <c r="F3" s="130"/>
      <c r="G3" s="1"/>
    </row>
    <row r="4" spans="1:7" ht="25.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71" t="s">
        <v>113</v>
      </c>
      <c r="C9" s="119" t="s">
        <v>10</v>
      </c>
      <c r="D9" s="121"/>
      <c r="E9" s="119" t="s">
        <v>29</v>
      </c>
      <c r="F9" s="121"/>
      <c r="G9" s="1"/>
    </row>
    <row r="10" spans="1:7" x14ac:dyDescent="0.25">
      <c r="A10" s="1"/>
      <c r="B10" s="22" t="s">
        <v>249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ufCdCdalTLtL4gk+sAP183LF/ce7oH7zIySqyn7i9oLdOwyPH3p+LuyLlhQTh3XzxXl6GLcj9+4pCwAxxInvGw==" saltValue="U0Z+w0dRHzMGLRxuWW9IX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224</v>
      </c>
      <c r="C3" s="130"/>
      <c r="D3" s="130"/>
      <c r="E3" s="130"/>
      <c r="F3" s="130"/>
      <c r="G3" s="1"/>
    </row>
    <row r="4" spans="1:7" ht="25.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ht="26.25" x14ac:dyDescent="0.25">
      <c r="A11" s="1"/>
      <c r="B11" s="71" t="s">
        <v>16</v>
      </c>
      <c r="C11" s="71" t="s">
        <v>10</v>
      </c>
      <c r="D11" s="72"/>
      <c r="E11" s="71" t="s">
        <v>29</v>
      </c>
      <c r="F11" s="72"/>
      <c r="G11" s="1"/>
    </row>
    <row r="12" spans="1:7" x14ac:dyDescent="0.25">
      <c r="A12" s="1"/>
      <c r="B12" s="22" t="s">
        <v>250</v>
      </c>
      <c r="C12" s="9">
        <v>0</v>
      </c>
      <c r="D12" s="14" t="s">
        <v>3</v>
      </c>
      <c r="E12" s="9">
        <v>0</v>
      </c>
      <c r="F12" s="14" t="s">
        <v>3</v>
      </c>
      <c r="G12" s="1"/>
    </row>
    <row r="13" spans="1:7" x14ac:dyDescent="0.25">
      <c r="A13" s="1"/>
      <c r="B13" s="69" t="s">
        <v>196</v>
      </c>
      <c r="C13" s="12">
        <f>SUM(C12:C12)</f>
        <v>0</v>
      </c>
      <c r="D13" s="13" t="s">
        <v>3</v>
      </c>
      <c r="E13" s="12">
        <f>SUM(E12:E12)</f>
        <v>0</v>
      </c>
      <c r="F13" s="13" t="s">
        <v>3</v>
      </c>
      <c r="G13" s="1"/>
    </row>
    <row r="14" spans="1:7" x14ac:dyDescent="0.25">
      <c r="A14" s="1"/>
      <c r="B14" s="69"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wAbg2rDT6L2Dk4QMiisZ2z7VmMZcnA8HzTqDR7ZgdzZiepvvS2cgGdALEfzl5dzhf342AWp6Xnv+NGCtEGDsAA==" saltValue="1zu8Y0/0qux4A0vVOEPNN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30" t="s">
        <v>225</v>
      </c>
      <c r="C3" s="130"/>
      <c r="D3" s="1"/>
    </row>
    <row r="4" spans="1:4" ht="25.5" customHeight="1" x14ac:dyDescent="0.25">
      <c r="A4" s="1"/>
      <c r="B4" s="130"/>
      <c r="C4" s="130"/>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9" t="s">
        <v>13</v>
      </c>
      <c r="C8" s="45"/>
      <c r="D8" s="1"/>
    </row>
    <row r="9" spans="1:4" x14ac:dyDescent="0.25">
      <c r="A9" s="1"/>
      <c r="B9" s="81" t="s">
        <v>101</v>
      </c>
      <c r="C9" s="46">
        <v>1.2699999999999999E-2</v>
      </c>
      <c r="D9" s="1"/>
    </row>
    <row r="10" spans="1:4" x14ac:dyDescent="0.25">
      <c r="A10" s="1"/>
      <c r="B10" s="81" t="s">
        <v>21</v>
      </c>
      <c r="C10" s="46">
        <v>1.7500000000000002E-2</v>
      </c>
      <c r="D10" s="1"/>
    </row>
    <row r="11" spans="1:4" x14ac:dyDescent="0.25">
      <c r="A11" s="1"/>
      <c r="B11" s="81"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7"/>
      <c r="C16" s="129"/>
      <c r="D16" s="1"/>
    </row>
    <row r="17" spans="1:4" x14ac:dyDescent="0.25">
      <c r="A17" s="1"/>
      <c r="B17" s="1"/>
      <c r="C17" s="44"/>
      <c r="D17" s="1"/>
    </row>
    <row r="18" spans="1:4" x14ac:dyDescent="0.25">
      <c r="A18" s="1"/>
      <c r="B18" s="1"/>
      <c r="C18" s="44"/>
      <c r="D18" s="1"/>
    </row>
    <row r="19" spans="1:4" x14ac:dyDescent="0.25">
      <c r="A19" s="1"/>
      <c r="B19" s="69" t="s">
        <v>89</v>
      </c>
      <c r="C19" s="45"/>
      <c r="D19" s="1"/>
    </row>
    <row r="20" spans="1:4" x14ac:dyDescent="0.25">
      <c r="A20" s="1"/>
      <c r="B20" s="81" t="s">
        <v>103</v>
      </c>
      <c r="C20" s="48">
        <v>9.1000000000000004E-3</v>
      </c>
      <c r="D20" s="1"/>
    </row>
    <row r="21" spans="1:4" x14ac:dyDescent="0.25">
      <c r="A21" s="1"/>
      <c r="B21" s="81" t="s">
        <v>104</v>
      </c>
      <c r="C21" s="48">
        <v>1.77E-2</v>
      </c>
      <c r="D21" s="1"/>
    </row>
    <row r="22" spans="1:4" x14ac:dyDescent="0.25">
      <c r="A22" s="1"/>
      <c r="B22" s="81" t="s">
        <v>105</v>
      </c>
      <c r="C22" s="48">
        <v>8.6999999999999994E-3</v>
      </c>
      <c r="D22" s="1"/>
    </row>
    <row r="23" spans="1:4" x14ac:dyDescent="0.25">
      <c r="A23" s="1"/>
      <c r="B23" s="81" t="s">
        <v>106</v>
      </c>
      <c r="C23" s="48">
        <v>2.8399999999999998E-2</v>
      </c>
      <c r="D23" s="1"/>
    </row>
    <row r="24" spans="1:4" x14ac:dyDescent="0.25">
      <c r="A24" s="1"/>
      <c r="B24" s="81" t="s">
        <v>120</v>
      </c>
      <c r="C24" s="48">
        <v>2.75E-2</v>
      </c>
      <c r="D24" s="1"/>
    </row>
    <row r="25" spans="1:4" x14ac:dyDescent="0.25">
      <c r="A25" s="1"/>
      <c r="B25" s="81" t="s">
        <v>151</v>
      </c>
      <c r="C25" s="48">
        <v>1.4800000000000001E-2</v>
      </c>
      <c r="D25" s="1"/>
    </row>
    <row r="26" spans="1:4" x14ac:dyDescent="0.25">
      <c r="A26" s="1"/>
      <c r="B26" s="24" t="s">
        <v>191</v>
      </c>
      <c r="C26" s="48">
        <v>0</v>
      </c>
      <c r="D26" s="1"/>
    </row>
    <row r="27" spans="1:4" x14ac:dyDescent="0.25">
      <c r="A27" s="1"/>
      <c r="B27" s="69"/>
      <c r="C27" s="45"/>
      <c r="D27" s="1"/>
    </row>
    <row r="28" spans="1:4" x14ac:dyDescent="0.25">
      <c r="A28" s="1"/>
      <c r="B28" s="1"/>
      <c r="C28" s="44"/>
      <c r="D28" s="1"/>
    </row>
    <row r="29" spans="1:4" x14ac:dyDescent="0.25">
      <c r="A29" s="1"/>
      <c r="B29" s="1"/>
      <c r="C29" s="44"/>
      <c r="D29" s="1"/>
    </row>
    <row r="30" spans="1:4" x14ac:dyDescent="0.25">
      <c r="A30" s="1"/>
      <c r="B30" s="69" t="s">
        <v>90</v>
      </c>
      <c r="C30" s="45"/>
      <c r="D30" s="1"/>
    </row>
    <row r="31" spans="1:4" x14ac:dyDescent="0.25">
      <c r="A31" s="1"/>
      <c r="B31" s="81" t="s">
        <v>107</v>
      </c>
      <c r="C31" s="46">
        <v>0.02</v>
      </c>
      <c r="D31" s="1"/>
    </row>
    <row r="32" spans="1:4" x14ac:dyDescent="0.25">
      <c r="A32" s="1"/>
      <c r="B32" s="69"/>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9"/>
      <c r="D50" s="55"/>
    </row>
    <row r="51" spans="1:4" x14ac:dyDescent="0.25">
      <c r="A51" s="55"/>
      <c r="B51" s="55"/>
      <c r="C51" s="89"/>
      <c r="D51" s="55"/>
    </row>
    <row r="52" spans="1:4" x14ac:dyDescent="0.25">
      <c r="A52" s="55"/>
      <c r="B52" s="55"/>
      <c r="C52" s="89"/>
      <c r="D52" s="55"/>
    </row>
    <row r="53" spans="1:4" x14ac:dyDescent="0.25">
      <c r="A53" s="55"/>
      <c r="B53" s="55"/>
      <c r="C53" s="89"/>
      <c r="D53" s="55"/>
    </row>
  </sheetData>
  <sheetProtection algorithmName="SHA-512" hashValue="B1wBuYVnzV+7Dc7+gAY92Yq/B2fYDOm2Y752mHEBXpBLl8Ne8ka936Gamkn8kSVKFazpEiqkSptLaqcvgc6baQ==" saltValue="52S4HyzzKdsuGO35OOI4c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8" t="s">
        <v>165</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69" t="s">
        <v>12</v>
      </c>
      <c r="C7" s="70"/>
      <c r="D7" s="19"/>
      <c r="E7" s="1"/>
    </row>
    <row r="8" spans="1:5" x14ac:dyDescent="0.25">
      <c r="A8" s="1"/>
      <c r="B8" s="77" t="s">
        <v>116</v>
      </c>
      <c r="C8" s="7">
        <f>'Fane 3. Omkostninger i ØR2022'!E20</f>
        <v>11217309.200999817</v>
      </c>
      <c r="D8" s="8" t="s">
        <v>3</v>
      </c>
      <c r="E8" s="1"/>
    </row>
    <row r="9" spans="1:5" ht="17.25" customHeight="1" x14ac:dyDescent="0.25">
      <c r="A9" s="1"/>
      <c r="B9" s="23" t="s">
        <v>35</v>
      </c>
      <c r="C9" s="7">
        <f>'Fane 10.1. Varige tillæg'!C13</f>
        <v>832.62240000000008</v>
      </c>
      <c r="D9" s="8" t="s">
        <v>3</v>
      </c>
      <c r="E9" s="1"/>
    </row>
    <row r="10" spans="1:5" ht="17.25" customHeight="1" x14ac:dyDescent="0.25">
      <c r="A10" s="1"/>
      <c r="B10" s="23" t="s">
        <v>36</v>
      </c>
      <c r="C10" s="9">
        <f>'Fane 10.1. Varige tillæg'!E13</f>
        <v>18622.159200000002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400028.79778055346</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-115398.25409354203</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11521394.526286827</v>
      </c>
      <c r="D19" s="11" t="s">
        <v>3</v>
      </c>
      <c r="E19" s="1"/>
    </row>
    <row r="20" spans="1:5" ht="15" customHeight="1" x14ac:dyDescent="0.25">
      <c r="A20" s="1"/>
      <c r="B20" s="69" t="s">
        <v>11</v>
      </c>
      <c r="C20" s="70"/>
      <c r="D20" s="19"/>
      <c r="E20" s="1"/>
    </row>
    <row r="21" spans="1:5" ht="15" customHeight="1" x14ac:dyDescent="0.25">
      <c r="A21" s="1"/>
      <c r="B21" s="71" t="s">
        <v>11</v>
      </c>
      <c r="C21" s="10">
        <f>'Fane 6. Ikke-påvirkelige omk.'!C16</f>
        <v>9651110.1783580817</v>
      </c>
      <c r="D21" s="11" t="s">
        <v>3</v>
      </c>
      <c r="E21" s="1"/>
    </row>
    <row r="22" spans="1:5" ht="15" customHeight="1" x14ac:dyDescent="0.25">
      <c r="A22" s="1"/>
      <c r="B22" s="69" t="s">
        <v>80</v>
      </c>
      <c r="C22" s="70"/>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0"/>
      <c r="D28" s="19"/>
      <c r="E28" s="1"/>
    </row>
    <row r="29" spans="1:5" x14ac:dyDescent="0.25">
      <c r="A29" s="1"/>
      <c r="B29" s="82" t="s">
        <v>129</v>
      </c>
      <c r="C29" s="10">
        <f>'Fane 7. Kontrol af ØR2021'!E31</f>
        <v>-1366265.0439844525</v>
      </c>
      <c r="D29" s="11" t="s">
        <v>3</v>
      </c>
      <c r="E29" s="1"/>
    </row>
    <row r="30" spans="1:5" x14ac:dyDescent="0.25">
      <c r="A30" s="1"/>
      <c r="B30" s="25" t="s">
        <v>153</v>
      </c>
      <c r="C30" s="70"/>
      <c r="D30" s="19"/>
      <c r="E30" s="1"/>
    </row>
    <row r="31" spans="1:5" x14ac:dyDescent="0.25">
      <c r="A31" s="1"/>
      <c r="B31" s="82" t="s">
        <v>154</v>
      </c>
      <c r="C31" s="10">
        <f>'Fane 8. Skattesagen'!G12</f>
        <v>-2480833.3333333302</v>
      </c>
      <c r="D31" s="11" t="s">
        <v>3</v>
      </c>
      <c r="E31" s="1"/>
    </row>
    <row r="32" spans="1:5" x14ac:dyDescent="0.25">
      <c r="A32" s="1"/>
      <c r="B32" s="69" t="s">
        <v>84</v>
      </c>
      <c r="C32" s="36">
        <f>SUM(C19,C21,C27,C29,C31)</f>
        <v>17325406.327327125</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FwOF5MmF6VS++ig28+BIk4EK3Wp31HFPc5LsBxdNY69os2QO7uczTwbnqIk5tRC6eA3LTuQnfeND7FFHzZ2fWQ==" saltValue="QcfPcC6xl6xs2boRxk0sy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8" t="s">
        <v>166</v>
      </c>
      <c r="C3" s="108"/>
      <c r="D3" s="108"/>
      <c r="E3" s="1"/>
    </row>
    <row r="4" spans="1:5" ht="15" customHeight="1" x14ac:dyDescent="0.25">
      <c r="A4" s="1"/>
      <c r="B4" s="108"/>
      <c r="C4" s="108"/>
      <c r="D4" s="108"/>
      <c r="E4" s="1"/>
    </row>
    <row r="5" spans="1:5" x14ac:dyDescent="0.25">
      <c r="A5" s="1"/>
      <c r="B5" s="109"/>
      <c r="C5" s="109"/>
      <c r="D5" s="109"/>
      <c r="E5" s="1"/>
    </row>
    <row r="6" spans="1:5" x14ac:dyDescent="0.25">
      <c r="A6" s="1"/>
      <c r="B6" s="1"/>
      <c r="C6" s="1"/>
      <c r="D6" s="1"/>
      <c r="E6" s="1"/>
    </row>
    <row r="7" spans="1:5" x14ac:dyDescent="0.25">
      <c r="A7" s="1"/>
      <c r="B7" s="69" t="s">
        <v>12</v>
      </c>
      <c r="C7" s="70"/>
      <c r="D7" s="19"/>
      <c r="E7" s="1"/>
    </row>
    <row r="8" spans="1:5" ht="15" customHeight="1" x14ac:dyDescent="0.25">
      <c r="A8" s="1"/>
      <c r="B8" s="77" t="s">
        <v>117</v>
      </c>
      <c r="C8" s="7">
        <f>'Fane 2.1. Økonomisk ramme 2023'!C19</f>
        <v>11521394.526286827</v>
      </c>
      <c r="D8" s="8" t="s">
        <v>3</v>
      </c>
      <c r="E8" s="1"/>
    </row>
    <row r="9" spans="1:5" ht="15" customHeight="1" x14ac:dyDescent="0.25">
      <c r="A9" s="1"/>
      <c r="B9" s="66" t="s">
        <v>17</v>
      </c>
      <c r="C9" s="9">
        <f>SUM(C8:C8)*'Fane 13. Nøgletal'!C15</f>
        <v>410161.64513581106</v>
      </c>
      <c r="D9" s="8" t="s">
        <v>3</v>
      </c>
      <c r="E9" s="1"/>
    </row>
    <row r="10" spans="1:5" ht="15" customHeight="1" x14ac:dyDescent="0.25">
      <c r="A10" s="1"/>
      <c r="B10" s="66" t="s">
        <v>9</v>
      </c>
      <c r="C10" s="9">
        <f>-SUM(C8:C9)*'Fane 5. Individuelt eff. krav'!G9</f>
        <v>0</v>
      </c>
      <c r="D10" s="8" t="s">
        <v>3</v>
      </c>
      <c r="E10" s="1"/>
    </row>
    <row r="11" spans="1:5" ht="15" customHeight="1" x14ac:dyDescent="0.25">
      <c r="A11" s="1"/>
      <c r="B11" s="66" t="s">
        <v>23</v>
      </c>
      <c r="C11" s="9">
        <f>-'Fane 4.1. Gen. krav - drift'!G48</f>
        <v>-117116.30330048669</v>
      </c>
      <c r="D11" s="8" t="s">
        <v>3</v>
      </c>
      <c r="E11" s="1"/>
    </row>
    <row r="12" spans="1:5" ht="15" customHeight="1" x14ac:dyDescent="0.25">
      <c r="A12" s="1"/>
      <c r="B12" s="66" t="s">
        <v>24</v>
      </c>
      <c r="C12" s="9">
        <f>-'Fane 4.2. Gen. krav - anlæg'!G48</f>
        <v>0</v>
      </c>
      <c r="D12" s="8" t="s">
        <v>3</v>
      </c>
      <c r="E12" s="1"/>
    </row>
    <row r="13" spans="1:5" ht="15" customHeight="1" x14ac:dyDescent="0.25">
      <c r="A13" s="1"/>
      <c r="B13" s="33" t="s">
        <v>19</v>
      </c>
      <c r="C13" s="10">
        <f>SUM(C8:C12)</f>
        <v>11814439.868122151</v>
      </c>
      <c r="D13" s="11" t="s">
        <v>3</v>
      </c>
      <c r="E13" s="1"/>
    </row>
    <row r="14" spans="1:5" x14ac:dyDescent="0.25">
      <c r="A14" s="1"/>
      <c r="B14" s="69" t="s">
        <v>11</v>
      </c>
      <c r="C14" s="70"/>
      <c r="D14" s="19"/>
      <c r="E14" s="1"/>
    </row>
    <row r="15" spans="1:5" ht="15" customHeight="1" x14ac:dyDescent="0.25">
      <c r="A15" s="1"/>
      <c r="B15" s="71" t="s">
        <v>11</v>
      </c>
      <c r="C15" s="10">
        <f>'Fane 6. Ikke-påvirkelige omk.'!C16*(1+'Fane 13. Nøgletal'!C15)</f>
        <v>9994689.7007076293</v>
      </c>
      <c r="D15" s="11" t="s">
        <v>3</v>
      </c>
      <c r="E15" s="1"/>
    </row>
    <row r="16" spans="1:5" x14ac:dyDescent="0.25">
      <c r="A16" s="1"/>
      <c r="B16" s="25" t="s">
        <v>128</v>
      </c>
      <c r="C16" s="70"/>
      <c r="D16" s="19"/>
      <c r="E16" s="1"/>
    </row>
    <row r="17" spans="1:5" ht="15" customHeight="1" x14ac:dyDescent="0.25">
      <c r="A17" s="1"/>
      <c r="B17" s="82" t="s">
        <v>129</v>
      </c>
      <c r="C17" s="10">
        <f>'Fane 7. Kontrol af ØR2021'!E31</f>
        <v>-1366265.0439844525</v>
      </c>
      <c r="D17" s="11" t="s">
        <v>3</v>
      </c>
      <c r="E17" s="1"/>
    </row>
    <row r="18" spans="1:5" x14ac:dyDescent="0.25">
      <c r="A18" s="1"/>
      <c r="B18" s="25" t="s">
        <v>153</v>
      </c>
      <c r="C18" s="70"/>
      <c r="D18" s="19"/>
      <c r="E18" s="1"/>
    </row>
    <row r="19" spans="1:5" x14ac:dyDescent="0.25">
      <c r="A19" s="1"/>
      <c r="B19" s="82" t="s">
        <v>154</v>
      </c>
      <c r="C19" s="10">
        <f>'Fane 8. Skattesagen'!G13</f>
        <v>-2480833.3333333302</v>
      </c>
      <c r="D19" s="11" t="s">
        <v>3</v>
      </c>
      <c r="E19" s="1"/>
    </row>
    <row r="20" spans="1:5" x14ac:dyDescent="0.25">
      <c r="A20" s="1"/>
      <c r="B20" s="69" t="s">
        <v>138</v>
      </c>
      <c r="C20" s="12">
        <f>SUM(C13,C15,C17,C19)</f>
        <v>17962031.191511996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ViuvbtgJtP8TK1DOhpWhjrdDj98nSwWVB2qP4ZKGVyN1JRZYino0wllmihD7RNfwBa5K26eL9Copb7jdFUyAw==" saltValue="PUGKnAjmc7ayxR0W+FIn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90" zoomScaleNormal="100" zoomScalePageLayoutView="9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8" t="s">
        <v>167</v>
      </c>
      <c r="C3" s="108"/>
      <c r="D3" s="108"/>
      <c r="E3" s="1"/>
    </row>
    <row r="4" spans="1:5" ht="15" customHeight="1" x14ac:dyDescent="0.25">
      <c r="A4" s="1"/>
      <c r="B4" s="108"/>
      <c r="C4" s="108"/>
      <c r="D4" s="108"/>
      <c r="E4" s="1"/>
    </row>
    <row r="5" spans="1:5" x14ac:dyDescent="0.25">
      <c r="A5" s="1"/>
      <c r="B5" s="109" t="s">
        <v>20</v>
      </c>
      <c r="C5" s="109"/>
      <c r="D5" s="109"/>
      <c r="E5" s="1"/>
    </row>
    <row r="6" spans="1:5" x14ac:dyDescent="0.25">
      <c r="A6" s="1"/>
      <c r="B6" s="1"/>
      <c r="C6" s="1"/>
      <c r="D6" s="1"/>
      <c r="E6" s="1"/>
    </row>
    <row r="7" spans="1:5" x14ac:dyDescent="0.25">
      <c r="A7" s="1"/>
      <c r="B7" s="69" t="s">
        <v>12</v>
      </c>
      <c r="C7" s="70"/>
      <c r="D7" s="19"/>
      <c r="E7" s="1"/>
    </row>
    <row r="8" spans="1:5" ht="15" customHeight="1" x14ac:dyDescent="0.25">
      <c r="A8" s="1"/>
      <c r="B8" s="77" t="s">
        <v>139</v>
      </c>
      <c r="C8" s="7">
        <f>'Fane 2.2. Økonomisk ramme 2024'!C13</f>
        <v>11814439.868122151</v>
      </c>
      <c r="D8" s="8" t="s">
        <v>3</v>
      </c>
      <c r="E8" s="1"/>
    </row>
    <row r="9" spans="1:5" ht="15" customHeight="1" x14ac:dyDescent="0.25">
      <c r="A9" s="1"/>
      <c r="B9" s="66" t="s">
        <v>17</v>
      </c>
      <c r="C9" s="9">
        <f>SUM(C8:C8)*'Fane 13. Nøgletal'!C15</f>
        <v>420594.05930514855</v>
      </c>
      <c r="D9" s="8" t="s">
        <v>3</v>
      </c>
      <c r="E9" s="1"/>
    </row>
    <row r="10" spans="1:5" ht="15" customHeight="1" x14ac:dyDescent="0.25">
      <c r="A10" s="1"/>
      <c r="B10" s="66" t="s">
        <v>9</v>
      </c>
      <c r="C10" s="9">
        <f>-SUM(C8:C9)*'Fane 5. Individuelt eff. krav'!G9</f>
        <v>0</v>
      </c>
      <c r="D10" s="8" t="s">
        <v>3</v>
      </c>
      <c r="E10" s="1"/>
    </row>
    <row r="11" spans="1:5" ht="15" customHeight="1" x14ac:dyDescent="0.25">
      <c r="A11" s="1"/>
      <c r="B11" s="66" t="s">
        <v>23</v>
      </c>
      <c r="C11" s="9">
        <f>-'Fane 4.1. Gen. krav - drift'!G53</f>
        <v>-118859.93082402434</v>
      </c>
      <c r="D11" s="8" t="s">
        <v>3</v>
      </c>
      <c r="E11" s="1"/>
    </row>
    <row r="12" spans="1:5" ht="15" customHeight="1" x14ac:dyDescent="0.25">
      <c r="A12" s="1"/>
      <c r="B12" s="66" t="s">
        <v>24</v>
      </c>
      <c r="C12" s="27">
        <f>-'Fane 4.2. Gen. krav - anlæg'!G53</f>
        <v>0</v>
      </c>
      <c r="D12" s="8" t="s">
        <v>3</v>
      </c>
      <c r="E12" s="1"/>
    </row>
    <row r="13" spans="1:5" x14ac:dyDescent="0.25">
      <c r="A13" s="1"/>
      <c r="B13" s="33" t="s">
        <v>19</v>
      </c>
      <c r="C13" s="10">
        <f>SUM(C8:C12)</f>
        <v>12116173.996603275</v>
      </c>
      <c r="D13" s="11" t="s">
        <v>3</v>
      </c>
      <c r="E13" s="1"/>
    </row>
    <row r="14" spans="1:5" x14ac:dyDescent="0.25">
      <c r="A14" s="1"/>
      <c r="B14" s="69" t="s">
        <v>11</v>
      </c>
      <c r="C14" s="70"/>
      <c r="D14" s="19"/>
      <c r="E14" s="1"/>
    </row>
    <row r="15" spans="1:5" ht="15" customHeight="1" x14ac:dyDescent="0.25">
      <c r="A15" s="1"/>
      <c r="B15" s="71" t="s">
        <v>11</v>
      </c>
      <c r="C15" s="10">
        <f>'Fane 6. Ikke-påvirkelige omk.'!C16*(1+'Fane 13. Nøgletal'!C15)^2</f>
        <v>10350500.654052822</v>
      </c>
      <c r="D15" s="11" t="s">
        <v>3</v>
      </c>
      <c r="E15" s="1"/>
    </row>
    <row r="16" spans="1:5" x14ac:dyDescent="0.25">
      <c r="A16" s="1"/>
      <c r="B16" s="69" t="s">
        <v>128</v>
      </c>
      <c r="C16" s="70"/>
      <c r="D16" s="19"/>
      <c r="E16" s="1"/>
    </row>
    <row r="17" spans="1:5" x14ac:dyDescent="0.25">
      <c r="A17" s="1"/>
      <c r="B17" s="71" t="s">
        <v>129</v>
      </c>
      <c r="C17" s="10">
        <v>0</v>
      </c>
      <c r="D17" s="11" t="s">
        <v>3</v>
      </c>
      <c r="E17" s="1"/>
    </row>
    <row r="18" spans="1:5" ht="15" customHeight="1" x14ac:dyDescent="0.25">
      <c r="A18" s="1"/>
      <c r="B18" s="25" t="s">
        <v>153</v>
      </c>
      <c r="C18" s="70"/>
      <c r="D18" s="19"/>
      <c r="E18" s="1"/>
    </row>
    <row r="19" spans="1:5" ht="15" customHeight="1" x14ac:dyDescent="0.25">
      <c r="A19" s="1"/>
      <c r="B19" s="82" t="s">
        <v>154</v>
      </c>
      <c r="C19" s="10">
        <f>'Fane 8. Skattesagen'!G14</f>
        <v>-2480833.3333333302</v>
      </c>
      <c r="D19" s="11" t="s">
        <v>3</v>
      </c>
      <c r="E19" s="1"/>
    </row>
    <row r="20" spans="1:5" x14ac:dyDescent="0.25">
      <c r="A20" s="1"/>
      <c r="B20" s="69" t="s">
        <v>140</v>
      </c>
      <c r="C20" s="12">
        <f>SUM(C13,C15,C17,C19)</f>
        <v>19985841.317322768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jlZ00LLfvDe/d5BDsFf+j7WAbHi6xjV8KAkjb85uuLgRM1EtL2TLl4SrYnEb0dkth+JjSv6GC5zsReKoJ+T+LA==" saltValue="gNJbzlecNEAgkBPY+jzp7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8" t="s">
        <v>168</v>
      </c>
      <c r="C3" s="108"/>
      <c r="D3" s="108"/>
      <c r="E3" s="1"/>
    </row>
    <row r="4" spans="1:5" ht="15" customHeight="1" x14ac:dyDescent="0.25">
      <c r="A4" s="1"/>
      <c r="B4" s="108"/>
      <c r="C4" s="108"/>
      <c r="D4" s="108"/>
      <c r="E4" s="1"/>
    </row>
    <row r="5" spans="1:5" x14ac:dyDescent="0.25">
      <c r="A5" s="1"/>
      <c r="B5" s="109" t="s">
        <v>20</v>
      </c>
      <c r="C5" s="109"/>
      <c r="D5" s="109"/>
      <c r="E5" s="1"/>
    </row>
    <row r="6" spans="1:5" x14ac:dyDescent="0.25">
      <c r="A6" s="1"/>
      <c r="B6" s="1"/>
      <c r="C6" s="1"/>
      <c r="D6" s="1"/>
      <c r="E6" s="1"/>
    </row>
    <row r="7" spans="1:5" x14ac:dyDescent="0.25">
      <c r="A7" s="1"/>
      <c r="B7" s="69" t="s">
        <v>12</v>
      </c>
      <c r="C7" s="70"/>
      <c r="D7" s="19"/>
      <c r="E7" s="1"/>
    </row>
    <row r="8" spans="1:5" ht="15" customHeight="1" x14ac:dyDescent="0.25">
      <c r="A8" s="1"/>
      <c r="B8" s="77" t="s">
        <v>169</v>
      </c>
      <c r="C8" s="7">
        <f>'Fane 2.3. Økonomisk ramme 2025'!C13</f>
        <v>12116173.996603275</v>
      </c>
      <c r="D8" s="8" t="s">
        <v>3</v>
      </c>
      <c r="E8" s="1"/>
    </row>
    <row r="9" spans="1:5" ht="15" customHeight="1" x14ac:dyDescent="0.25">
      <c r="A9" s="1"/>
      <c r="B9" s="66" t="s">
        <v>17</v>
      </c>
      <c r="C9" s="9">
        <f>SUM(C8:C8)*'Fane 13. Nøgletal'!C15</f>
        <v>431335.79427907657</v>
      </c>
      <c r="D9" s="8" t="s">
        <v>3</v>
      </c>
      <c r="E9" s="1"/>
    </row>
    <row r="10" spans="1:5" ht="15" customHeight="1" x14ac:dyDescent="0.25">
      <c r="A10" s="1"/>
      <c r="B10" s="66" t="s">
        <v>9</v>
      </c>
      <c r="C10" s="9">
        <f>-SUM(C8:C9)*'Fane 5. Individuelt eff. krav'!G9</f>
        <v>0</v>
      </c>
      <c r="D10" s="8" t="s">
        <v>3</v>
      </c>
      <c r="E10" s="1"/>
    </row>
    <row r="11" spans="1:5" ht="15" customHeight="1" x14ac:dyDescent="0.25">
      <c r="A11" s="1"/>
      <c r="B11" s="66" t="s">
        <v>23</v>
      </c>
      <c r="C11" s="9">
        <f>-'Fane 4.1. Gen. krav - drift'!G58</f>
        <v>-120629.51747413243</v>
      </c>
      <c r="D11" s="8" t="s">
        <v>3</v>
      </c>
      <c r="E11" s="1"/>
    </row>
    <row r="12" spans="1:5" ht="15" customHeight="1" x14ac:dyDescent="0.25">
      <c r="A12" s="1"/>
      <c r="B12" s="66" t="s">
        <v>24</v>
      </c>
      <c r="C12" s="9">
        <f>-'Fane 4.2. Gen. krav - anlæg'!G58</f>
        <v>0</v>
      </c>
      <c r="D12" s="8" t="s">
        <v>3</v>
      </c>
      <c r="E12" s="1"/>
    </row>
    <row r="13" spans="1:5" x14ac:dyDescent="0.25">
      <c r="A13" s="1"/>
      <c r="B13" s="33" t="s">
        <v>19</v>
      </c>
      <c r="C13" s="10">
        <f>SUM(C8:C12)</f>
        <v>12426880.273408219</v>
      </c>
      <c r="D13" s="11" t="s">
        <v>3</v>
      </c>
      <c r="E13" s="1"/>
    </row>
    <row r="14" spans="1:5" x14ac:dyDescent="0.25">
      <c r="A14" s="1"/>
      <c r="B14" s="69" t="s">
        <v>11</v>
      </c>
      <c r="C14" s="70"/>
      <c r="D14" s="19"/>
      <c r="E14" s="1"/>
    </row>
    <row r="15" spans="1:5" ht="15" customHeight="1" x14ac:dyDescent="0.25">
      <c r="A15" s="1"/>
      <c r="B15" s="71" t="s">
        <v>11</v>
      </c>
      <c r="C15" s="10">
        <f>'Fane 6. Ikke-påvirkelige omk.'!C16*(1+'Fane 13. Nøgletal'!C15)^3</f>
        <v>10718978.477337103</v>
      </c>
      <c r="D15" s="11" t="s">
        <v>3</v>
      </c>
      <c r="E15" s="1"/>
    </row>
    <row r="16" spans="1:5" x14ac:dyDescent="0.25">
      <c r="A16" s="1"/>
      <c r="B16" s="69" t="s">
        <v>128</v>
      </c>
      <c r="C16" s="70"/>
      <c r="D16" s="19"/>
      <c r="E16" s="1"/>
    </row>
    <row r="17" spans="1:5" x14ac:dyDescent="0.25">
      <c r="A17" s="1"/>
      <c r="B17" s="71" t="s">
        <v>129</v>
      </c>
      <c r="C17" s="10">
        <v>0</v>
      </c>
      <c r="D17" s="11" t="s">
        <v>3</v>
      </c>
      <c r="E17" s="1"/>
    </row>
    <row r="18" spans="1:5" x14ac:dyDescent="0.25">
      <c r="A18" s="1"/>
      <c r="B18" s="25" t="s">
        <v>153</v>
      </c>
      <c r="C18" s="70"/>
      <c r="D18" s="19"/>
      <c r="E18" s="1"/>
    </row>
    <row r="19" spans="1:5" x14ac:dyDescent="0.25">
      <c r="A19" s="1"/>
      <c r="B19" s="82" t="s">
        <v>154</v>
      </c>
      <c r="C19" s="10">
        <f>'Fane 8. Skattesagen'!G15</f>
        <v>-2480833.3333333302</v>
      </c>
      <c r="D19" s="11" t="s">
        <v>3</v>
      </c>
      <c r="E19" s="1"/>
    </row>
    <row r="20" spans="1:5" x14ac:dyDescent="0.25">
      <c r="A20" s="1"/>
      <c r="B20" s="69" t="s">
        <v>170</v>
      </c>
      <c r="C20" s="12">
        <f>SUM(C13,C15,C17,C19)</f>
        <v>20665025.41741199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5cYKIB0eKKaDy/fE1ZIh7aie2afiZOl6faTXX1MD45+JM83BRnDrGNYW+kbUK9oo3vzaVloYqypTOnQ90e1qng==" saltValue="bRxvagzsIDRrd3a93fYca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5703125"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171</v>
      </c>
      <c r="C3" s="130"/>
      <c r="D3" s="130"/>
      <c r="E3" s="130"/>
      <c r="F3" s="130"/>
      <c r="G3" s="1"/>
    </row>
    <row r="4" spans="1:7" ht="29.2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3" t="s">
        <v>172</v>
      </c>
      <c r="C8" s="84"/>
      <c r="D8" s="84"/>
      <c r="E8" s="84"/>
      <c r="F8" s="19"/>
      <c r="G8" s="1"/>
    </row>
    <row r="9" spans="1:7" x14ac:dyDescent="0.25">
      <c r="A9" s="1"/>
      <c r="B9" s="131" t="s">
        <v>22</v>
      </c>
      <c r="C9" s="132"/>
      <c r="D9" s="133"/>
      <c r="E9" s="7">
        <v>11390008.680837847</v>
      </c>
      <c r="F9" s="8" t="s">
        <v>3</v>
      </c>
      <c r="G9" s="1"/>
    </row>
    <row r="10" spans="1:7" ht="15" customHeight="1" x14ac:dyDescent="0.25">
      <c r="A10" s="1"/>
      <c r="B10" s="113" t="s">
        <v>35</v>
      </c>
      <c r="C10" s="114"/>
      <c r="D10" s="115"/>
      <c r="E10" s="9">
        <v>42277.055400000005</v>
      </c>
      <c r="F10" s="8" t="s">
        <v>3</v>
      </c>
      <c r="G10" s="1"/>
    </row>
    <row r="11" spans="1:7" ht="15" customHeight="1" x14ac:dyDescent="0.25">
      <c r="A11" s="1"/>
      <c r="B11" s="113" t="s">
        <v>36</v>
      </c>
      <c r="C11" s="114"/>
      <c r="D11" s="115"/>
      <c r="E11" s="9">
        <v>49550.9804</v>
      </c>
      <c r="F11" s="8" t="s">
        <v>3</v>
      </c>
      <c r="G11" s="1"/>
    </row>
    <row r="12" spans="1:7" x14ac:dyDescent="0.25">
      <c r="A12" s="1"/>
      <c r="B12" s="113" t="s">
        <v>26</v>
      </c>
      <c r="C12" s="114"/>
      <c r="D12" s="115"/>
      <c r="E12" s="9">
        <v>0</v>
      </c>
      <c r="F12" s="8" t="s">
        <v>3</v>
      </c>
      <c r="G12" s="1"/>
    </row>
    <row r="13" spans="1:7" x14ac:dyDescent="0.25">
      <c r="A13" s="1"/>
      <c r="B13" s="113" t="s">
        <v>25</v>
      </c>
      <c r="C13" s="114"/>
      <c r="D13" s="115"/>
      <c r="E13" s="9">
        <v>0</v>
      </c>
      <c r="F13" s="8" t="s">
        <v>3</v>
      </c>
      <c r="G13" s="1"/>
    </row>
    <row r="14" spans="1:7" x14ac:dyDescent="0.25">
      <c r="A14" s="1"/>
      <c r="B14" s="113" t="s">
        <v>114</v>
      </c>
      <c r="C14" s="114"/>
      <c r="D14" s="115"/>
      <c r="E14" s="9">
        <v>0</v>
      </c>
      <c r="F14" s="8" t="s">
        <v>3</v>
      </c>
      <c r="G14" s="1"/>
    </row>
    <row r="15" spans="1:7" x14ac:dyDescent="0.25">
      <c r="A15" s="1"/>
      <c r="B15" s="113" t="s">
        <v>115</v>
      </c>
      <c r="C15" s="114"/>
      <c r="D15" s="115"/>
      <c r="E15" s="9">
        <v>0</v>
      </c>
      <c r="F15" s="8" t="s">
        <v>3</v>
      </c>
      <c r="G15" s="1"/>
    </row>
    <row r="16" spans="1:7" x14ac:dyDescent="0.25">
      <c r="A16" s="1"/>
      <c r="B16" s="113" t="s">
        <v>17</v>
      </c>
      <c r="C16" s="114"/>
      <c r="D16" s="115"/>
      <c r="E16" s="9">
        <v>139261.13842436176</v>
      </c>
      <c r="F16" s="8" t="s">
        <v>3</v>
      </c>
      <c r="G16" s="30"/>
    </row>
    <row r="17" spans="1:7" x14ac:dyDescent="0.25">
      <c r="A17" s="1"/>
      <c r="B17" s="113" t="s">
        <v>9</v>
      </c>
      <c r="C17" s="114"/>
      <c r="D17" s="115"/>
      <c r="E17" s="9">
        <v>-112893.43189547307</v>
      </c>
      <c r="F17" s="8" t="s">
        <v>3</v>
      </c>
      <c r="G17" s="1"/>
    </row>
    <row r="18" spans="1:7" x14ac:dyDescent="0.25">
      <c r="A18" s="1"/>
      <c r="B18" s="113" t="s">
        <v>23</v>
      </c>
      <c r="C18" s="114"/>
      <c r="D18" s="115"/>
      <c r="E18" s="9">
        <v>-113688.41568566504</v>
      </c>
      <c r="F18" s="8" t="s">
        <v>3</v>
      </c>
      <c r="G18" s="1"/>
    </row>
    <row r="19" spans="1:7" x14ac:dyDescent="0.25">
      <c r="A19" s="1"/>
      <c r="B19" s="113" t="s">
        <v>24</v>
      </c>
      <c r="C19" s="114"/>
      <c r="D19" s="115"/>
      <c r="E19" s="9">
        <v>-177206.80648125292</v>
      </c>
      <c r="F19" s="8" t="s">
        <v>3</v>
      </c>
      <c r="G19" s="1"/>
    </row>
    <row r="20" spans="1:7" x14ac:dyDescent="0.25">
      <c r="A20" s="1"/>
      <c r="B20" s="116" t="s">
        <v>19</v>
      </c>
      <c r="C20" s="117"/>
      <c r="D20" s="118"/>
      <c r="E20" s="31">
        <f>SUM(E9:E19)</f>
        <v>11217309.200999817</v>
      </c>
      <c r="F20" s="34" t="s">
        <v>3</v>
      </c>
      <c r="G20" s="1"/>
    </row>
    <row r="21" spans="1:7" x14ac:dyDescent="0.25">
      <c r="A21" s="1"/>
      <c r="B21" s="83" t="s">
        <v>11</v>
      </c>
      <c r="C21" s="84"/>
      <c r="D21" s="84"/>
      <c r="E21" s="84"/>
      <c r="F21" s="19"/>
      <c r="G21" s="1"/>
    </row>
    <row r="22" spans="1:7" x14ac:dyDescent="0.25">
      <c r="A22" s="1"/>
      <c r="B22" s="124" t="s">
        <v>11</v>
      </c>
      <c r="C22" s="125"/>
      <c r="D22" s="126"/>
      <c r="E22" s="10">
        <v>7622547.9691784112</v>
      </c>
      <c r="F22" s="11" t="s">
        <v>3</v>
      </c>
      <c r="G22" s="1"/>
    </row>
    <row r="23" spans="1:7" ht="15" customHeight="1" x14ac:dyDescent="0.25">
      <c r="A23" s="1"/>
      <c r="B23" s="122" t="s">
        <v>80</v>
      </c>
      <c r="C23" s="123"/>
      <c r="D23" s="123"/>
      <c r="E23" s="84"/>
      <c r="F23" s="19"/>
      <c r="G23" s="1"/>
    </row>
    <row r="24" spans="1:7" ht="14.25" customHeight="1" x14ac:dyDescent="0.25">
      <c r="A24" s="1"/>
      <c r="B24" s="110" t="s">
        <v>76</v>
      </c>
      <c r="C24" s="111"/>
      <c r="D24" s="112"/>
      <c r="E24" s="9">
        <v>0</v>
      </c>
      <c r="F24" s="8" t="s">
        <v>3</v>
      </c>
      <c r="G24" s="1"/>
    </row>
    <row r="25" spans="1:7" ht="14.25" customHeight="1" x14ac:dyDescent="0.25">
      <c r="A25" s="1"/>
      <c r="B25" s="110" t="s">
        <v>77</v>
      </c>
      <c r="C25" s="111"/>
      <c r="D25" s="112"/>
      <c r="E25" s="9">
        <v>0</v>
      </c>
      <c r="F25" s="8" t="s">
        <v>3</v>
      </c>
      <c r="G25" s="1"/>
    </row>
    <row r="26" spans="1:7" x14ac:dyDescent="0.25">
      <c r="A26" s="1"/>
      <c r="B26" s="119" t="s">
        <v>81</v>
      </c>
      <c r="C26" s="120"/>
      <c r="D26" s="120"/>
      <c r="E26" s="10">
        <v>0</v>
      </c>
      <c r="F26" s="11" t="s">
        <v>3</v>
      </c>
      <c r="G26" s="1"/>
    </row>
    <row r="27" spans="1:7" x14ac:dyDescent="0.25">
      <c r="A27" s="1"/>
      <c r="B27" s="83" t="s">
        <v>128</v>
      </c>
      <c r="C27" s="84"/>
      <c r="D27" s="84"/>
      <c r="E27" s="84"/>
      <c r="F27" s="19"/>
      <c r="G27" s="1"/>
    </row>
    <row r="28" spans="1:7" ht="15" customHeight="1" x14ac:dyDescent="0.25">
      <c r="A28" s="1"/>
      <c r="B28" s="119" t="s">
        <v>129</v>
      </c>
      <c r="C28" s="120"/>
      <c r="D28" s="121"/>
      <c r="E28" s="10">
        <v>-583489.95259366743</v>
      </c>
      <c r="F28" s="11" t="s">
        <v>3</v>
      </c>
      <c r="G28" s="1"/>
    </row>
    <row r="29" spans="1:7" x14ac:dyDescent="0.25">
      <c r="A29" s="1"/>
      <c r="B29" s="83" t="s">
        <v>159</v>
      </c>
      <c r="C29" s="84"/>
      <c r="D29" s="84"/>
      <c r="E29" s="84"/>
      <c r="F29" s="19"/>
      <c r="G29" s="1"/>
    </row>
    <row r="30" spans="1:7" ht="15.75" customHeight="1" x14ac:dyDescent="0.25">
      <c r="A30" s="1"/>
      <c r="B30" s="124" t="s">
        <v>160</v>
      </c>
      <c r="C30" s="125"/>
      <c r="D30" s="126"/>
      <c r="E30" s="10">
        <v>0</v>
      </c>
      <c r="F30" s="11" t="s">
        <v>3</v>
      </c>
      <c r="G30" s="1"/>
    </row>
    <row r="31" spans="1:7" ht="15.75" customHeight="1" x14ac:dyDescent="0.25">
      <c r="A31" s="1"/>
      <c r="B31" s="127" t="s">
        <v>153</v>
      </c>
      <c r="C31" s="128"/>
      <c r="D31" s="128"/>
      <c r="E31" s="128"/>
      <c r="F31" s="129"/>
      <c r="G31" s="1"/>
    </row>
    <row r="32" spans="1:7" ht="15.75" customHeight="1" x14ac:dyDescent="0.25">
      <c r="A32" s="1"/>
      <c r="B32" s="88" t="s">
        <v>154</v>
      </c>
      <c r="C32" s="10"/>
      <c r="D32" s="11"/>
      <c r="E32" s="10">
        <f>'Fane 8. Skattesagen'!G11</f>
        <v>0</v>
      </c>
      <c r="F32" s="11" t="s">
        <v>3</v>
      </c>
      <c r="G32" s="1"/>
    </row>
    <row r="33" spans="1:7" x14ac:dyDescent="0.25">
      <c r="A33" s="1"/>
      <c r="B33" s="35" t="s">
        <v>27</v>
      </c>
      <c r="C33" s="38"/>
      <c r="D33" s="38"/>
      <c r="E33" s="32">
        <f>E20+E22+E26+E28+E30+E32</f>
        <v>18256367.217584558</v>
      </c>
      <c r="F33" s="37" t="s">
        <v>3</v>
      </c>
      <c r="G33" s="1"/>
    </row>
    <row r="34" spans="1:7" ht="27.75" customHeight="1" x14ac:dyDescent="0.25">
      <c r="A34" s="1"/>
      <c r="B34" s="110" t="s">
        <v>173</v>
      </c>
      <c r="C34" s="111"/>
      <c r="D34" s="111"/>
      <c r="E34" s="111"/>
      <c r="F34" s="11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5zpJHHzVl5jIQyYQ18Z8hfUlLs6SqVbY886rEiG4q4I8OGNndZ+KssrMHROOH4gtxEu/eD5L/4/cJIyhkMcNKw==" saltValue="/9iScfpUXKarBWgUJQ1KCA=="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2"/>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5.7109375" style="2" customWidth="1"/>
    <col min="9" max="9" width="6.7109375" style="2" customWidth="1"/>
    <col min="10" max="16384" width="9" style="2"/>
  </cols>
  <sheetData>
    <row r="1" spans="1:9" ht="15" customHeight="1" x14ac:dyDescent="0.25">
      <c r="A1" s="1"/>
      <c r="B1" s="130" t="s">
        <v>98</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0"/>
      <c r="C3" s="130"/>
      <c r="D3" s="130"/>
      <c r="E3" s="130"/>
      <c r="F3" s="130"/>
      <c r="G3" s="130"/>
      <c r="H3" s="130"/>
      <c r="I3" s="1"/>
    </row>
    <row r="4" spans="1:9" x14ac:dyDescent="0.25">
      <c r="A4" s="1"/>
      <c r="B4" s="127" t="s">
        <v>49</v>
      </c>
      <c r="C4" s="128"/>
      <c r="D4" s="128"/>
      <c r="E4" s="128"/>
      <c r="F4" s="128"/>
      <c r="G4" s="128"/>
      <c r="H4" s="129"/>
      <c r="I4" s="1"/>
    </row>
    <row r="5" spans="1:9" x14ac:dyDescent="0.25">
      <c r="A5" s="1"/>
      <c r="B5" s="134" t="s">
        <v>38</v>
      </c>
      <c r="C5" s="135"/>
      <c r="D5" s="135"/>
      <c r="E5" s="135"/>
      <c r="F5" s="136"/>
      <c r="G5" s="59">
        <v>5809612.7580742743</v>
      </c>
      <c r="H5" s="14" t="s">
        <v>3</v>
      </c>
      <c r="I5" s="1"/>
    </row>
    <row r="6" spans="1:9" x14ac:dyDescent="0.25">
      <c r="A6" s="1"/>
      <c r="B6" s="134" t="s">
        <v>39</v>
      </c>
      <c r="C6" s="135"/>
      <c r="D6" s="135"/>
      <c r="E6" s="135"/>
      <c r="F6" s="136"/>
      <c r="G6" s="59">
        <f>G5*'Fane 13. Nøgletal'!C31</f>
        <v>116192.25516148549</v>
      </c>
      <c r="H6" s="14" t="s">
        <v>3</v>
      </c>
      <c r="I6" s="1"/>
    </row>
    <row r="7" spans="1:9" x14ac:dyDescent="0.25">
      <c r="A7" s="1"/>
      <c r="B7" s="69"/>
      <c r="C7" s="70"/>
      <c r="D7" s="70"/>
      <c r="E7" s="70"/>
      <c r="F7" s="70"/>
      <c r="G7" s="60"/>
      <c r="H7" s="19"/>
      <c r="I7" s="1"/>
    </row>
    <row r="8" spans="1:9" x14ac:dyDescent="0.25">
      <c r="A8" s="1"/>
      <c r="B8" s="1"/>
      <c r="C8" s="1"/>
      <c r="D8" s="1"/>
      <c r="E8" s="1"/>
      <c r="F8" s="1"/>
      <c r="G8" s="61"/>
      <c r="H8" s="1"/>
      <c r="I8" s="1"/>
    </row>
    <row r="9" spans="1:9" x14ac:dyDescent="0.25">
      <c r="A9" s="1"/>
      <c r="B9" s="127" t="s">
        <v>50</v>
      </c>
      <c r="C9" s="128"/>
      <c r="D9" s="128"/>
      <c r="E9" s="128"/>
      <c r="F9" s="128"/>
      <c r="G9" s="140"/>
      <c r="H9" s="129"/>
      <c r="I9" s="1"/>
    </row>
    <row r="10" spans="1:9" x14ac:dyDescent="0.25">
      <c r="A10" s="1"/>
      <c r="B10" s="134" t="s">
        <v>40</v>
      </c>
      <c r="C10" s="135"/>
      <c r="D10" s="135"/>
      <c r="E10" s="135"/>
      <c r="F10" s="136"/>
      <c r="G10" s="59">
        <f>(G5-G6)*(1+'Fane 13. Nøgletal'!C9)</f>
        <v>5765726.9432997806</v>
      </c>
      <c r="H10" s="14" t="s">
        <v>3</v>
      </c>
      <c r="I10" s="1"/>
    </row>
    <row r="11" spans="1:9" x14ac:dyDescent="0.25">
      <c r="A11" s="1"/>
      <c r="B11" s="137" t="s">
        <v>41</v>
      </c>
      <c r="C11" s="138"/>
      <c r="D11" s="138"/>
      <c r="E11" s="138"/>
      <c r="F11" s="139"/>
      <c r="G11" s="59">
        <v>0</v>
      </c>
      <c r="H11" s="14" t="s">
        <v>3</v>
      </c>
      <c r="I11" s="1"/>
    </row>
    <row r="12" spans="1:9" x14ac:dyDescent="0.25">
      <c r="A12" s="1"/>
      <c r="B12" s="134" t="s">
        <v>42</v>
      </c>
      <c r="C12" s="135"/>
      <c r="D12" s="135"/>
      <c r="E12" s="135"/>
      <c r="F12" s="136"/>
      <c r="G12" s="59">
        <f>(G10+G11)*'Fane 13. Nøgletal'!C31</f>
        <v>115314.53886599561</v>
      </c>
      <c r="H12" s="14" t="s">
        <v>3</v>
      </c>
      <c r="I12" s="1"/>
    </row>
    <row r="13" spans="1:9" x14ac:dyDescent="0.25">
      <c r="A13" s="1"/>
      <c r="B13" s="69"/>
      <c r="C13" s="70"/>
      <c r="D13" s="70"/>
      <c r="E13" s="70"/>
      <c r="F13" s="70"/>
      <c r="G13" s="60"/>
      <c r="H13" s="19"/>
      <c r="I13" s="1"/>
    </row>
    <row r="14" spans="1:9" x14ac:dyDescent="0.25">
      <c r="A14" s="1"/>
      <c r="B14" s="1"/>
      <c r="C14" s="1"/>
      <c r="D14" s="1"/>
      <c r="E14" s="1"/>
      <c r="F14" s="1"/>
      <c r="G14" s="61"/>
      <c r="H14" s="1"/>
      <c r="I14" s="1"/>
    </row>
    <row r="15" spans="1:9" x14ac:dyDescent="0.25">
      <c r="A15" s="1"/>
      <c r="B15" s="127" t="s">
        <v>51</v>
      </c>
      <c r="C15" s="128"/>
      <c r="D15" s="128"/>
      <c r="E15" s="128"/>
      <c r="F15" s="128"/>
      <c r="G15" s="140"/>
      <c r="H15" s="129"/>
      <c r="I15" s="1"/>
    </row>
    <row r="16" spans="1:9" x14ac:dyDescent="0.25">
      <c r="A16" s="1"/>
      <c r="B16" s="134" t="s">
        <v>43</v>
      </c>
      <c r="C16" s="135"/>
      <c r="D16" s="135"/>
      <c r="E16" s="135"/>
      <c r="F16" s="136"/>
      <c r="G16" s="59">
        <f>(G10+G11-G12)*(1+'Fane 13. Nøgletal'!C11)</f>
        <v>5745904.3740687156</v>
      </c>
      <c r="H16" s="14" t="s">
        <v>3</v>
      </c>
      <c r="I16" s="1"/>
    </row>
    <row r="17" spans="1:9" x14ac:dyDescent="0.25">
      <c r="A17" s="1"/>
      <c r="B17" s="134" t="s">
        <v>108</v>
      </c>
      <c r="C17" s="135"/>
      <c r="D17" s="135"/>
      <c r="E17" s="135"/>
      <c r="F17" s="136"/>
      <c r="G17" s="59">
        <v>0</v>
      </c>
      <c r="H17" s="14" t="s">
        <v>3</v>
      </c>
      <c r="I17" s="1"/>
    </row>
    <row r="18" spans="1:9" x14ac:dyDescent="0.25">
      <c r="A18" s="1"/>
      <c r="B18" s="137" t="s">
        <v>44</v>
      </c>
      <c r="C18" s="138"/>
      <c r="D18" s="138"/>
      <c r="E18" s="138"/>
      <c r="F18" s="139"/>
      <c r="G18" s="59">
        <v>0</v>
      </c>
      <c r="H18" s="14" t="s">
        <v>3</v>
      </c>
      <c r="I18" s="1"/>
    </row>
    <row r="19" spans="1:9" x14ac:dyDescent="0.25">
      <c r="A19" s="1"/>
      <c r="B19" s="134" t="s">
        <v>45</v>
      </c>
      <c r="C19" s="135"/>
      <c r="D19" s="135"/>
      <c r="E19" s="135"/>
      <c r="F19" s="136"/>
      <c r="G19" s="59">
        <f>SUM(G16:G18)*'Fane 13. Nøgletal'!C31</f>
        <v>114918.08748137431</v>
      </c>
      <c r="H19" s="14" t="s">
        <v>3</v>
      </c>
      <c r="I19" s="1"/>
    </row>
    <row r="20" spans="1:9" x14ac:dyDescent="0.25">
      <c r="A20" s="1"/>
      <c r="B20" s="69"/>
      <c r="C20" s="70"/>
      <c r="D20" s="70"/>
      <c r="E20" s="70"/>
      <c r="F20" s="70"/>
      <c r="G20" s="60"/>
      <c r="H20" s="19"/>
      <c r="I20" s="1"/>
    </row>
    <row r="21" spans="1:9" x14ac:dyDescent="0.25">
      <c r="A21" s="1"/>
      <c r="B21" s="1"/>
      <c r="C21" s="1"/>
      <c r="D21" s="1"/>
      <c r="E21" s="1"/>
      <c r="F21" s="1"/>
      <c r="G21" s="61"/>
      <c r="H21" s="1"/>
      <c r="I21" s="1"/>
    </row>
    <row r="22" spans="1:9" x14ac:dyDescent="0.25">
      <c r="A22" s="1"/>
      <c r="B22" s="127" t="s">
        <v>52</v>
      </c>
      <c r="C22" s="128"/>
      <c r="D22" s="128"/>
      <c r="E22" s="128"/>
      <c r="F22" s="128"/>
      <c r="G22" s="140"/>
      <c r="H22" s="129"/>
      <c r="I22" s="1"/>
    </row>
    <row r="23" spans="1:9" x14ac:dyDescent="0.25">
      <c r="A23" s="1"/>
      <c r="B23" s="134" t="s">
        <v>46</v>
      </c>
      <c r="C23" s="135"/>
      <c r="D23" s="135"/>
      <c r="E23" s="135"/>
      <c r="F23" s="136"/>
      <c r="G23" s="59">
        <f>(SUM(G16:G18)-G19)*(1+'Fane 13. Nøgletal'!C11)</f>
        <v>5726149.954830667</v>
      </c>
      <c r="H23" s="14" t="s">
        <v>3</v>
      </c>
      <c r="I23" s="1"/>
    </row>
    <row r="24" spans="1:9" x14ac:dyDescent="0.25">
      <c r="A24" s="1"/>
      <c r="B24" s="137" t="s">
        <v>47</v>
      </c>
      <c r="C24" s="138"/>
      <c r="D24" s="138"/>
      <c r="E24" s="138"/>
      <c r="F24" s="139"/>
      <c r="G24" s="59">
        <v>0</v>
      </c>
      <c r="H24" s="14" t="s">
        <v>3</v>
      </c>
      <c r="I24" s="1"/>
    </row>
    <row r="25" spans="1:9" x14ac:dyDescent="0.25">
      <c r="A25" s="1"/>
      <c r="B25" s="134" t="s">
        <v>48</v>
      </c>
      <c r="C25" s="135"/>
      <c r="D25" s="135"/>
      <c r="E25" s="135"/>
      <c r="F25" s="136"/>
      <c r="G25" s="59">
        <f>(G23+G24)*'Fane 13. Nøgletal'!C31</f>
        <v>114522.99909661335</v>
      </c>
      <c r="H25" s="14" t="s">
        <v>3</v>
      </c>
      <c r="I25" s="1"/>
    </row>
    <row r="26" spans="1:9" x14ac:dyDescent="0.25">
      <c r="A26" s="1"/>
      <c r="B26" s="69"/>
      <c r="C26" s="70"/>
      <c r="D26" s="70"/>
      <c r="E26" s="70"/>
      <c r="F26" s="70"/>
      <c r="G26" s="60"/>
      <c r="H26" s="19"/>
      <c r="I26" s="1"/>
    </row>
    <row r="27" spans="1:9" x14ac:dyDescent="0.25">
      <c r="A27" s="1"/>
      <c r="B27" s="1"/>
      <c r="C27" s="1"/>
      <c r="D27" s="1"/>
      <c r="E27" s="1"/>
      <c r="F27" s="1"/>
      <c r="G27" s="61"/>
      <c r="H27" s="1"/>
      <c r="I27" s="1"/>
    </row>
    <row r="28" spans="1:9" x14ac:dyDescent="0.25">
      <c r="A28" s="1"/>
      <c r="B28" s="127" t="s">
        <v>132</v>
      </c>
      <c r="C28" s="128"/>
      <c r="D28" s="128"/>
      <c r="E28" s="128"/>
      <c r="F28" s="128"/>
      <c r="G28" s="140"/>
      <c r="H28" s="129"/>
      <c r="I28" s="1"/>
    </row>
    <row r="29" spans="1:9" x14ac:dyDescent="0.25">
      <c r="A29" s="1"/>
      <c r="B29" s="134" t="s">
        <v>55</v>
      </c>
      <c r="C29" s="135"/>
      <c r="D29" s="135"/>
      <c r="E29" s="135"/>
      <c r="F29" s="136"/>
      <c r="G29" s="59">
        <f>(G23+G24-G25)*(1+'Fane 13. Nøgletal'!C13)</f>
        <v>5680088.8045940092</v>
      </c>
      <c r="H29" s="14" t="s">
        <v>3</v>
      </c>
      <c r="I29" s="1"/>
    </row>
    <row r="30" spans="1:9" x14ac:dyDescent="0.25">
      <c r="A30" s="1"/>
      <c r="B30" s="134" t="s">
        <v>121</v>
      </c>
      <c r="C30" s="135"/>
      <c r="D30" s="135"/>
      <c r="E30" s="135"/>
      <c r="F30" s="136"/>
      <c r="G30" s="59">
        <v>7667.7235185600002</v>
      </c>
      <c r="H30" s="14" t="s">
        <v>3</v>
      </c>
      <c r="I30" s="1"/>
    </row>
    <row r="31" spans="1:9" x14ac:dyDescent="0.25">
      <c r="A31" s="1"/>
      <c r="B31" s="134" t="s">
        <v>126</v>
      </c>
      <c r="C31" s="135"/>
      <c r="D31" s="135"/>
      <c r="E31" s="135"/>
      <c r="F31" s="136"/>
      <c r="G31" s="59">
        <f>(G29+G30)*'Fane 13. Nøgletal'!C31</f>
        <v>113755.13056225138</v>
      </c>
      <c r="H31" s="14" t="s">
        <v>3</v>
      </c>
      <c r="I31" s="1"/>
    </row>
    <row r="32" spans="1:9" x14ac:dyDescent="0.25">
      <c r="A32" s="1"/>
      <c r="B32" s="69"/>
      <c r="C32" s="70"/>
      <c r="D32" s="70"/>
      <c r="E32" s="70"/>
      <c r="F32" s="70"/>
      <c r="G32" s="60"/>
      <c r="H32" s="19"/>
      <c r="I32" s="1"/>
    </row>
    <row r="33" spans="1:9" x14ac:dyDescent="0.25">
      <c r="A33" s="1"/>
      <c r="B33" s="1"/>
      <c r="C33" s="1"/>
      <c r="D33" s="1"/>
      <c r="E33" s="1"/>
      <c r="F33" s="1"/>
      <c r="G33" s="61"/>
      <c r="H33" s="1"/>
      <c r="I33" s="1"/>
    </row>
    <row r="34" spans="1:9" x14ac:dyDescent="0.25">
      <c r="A34" s="1"/>
      <c r="B34" s="127" t="s">
        <v>133</v>
      </c>
      <c r="C34" s="128"/>
      <c r="D34" s="128"/>
      <c r="E34" s="128"/>
      <c r="F34" s="128"/>
      <c r="G34" s="140"/>
      <c r="H34" s="129"/>
      <c r="I34" s="1"/>
    </row>
    <row r="35" spans="1:9" x14ac:dyDescent="0.25">
      <c r="A35" s="1"/>
      <c r="B35" s="134" t="s">
        <v>74</v>
      </c>
      <c r="C35" s="135"/>
      <c r="D35" s="135"/>
      <c r="E35" s="135"/>
      <c r="F35" s="136"/>
      <c r="G35" s="59">
        <f>(G29+G30-G31)*(1+'Fane 13. Nøgletal'!C13)</f>
        <v>5642004.2146004317</v>
      </c>
      <c r="H35" s="14" t="s">
        <v>3</v>
      </c>
      <c r="I35" s="1"/>
    </row>
    <row r="36" spans="1:9" x14ac:dyDescent="0.25">
      <c r="A36" s="1"/>
      <c r="B36" s="134" t="s">
        <v>152</v>
      </c>
      <c r="C36" s="135"/>
      <c r="D36" s="135"/>
      <c r="E36" s="135"/>
      <c r="F36" s="136"/>
      <c r="G36" s="59">
        <f>('Fane 3. Omkostninger i ØR2022'!E10+'Fane 3. Omkostninger i ØR2022'!E12+'Fane 3. Omkostninger i ØR2022'!E14)*(1+'Fane 13. Nøgletal'!C14)</f>
        <v>42416.569682820009</v>
      </c>
      <c r="H36" s="14" t="s">
        <v>3</v>
      </c>
      <c r="I36" s="1"/>
    </row>
    <row r="37" spans="1:9" x14ac:dyDescent="0.25">
      <c r="A37" s="1"/>
      <c r="B37" s="134" t="s">
        <v>134</v>
      </c>
      <c r="C37" s="135"/>
      <c r="D37" s="135"/>
      <c r="E37" s="135"/>
      <c r="F37" s="136"/>
      <c r="G37" s="59">
        <f>(G35+G36)*'Fane 13. Nøgletal'!C31</f>
        <v>113688.41568566504</v>
      </c>
      <c r="H37" s="14" t="s">
        <v>3</v>
      </c>
      <c r="I37" s="1"/>
    </row>
    <row r="38" spans="1:9" x14ac:dyDescent="0.25">
      <c r="A38" s="1"/>
      <c r="B38" s="69"/>
      <c r="C38" s="70"/>
      <c r="D38" s="70"/>
      <c r="E38" s="70"/>
      <c r="F38" s="70"/>
      <c r="G38" s="60"/>
      <c r="H38" s="19"/>
      <c r="I38" s="1"/>
    </row>
    <row r="39" spans="1:9" x14ac:dyDescent="0.25">
      <c r="A39" s="1"/>
      <c r="B39" s="1"/>
      <c r="C39" s="1"/>
      <c r="D39" s="1"/>
      <c r="E39" s="1"/>
      <c r="F39" s="1"/>
      <c r="G39" s="61"/>
      <c r="H39" s="1"/>
      <c r="I39" s="1"/>
    </row>
    <row r="40" spans="1:9" x14ac:dyDescent="0.25">
      <c r="A40" s="1"/>
      <c r="B40" s="127" t="s">
        <v>198</v>
      </c>
      <c r="C40" s="128"/>
      <c r="D40" s="128"/>
      <c r="E40" s="128"/>
      <c r="F40" s="128"/>
      <c r="G40" s="140"/>
      <c r="H40" s="129"/>
      <c r="I40" s="1"/>
    </row>
    <row r="41" spans="1:9" x14ac:dyDescent="0.25">
      <c r="A41" s="1"/>
      <c r="B41" s="134" t="s">
        <v>73</v>
      </c>
      <c r="C41" s="135"/>
      <c r="D41" s="135"/>
      <c r="E41" s="135"/>
      <c r="F41" s="136"/>
      <c r="G41" s="59">
        <f>(G35+G36-G37)*(1+'Fane 13. Nøgletal'!C15)</f>
        <v>5769050.440919661</v>
      </c>
      <c r="H41" s="14" t="s">
        <v>3</v>
      </c>
      <c r="I41" s="1"/>
    </row>
    <row r="42" spans="1:9" x14ac:dyDescent="0.25">
      <c r="A42" s="1"/>
      <c r="B42" s="134" t="s">
        <v>197</v>
      </c>
      <c r="C42" s="135"/>
      <c r="D42" s="135"/>
      <c r="E42" s="135"/>
      <c r="F42" s="136"/>
      <c r="G42" s="59">
        <f>('Fane 2.1. Økonomisk ramme 2023'!C9+'Fane 2.1. Økonomisk ramme 2023'!C11+'Fane 2.1. Økonomisk ramme 2023'!C13)*(1+'Fane 13. Nøgletal'!C15)</f>
        <v>862.26375744000018</v>
      </c>
      <c r="H42" s="14" t="s">
        <v>3</v>
      </c>
      <c r="I42" s="1"/>
    </row>
    <row r="43" spans="1:9" x14ac:dyDescent="0.25">
      <c r="A43" s="1"/>
      <c r="B43" s="134" t="s">
        <v>208</v>
      </c>
      <c r="C43" s="135"/>
      <c r="D43" s="135"/>
      <c r="E43" s="135"/>
      <c r="F43" s="136"/>
      <c r="G43" s="59">
        <f>(G41+G42)*'Fane 13. Nøgletal'!C31</f>
        <v>115398.25409354203</v>
      </c>
      <c r="H43" s="14" t="s">
        <v>3</v>
      </c>
      <c r="I43" s="1"/>
    </row>
    <row r="44" spans="1:9" x14ac:dyDescent="0.25">
      <c r="A44" s="1"/>
      <c r="B44" s="69"/>
      <c r="C44" s="70"/>
      <c r="D44" s="70"/>
      <c r="E44" s="70"/>
      <c r="F44" s="70"/>
      <c r="G44" s="60"/>
      <c r="H44" s="19"/>
      <c r="I44" s="1"/>
    </row>
    <row r="45" spans="1:9" x14ac:dyDescent="0.25">
      <c r="A45" s="1"/>
      <c r="B45" s="1"/>
      <c r="C45" s="1"/>
      <c r="D45" s="1"/>
      <c r="E45" s="1"/>
      <c r="F45" s="1"/>
      <c r="G45" s="61"/>
      <c r="H45" s="1"/>
      <c r="I45" s="1"/>
    </row>
    <row r="46" spans="1:9" x14ac:dyDescent="0.25">
      <c r="A46" s="1"/>
      <c r="B46" s="127" t="s">
        <v>199</v>
      </c>
      <c r="C46" s="128"/>
      <c r="D46" s="128"/>
      <c r="E46" s="128"/>
      <c r="F46" s="128"/>
      <c r="G46" s="140"/>
      <c r="H46" s="129"/>
      <c r="I46" s="1"/>
    </row>
    <row r="47" spans="1:9" x14ac:dyDescent="0.25">
      <c r="A47" s="1"/>
      <c r="B47" s="134" t="s">
        <v>122</v>
      </c>
      <c r="C47" s="135"/>
      <c r="D47" s="135"/>
      <c r="E47" s="135"/>
      <c r="F47" s="136"/>
      <c r="G47" s="59">
        <f>(G41+G42-G43)*(1+'Fane 13. Nøgletal'!C15)</f>
        <v>5855815.1650243346</v>
      </c>
      <c r="H47" s="14" t="s">
        <v>3</v>
      </c>
      <c r="I47" s="1"/>
    </row>
    <row r="48" spans="1:9" x14ac:dyDescent="0.25">
      <c r="A48" s="1"/>
      <c r="B48" s="134" t="s">
        <v>209</v>
      </c>
      <c r="C48" s="135"/>
      <c r="D48" s="135"/>
      <c r="E48" s="135"/>
      <c r="F48" s="136"/>
      <c r="G48" s="59">
        <f>(G47)*'Fane 13. Nøgletal'!C31</f>
        <v>117116.30330048669</v>
      </c>
      <c r="H48" s="14" t="s">
        <v>3</v>
      </c>
      <c r="I48" s="1"/>
    </row>
    <row r="49" spans="1:9" x14ac:dyDescent="0.25">
      <c r="A49" s="1"/>
      <c r="B49" s="69"/>
      <c r="C49" s="70"/>
      <c r="D49" s="70"/>
      <c r="E49" s="70"/>
      <c r="F49" s="70"/>
      <c r="G49" s="60"/>
      <c r="H49" s="19"/>
      <c r="I49" s="1"/>
    </row>
    <row r="50" spans="1:9" x14ac:dyDescent="0.25">
      <c r="A50" s="1"/>
      <c r="B50" s="1"/>
      <c r="C50" s="1"/>
      <c r="D50" s="1"/>
      <c r="E50" s="1"/>
      <c r="F50" s="1"/>
      <c r="G50" s="61"/>
      <c r="H50" s="1"/>
      <c r="I50" s="1"/>
    </row>
    <row r="51" spans="1:9" x14ac:dyDescent="0.25">
      <c r="A51" s="1"/>
      <c r="B51" s="127" t="s">
        <v>145</v>
      </c>
      <c r="C51" s="128"/>
      <c r="D51" s="128"/>
      <c r="E51" s="128"/>
      <c r="F51" s="128"/>
      <c r="G51" s="140"/>
      <c r="H51" s="129"/>
      <c r="I51" s="1"/>
    </row>
    <row r="52" spans="1:9" x14ac:dyDescent="0.25">
      <c r="A52" s="1"/>
      <c r="B52" s="134" t="s">
        <v>146</v>
      </c>
      <c r="C52" s="135"/>
      <c r="D52" s="135"/>
      <c r="E52" s="135"/>
      <c r="F52" s="136"/>
      <c r="G52" s="59">
        <f>(G47-G48)*(1+'Fane 13. Nøgletal'!C15)</f>
        <v>5942996.5412012171</v>
      </c>
      <c r="H52" s="14" t="s">
        <v>3</v>
      </c>
      <c r="I52" s="1"/>
    </row>
    <row r="53" spans="1:9" x14ac:dyDescent="0.25">
      <c r="A53" s="1"/>
      <c r="B53" s="134" t="s">
        <v>147</v>
      </c>
      <c r="C53" s="135"/>
      <c r="D53" s="135"/>
      <c r="E53" s="135"/>
      <c r="F53" s="136"/>
      <c r="G53" s="59">
        <f>(G52)*'Fane 13. Nøgletal'!C31</f>
        <v>118859.93082402434</v>
      </c>
      <c r="H53" s="14" t="s">
        <v>3</v>
      </c>
      <c r="I53" s="1"/>
    </row>
    <row r="54" spans="1:9" x14ac:dyDescent="0.25">
      <c r="A54" s="1"/>
      <c r="B54" s="69"/>
      <c r="C54" s="70"/>
      <c r="D54" s="70"/>
      <c r="E54" s="70"/>
      <c r="F54" s="70"/>
      <c r="G54" s="60"/>
      <c r="H54" s="19"/>
      <c r="I54" s="1"/>
    </row>
    <row r="55" spans="1:9" x14ac:dyDescent="0.25">
      <c r="A55" s="1"/>
      <c r="B55" s="1"/>
      <c r="C55" s="1"/>
      <c r="D55" s="1"/>
      <c r="E55" s="1"/>
      <c r="F55" s="1"/>
      <c r="G55" s="61"/>
      <c r="H55" s="1"/>
      <c r="I55" s="1"/>
    </row>
    <row r="56" spans="1:9" x14ac:dyDescent="0.25">
      <c r="A56" s="1"/>
      <c r="B56" s="127" t="s">
        <v>174</v>
      </c>
      <c r="C56" s="128"/>
      <c r="D56" s="128"/>
      <c r="E56" s="128"/>
      <c r="F56" s="128"/>
      <c r="G56" s="140"/>
      <c r="H56" s="129"/>
      <c r="I56" s="1"/>
    </row>
    <row r="57" spans="1:9" x14ac:dyDescent="0.25">
      <c r="A57" s="1"/>
      <c r="B57" s="134" t="s">
        <v>175</v>
      </c>
      <c r="C57" s="135"/>
      <c r="D57" s="135"/>
      <c r="E57" s="135"/>
      <c r="F57" s="136"/>
      <c r="G57" s="59">
        <f>(G52-G53)*(1+'Fane 13. Nøgletal'!C15)</f>
        <v>6031475.8737066211</v>
      </c>
      <c r="H57" s="14" t="s">
        <v>3</v>
      </c>
      <c r="I57" s="1"/>
    </row>
    <row r="58" spans="1:9" x14ac:dyDescent="0.25">
      <c r="A58" s="1"/>
      <c r="B58" s="134" t="s">
        <v>176</v>
      </c>
      <c r="C58" s="135"/>
      <c r="D58" s="135"/>
      <c r="E58" s="135"/>
      <c r="F58" s="136"/>
      <c r="G58" s="59">
        <f>(G57)*'Fane 13. Nøgletal'!C31</f>
        <v>120629.51747413243</v>
      </c>
      <c r="H58" s="14" t="s">
        <v>3</v>
      </c>
      <c r="I58" s="1"/>
    </row>
    <row r="59" spans="1:9" x14ac:dyDescent="0.25">
      <c r="A59" s="1"/>
      <c r="B59" s="69"/>
      <c r="C59" s="70"/>
      <c r="D59" s="70"/>
      <c r="E59" s="70"/>
      <c r="F59" s="70"/>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sheetData>
  <sheetProtection algorithmName="SHA-512" hashValue="SPKg/lBPDutA6xG8/utJGwzKO7v1IzCZlwRJayRv772Czr25p/Mm/Uq9KLewvAXV6NTEK+gS9ulb76c6lA3O4Q==" saltValue="TFnzveCaOzMSOK/FSsDXj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18" style="2" customWidth="1"/>
    <col min="7" max="8" width="10.28515625" style="2" customWidth="1"/>
    <col min="9" max="9" width="6" style="2" customWidth="1"/>
    <col min="10" max="16384" width="9" style="2"/>
  </cols>
  <sheetData>
    <row r="1" spans="1:9" x14ac:dyDescent="0.25">
      <c r="A1" s="1"/>
      <c r="B1" s="141" t="s">
        <v>99</v>
      </c>
      <c r="C1" s="142"/>
      <c r="D1" s="142"/>
      <c r="E1" s="142"/>
      <c r="F1" s="142"/>
      <c r="G1" s="142"/>
      <c r="H1" s="142"/>
      <c r="I1" s="1"/>
    </row>
    <row r="2" spans="1:9" ht="19.899999999999999" customHeight="1" x14ac:dyDescent="0.25">
      <c r="A2" s="1"/>
      <c r="B2" s="142"/>
      <c r="C2" s="142"/>
      <c r="D2" s="142"/>
      <c r="E2" s="142"/>
      <c r="F2" s="142"/>
      <c r="G2" s="142"/>
      <c r="H2" s="142"/>
      <c r="I2" s="1"/>
    </row>
    <row r="3" spans="1:9" ht="15" customHeight="1" x14ac:dyDescent="0.25">
      <c r="A3" s="1"/>
      <c r="B3" s="143"/>
      <c r="C3" s="143"/>
      <c r="D3" s="143"/>
      <c r="E3" s="143"/>
      <c r="F3" s="143"/>
      <c r="G3" s="143"/>
      <c r="H3" s="143"/>
      <c r="I3" s="1"/>
    </row>
    <row r="4" spans="1:9" x14ac:dyDescent="0.25">
      <c r="A4" s="1"/>
      <c r="B4" s="127" t="s">
        <v>53</v>
      </c>
      <c r="C4" s="128"/>
      <c r="D4" s="128"/>
      <c r="E4" s="128"/>
      <c r="F4" s="128"/>
      <c r="G4" s="128"/>
      <c r="H4" s="129"/>
      <c r="I4" s="1"/>
    </row>
    <row r="5" spans="1:9" x14ac:dyDescent="0.25">
      <c r="A5" s="1"/>
      <c r="B5" s="134" t="s">
        <v>56</v>
      </c>
      <c r="C5" s="135"/>
      <c r="D5" s="135"/>
      <c r="E5" s="135"/>
      <c r="F5" s="136"/>
      <c r="G5" s="59">
        <v>6341180.5936294496</v>
      </c>
      <c r="H5" s="14" t="s">
        <v>3</v>
      </c>
      <c r="I5" s="1"/>
    </row>
    <row r="6" spans="1:9" x14ac:dyDescent="0.25">
      <c r="A6" s="1"/>
      <c r="B6" s="134" t="s">
        <v>54</v>
      </c>
      <c r="C6" s="135"/>
      <c r="D6" s="135"/>
      <c r="E6" s="135"/>
      <c r="F6" s="136"/>
      <c r="G6" s="59">
        <f>G5*'Fane 13. Nøgletal'!C20</f>
        <v>57704.743402027991</v>
      </c>
      <c r="H6" s="14" t="s">
        <v>3</v>
      </c>
      <c r="I6" s="1"/>
    </row>
    <row r="7" spans="1:9" x14ac:dyDescent="0.25">
      <c r="A7" s="1"/>
      <c r="B7" s="69"/>
      <c r="C7" s="70"/>
      <c r="D7" s="70"/>
      <c r="E7" s="70"/>
      <c r="F7" s="70"/>
      <c r="G7" s="62"/>
      <c r="H7" s="19"/>
      <c r="I7" s="1"/>
    </row>
    <row r="8" spans="1:9" x14ac:dyDescent="0.25">
      <c r="A8" s="1"/>
      <c r="B8" s="1"/>
      <c r="C8" s="1"/>
      <c r="D8" s="1"/>
      <c r="E8" s="1"/>
      <c r="F8" s="1"/>
      <c r="G8" s="63"/>
      <c r="H8" s="1"/>
      <c r="I8" s="1"/>
    </row>
    <row r="9" spans="1:9" x14ac:dyDescent="0.25">
      <c r="A9" s="1"/>
      <c r="B9" s="127" t="s">
        <v>57</v>
      </c>
      <c r="C9" s="128"/>
      <c r="D9" s="128"/>
      <c r="E9" s="128"/>
      <c r="F9" s="128"/>
      <c r="G9" s="140"/>
      <c r="H9" s="129"/>
      <c r="I9" s="1"/>
    </row>
    <row r="10" spans="1:9" x14ac:dyDescent="0.25">
      <c r="A10" s="1"/>
      <c r="B10" s="134" t="s">
        <v>58</v>
      </c>
      <c r="C10" s="135"/>
      <c r="D10" s="135"/>
      <c r="E10" s="135"/>
      <c r="F10" s="136"/>
      <c r="G10" s="59">
        <f>(G5-G6)*(1+'Fane 13. Nøgletal'!C9)</f>
        <v>6363275.9935253086</v>
      </c>
      <c r="H10" s="14" t="s">
        <v>3</v>
      </c>
      <c r="I10" s="1"/>
    </row>
    <row r="11" spans="1:9" x14ac:dyDescent="0.25">
      <c r="A11" s="1"/>
      <c r="B11" s="137" t="s">
        <v>59</v>
      </c>
      <c r="C11" s="138"/>
      <c r="D11" s="138"/>
      <c r="E11" s="138"/>
      <c r="F11" s="139"/>
      <c r="G11" s="64">
        <v>0</v>
      </c>
      <c r="H11" s="14" t="s">
        <v>3</v>
      </c>
      <c r="I11" s="1"/>
    </row>
    <row r="12" spans="1:9" x14ac:dyDescent="0.25">
      <c r="A12" s="1"/>
      <c r="B12" s="134" t="s">
        <v>60</v>
      </c>
      <c r="C12" s="135"/>
      <c r="D12" s="135"/>
      <c r="E12" s="135"/>
      <c r="F12" s="136"/>
      <c r="G12" s="59">
        <f>G10*'Fane 13. Nøgletal'!C20+G11*'Fane 13. Nøgletal'!C21</f>
        <v>57905.811541080308</v>
      </c>
      <c r="H12" s="14" t="s">
        <v>3</v>
      </c>
      <c r="I12" s="1"/>
    </row>
    <row r="13" spans="1:9" x14ac:dyDescent="0.25">
      <c r="A13" s="1"/>
      <c r="B13" s="69"/>
      <c r="C13" s="70"/>
      <c r="D13" s="70"/>
      <c r="E13" s="70"/>
      <c r="F13" s="70"/>
      <c r="G13" s="62"/>
      <c r="H13" s="19"/>
      <c r="I13" s="1"/>
    </row>
    <row r="14" spans="1:9" x14ac:dyDescent="0.25">
      <c r="A14" s="1"/>
      <c r="B14" s="1"/>
      <c r="C14" s="1"/>
      <c r="D14" s="1"/>
      <c r="E14" s="1"/>
      <c r="F14" s="1"/>
      <c r="G14" s="63"/>
      <c r="H14" s="1"/>
      <c r="I14" s="1"/>
    </row>
    <row r="15" spans="1:9" x14ac:dyDescent="0.25">
      <c r="A15" s="1"/>
      <c r="B15" s="127" t="s">
        <v>61</v>
      </c>
      <c r="C15" s="128"/>
      <c r="D15" s="128"/>
      <c r="E15" s="128"/>
      <c r="F15" s="128"/>
      <c r="G15" s="140"/>
      <c r="H15" s="129"/>
      <c r="I15" s="1"/>
    </row>
    <row r="16" spans="1:9" x14ac:dyDescent="0.25">
      <c r="A16" s="1"/>
      <c r="B16" s="134" t="s">
        <v>62</v>
      </c>
      <c r="C16" s="135"/>
      <c r="D16" s="135"/>
      <c r="E16" s="135"/>
      <c r="F16" s="136"/>
      <c r="G16" s="59">
        <f>(G10+G11-G12)*(1+'Fane 13. Nøgletal'!C11)</f>
        <v>6411930.9380597612</v>
      </c>
      <c r="H16" s="14" t="s">
        <v>3</v>
      </c>
      <c r="I16" s="1"/>
    </row>
    <row r="17" spans="1:9" x14ac:dyDescent="0.25">
      <c r="A17" s="1"/>
      <c r="B17" s="134" t="s">
        <v>109</v>
      </c>
      <c r="C17" s="135"/>
      <c r="D17" s="135"/>
      <c r="E17" s="135"/>
      <c r="F17" s="136"/>
      <c r="G17" s="59">
        <v>-61907.125693653754</v>
      </c>
      <c r="H17" s="14" t="s">
        <v>3</v>
      </c>
      <c r="I17" s="1"/>
    </row>
    <row r="18" spans="1:9" x14ac:dyDescent="0.25">
      <c r="A18" s="1"/>
      <c r="B18" s="137" t="s">
        <v>63</v>
      </c>
      <c r="C18" s="138"/>
      <c r="D18" s="138"/>
      <c r="E18" s="138"/>
      <c r="F18" s="139"/>
      <c r="G18" s="59">
        <v>0</v>
      </c>
      <c r="H18" s="14" t="s">
        <v>3</v>
      </c>
      <c r="I18" s="1"/>
    </row>
    <row r="19" spans="1:9" x14ac:dyDescent="0.25">
      <c r="A19" s="1"/>
      <c r="B19" s="134" t="s">
        <v>64</v>
      </c>
      <c r="C19" s="135"/>
      <c r="D19" s="135"/>
      <c r="E19" s="135"/>
      <c r="F19" s="136"/>
      <c r="G19" s="59">
        <f>(G16+G17+G18)*'Fane 13. Nøgletal'!C22</f>
        <v>55245.207167585133</v>
      </c>
      <c r="H19" s="14" t="s">
        <v>3</v>
      </c>
      <c r="I19" s="1"/>
    </row>
    <row r="20" spans="1:9" x14ac:dyDescent="0.25">
      <c r="A20" s="1"/>
      <c r="B20" s="69"/>
      <c r="C20" s="70"/>
      <c r="D20" s="70"/>
      <c r="E20" s="70"/>
      <c r="F20" s="70"/>
      <c r="G20" s="62"/>
      <c r="H20" s="19"/>
      <c r="I20" s="1"/>
    </row>
    <row r="21" spans="1:9" x14ac:dyDescent="0.25">
      <c r="A21" s="1"/>
      <c r="B21" s="1"/>
      <c r="C21" s="1"/>
      <c r="D21" s="1"/>
      <c r="E21" s="1"/>
      <c r="F21" s="1"/>
      <c r="G21" s="63"/>
      <c r="H21" s="1"/>
      <c r="I21" s="1"/>
    </row>
    <row r="22" spans="1:9" x14ac:dyDescent="0.25">
      <c r="A22" s="1"/>
      <c r="B22" s="127" t="s">
        <v>65</v>
      </c>
      <c r="C22" s="128"/>
      <c r="D22" s="128"/>
      <c r="E22" s="128"/>
      <c r="F22" s="128"/>
      <c r="G22" s="140"/>
      <c r="H22" s="129"/>
      <c r="I22" s="1"/>
    </row>
    <row r="23" spans="1:9" x14ac:dyDescent="0.25">
      <c r="A23" s="1"/>
      <c r="B23" s="134" t="s">
        <v>66</v>
      </c>
      <c r="C23" s="135"/>
      <c r="D23" s="135"/>
      <c r="E23" s="135"/>
      <c r="F23" s="136"/>
      <c r="G23" s="59">
        <f>(SUM(G16:G18)-G19)*(1+'Fane 13. Nøgletal'!C11)</f>
        <v>6401160.3636263767</v>
      </c>
      <c r="H23" s="14" t="s">
        <v>3</v>
      </c>
      <c r="I23" s="1"/>
    </row>
    <row r="24" spans="1:9" x14ac:dyDescent="0.25">
      <c r="A24" s="1"/>
      <c r="B24" s="137" t="s">
        <v>67</v>
      </c>
      <c r="C24" s="138"/>
      <c r="D24" s="138"/>
      <c r="E24" s="138"/>
      <c r="F24" s="139"/>
      <c r="G24" s="59">
        <v>94413.798360090004</v>
      </c>
      <c r="H24" s="14" t="s">
        <v>3</v>
      </c>
      <c r="I24" s="1"/>
    </row>
    <row r="25" spans="1:9" x14ac:dyDescent="0.25">
      <c r="A25" s="1"/>
      <c r="B25" s="134" t="s">
        <v>68</v>
      </c>
      <c r="C25" s="135"/>
      <c r="D25" s="135"/>
      <c r="E25" s="135"/>
      <c r="F25" s="136"/>
      <c r="G25" s="59">
        <f>G23*'Fane 13. Nøgletal'!C22+G24*'Fane 13. Nøgletal'!C23</f>
        <v>58371.447036976024</v>
      </c>
      <c r="H25" s="14" t="s">
        <v>3</v>
      </c>
      <c r="I25" s="1"/>
    </row>
    <row r="26" spans="1:9" x14ac:dyDescent="0.25">
      <c r="A26" s="1"/>
      <c r="B26" s="69"/>
      <c r="C26" s="70"/>
      <c r="D26" s="70"/>
      <c r="E26" s="70"/>
      <c r="F26" s="70"/>
      <c r="G26" s="62"/>
      <c r="H26" s="19"/>
      <c r="I26" s="1"/>
    </row>
    <row r="27" spans="1:9" x14ac:dyDescent="0.25">
      <c r="A27" s="1"/>
      <c r="B27" s="1"/>
      <c r="C27" s="1"/>
      <c r="D27" s="1"/>
      <c r="E27" s="1"/>
      <c r="F27" s="1"/>
      <c r="G27" s="63"/>
      <c r="H27" s="1"/>
      <c r="I27" s="1"/>
    </row>
    <row r="28" spans="1:9" x14ac:dyDescent="0.25">
      <c r="A28" s="1"/>
      <c r="B28" s="127" t="s">
        <v>130</v>
      </c>
      <c r="C28" s="128"/>
      <c r="D28" s="128"/>
      <c r="E28" s="128"/>
      <c r="F28" s="128"/>
      <c r="G28" s="140"/>
      <c r="H28" s="129"/>
      <c r="I28" s="1"/>
    </row>
    <row r="29" spans="1:9" x14ac:dyDescent="0.25">
      <c r="A29" s="1"/>
      <c r="B29" s="134" t="s">
        <v>69</v>
      </c>
      <c r="C29" s="135"/>
      <c r="D29" s="135"/>
      <c r="E29" s="135"/>
      <c r="F29" s="136"/>
      <c r="G29" s="59">
        <f>(G23+G24-G25)*(1+'Fane 13. Nøgletal'!C13)</f>
        <v>6515736.5880718743</v>
      </c>
      <c r="H29" s="14" t="s">
        <v>3</v>
      </c>
      <c r="I29" s="1"/>
    </row>
    <row r="30" spans="1:9" x14ac:dyDescent="0.25">
      <c r="A30" s="1"/>
      <c r="B30" s="134" t="s">
        <v>123</v>
      </c>
      <c r="C30" s="135"/>
      <c r="D30" s="135"/>
      <c r="E30" s="135"/>
      <c r="F30" s="136"/>
      <c r="G30" s="59">
        <v>3320.5627904399998</v>
      </c>
      <c r="H30" s="14" t="s">
        <v>3</v>
      </c>
      <c r="I30" s="1"/>
    </row>
    <row r="31" spans="1:9" x14ac:dyDescent="0.25">
      <c r="A31" s="1"/>
      <c r="B31" s="134" t="s">
        <v>131</v>
      </c>
      <c r="C31" s="135"/>
      <c r="D31" s="135"/>
      <c r="E31" s="135"/>
      <c r="F31" s="136"/>
      <c r="G31" s="59">
        <f>(G29+G30)*'Fane 13. Nøgletal'!C24</f>
        <v>179274.07164871367</v>
      </c>
      <c r="H31" s="14" t="s">
        <v>3</v>
      </c>
      <c r="I31" s="1"/>
    </row>
    <row r="32" spans="1:9" x14ac:dyDescent="0.25">
      <c r="A32" s="1"/>
      <c r="B32" s="69"/>
      <c r="C32" s="70"/>
      <c r="D32" s="70"/>
      <c r="E32" s="70"/>
      <c r="F32" s="70"/>
      <c r="G32" s="62"/>
      <c r="H32" s="19"/>
      <c r="I32" s="1"/>
    </row>
    <row r="33" spans="1:9" x14ac:dyDescent="0.25">
      <c r="A33" s="1"/>
      <c r="B33" s="1"/>
      <c r="C33" s="1"/>
      <c r="D33" s="1"/>
      <c r="E33" s="1"/>
      <c r="F33" s="1"/>
      <c r="G33" s="63"/>
      <c r="H33" s="1"/>
      <c r="I33" s="1"/>
    </row>
    <row r="34" spans="1:9" x14ac:dyDescent="0.25">
      <c r="A34" s="1"/>
      <c r="B34" s="127" t="s">
        <v>135</v>
      </c>
      <c r="C34" s="128"/>
      <c r="D34" s="128"/>
      <c r="E34" s="128"/>
      <c r="F34" s="128"/>
      <c r="G34" s="140"/>
      <c r="H34" s="129"/>
      <c r="I34" s="1"/>
    </row>
    <row r="35" spans="1:9" x14ac:dyDescent="0.25">
      <c r="A35" s="1"/>
      <c r="B35" s="134" t="s">
        <v>72</v>
      </c>
      <c r="C35" s="135"/>
      <c r="D35" s="135"/>
      <c r="E35" s="135"/>
      <c r="F35" s="136"/>
      <c r="G35" s="59">
        <f>(G29+G30-G31)*(1+'Fane 13. Nøgletal'!C13)</f>
        <v>6417128.4327800069</v>
      </c>
      <c r="H35" s="14" t="s">
        <v>3</v>
      </c>
      <c r="I35" s="1"/>
    </row>
    <row r="36" spans="1:9" x14ac:dyDescent="0.25">
      <c r="A36" s="1"/>
      <c r="B36" s="134" t="s">
        <v>141</v>
      </c>
      <c r="C36" s="135"/>
      <c r="D36" s="135"/>
      <c r="E36" s="135"/>
      <c r="F36" s="136"/>
      <c r="G36" s="59">
        <f>SUM('Fane 3. Omkostninger i ØR2022'!E11)*(1+'Fane 13. Nøgletal'!C14)</f>
        <v>49714.498635320007</v>
      </c>
      <c r="H36" s="14" t="s">
        <v>3</v>
      </c>
      <c r="I36" s="1"/>
    </row>
    <row r="37" spans="1:9" x14ac:dyDescent="0.25">
      <c r="A37" s="1"/>
      <c r="B37" s="134" t="s">
        <v>136</v>
      </c>
      <c r="C37" s="135"/>
      <c r="D37" s="135"/>
      <c r="E37" s="135"/>
      <c r="F37" s="136"/>
      <c r="G37" s="59">
        <f>G35*'Fane 13. Nøgletal'!C24+G36*'Fane 13. Nøgletal'!C25</f>
        <v>177206.80648125292</v>
      </c>
      <c r="H37" s="14" t="s">
        <v>3</v>
      </c>
      <c r="I37" s="1"/>
    </row>
    <row r="38" spans="1:9" x14ac:dyDescent="0.25">
      <c r="A38" s="1"/>
      <c r="B38" s="69"/>
      <c r="C38" s="70"/>
      <c r="D38" s="70"/>
      <c r="E38" s="70"/>
      <c r="F38" s="70"/>
      <c r="G38" s="62"/>
      <c r="H38" s="19"/>
      <c r="I38" s="1"/>
    </row>
    <row r="39" spans="1:9" x14ac:dyDescent="0.25">
      <c r="A39" s="1"/>
      <c r="B39" s="1"/>
      <c r="C39" s="1"/>
      <c r="D39" s="1"/>
      <c r="E39" s="1"/>
      <c r="F39" s="1"/>
      <c r="G39" s="63"/>
      <c r="H39" s="1"/>
      <c r="I39" s="1"/>
    </row>
    <row r="40" spans="1:9" x14ac:dyDescent="0.25">
      <c r="A40" s="1"/>
      <c r="B40" s="127" t="s">
        <v>200</v>
      </c>
      <c r="C40" s="128"/>
      <c r="D40" s="128"/>
      <c r="E40" s="128"/>
      <c r="F40" s="128"/>
      <c r="G40" s="140"/>
      <c r="H40" s="129"/>
      <c r="I40" s="1"/>
    </row>
    <row r="41" spans="1:9" x14ac:dyDescent="0.25">
      <c r="A41" s="1"/>
      <c r="B41" s="134" t="s">
        <v>71</v>
      </c>
      <c r="C41" s="135"/>
      <c r="D41" s="135"/>
      <c r="E41" s="135"/>
      <c r="F41" s="136"/>
      <c r="G41" s="59">
        <f>(G35+G36-G37)*(1+'Fane 13. Nøgletal'!C15)</f>
        <v>6513547.1709817266</v>
      </c>
      <c r="H41" s="14" t="s">
        <v>3</v>
      </c>
      <c r="I41" s="1"/>
    </row>
    <row r="42" spans="1:9" x14ac:dyDescent="0.25">
      <c r="A42" s="1"/>
      <c r="B42" s="134" t="s">
        <v>211</v>
      </c>
      <c r="C42" s="135"/>
      <c r="D42" s="135"/>
      <c r="E42" s="135"/>
      <c r="F42" s="136"/>
      <c r="G42" s="64">
        <f>SUM('Fane 2.1. Økonomisk ramme 2023'!C10+'Fane 2.1. Økonomisk ramme 2023'!C12+'Fane 2.1. Økonomisk ramme 2023'!C14)*(1+'Fane 13. Nøgletal'!C15)</f>
        <v>19285.108067520003</v>
      </c>
      <c r="H42" s="14" t="s">
        <v>3</v>
      </c>
      <c r="I42" s="1"/>
    </row>
    <row r="43" spans="1:9" x14ac:dyDescent="0.25">
      <c r="A43" s="1"/>
      <c r="B43" s="134" t="s">
        <v>70</v>
      </c>
      <c r="C43" s="135"/>
      <c r="D43" s="135"/>
      <c r="E43" s="135"/>
      <c r="F43" s="136"/>
      <c r="G43" s="59">
        <f>(G41+G42)*'Fane 13. Nøgletal'!C26</f>
        <v>0</v>
      </c>
      <c r="H43" s="14" t="s">
        <v>3</v>
      </c>
      <c r="I43" s="1"/>
    </row>
    <row r="44" spans="1:9" x14ac:dyDescent="0.25">
      <c r="A44" s="1"/>
      <c r="B44" s="69"/>
      <c r="C44" s="70"/>
      <c r="D44" s="70"/>
      <c r="E44" s="70"/>
      <c r="F44" s="70"/>
      <c r="G44" s="62"/>
      <c r="H44" s="19"/>
      <c r="I44" s="1"/>
    </row>
    <row r="45" spans="1:9" ht="12" customHeight="1" x14ac:dyDescent="0.25">
      <c r="A45" s="1"/>
      <c r="B45" s="1"/>
      <c r="C45" s="1"/>
      <c r="D45" s="1"/>
      <c r="E45" s="1"/>
      <c r="F45" s="1"/>
      <c r="G45" s="63"/>
      <c r="H45" s="1"/>
      <c r="I45" s="1"/>
    </row>
    <row r="46" spans="1:9" x14ac:dyDescent="0.25">
      <c r="A46" s="1"/>
      <c r="B46" s="127" t="s">
        <v>201</v>
      </c>
      <c r="C46" s="128"/>
      <c r="D46" s="128"/>
      <c r="E46" s="128"/>
      <c r="F46" s="128"/>
      <c r="G46" s="140"/>
      <c r="H46" s="129"/>
      <c r="I46" s="1"/>
    </row>
    <row r="47" spans="1:9" x14ac:dyDescent="0.25">
      <c r="A47" s="1"/>
      <c r="B47" s="134" t="s">
        <v>124</v>
      </c>
      <c r="C47" s="135"/>
      <c r="D47" s="135"/>
      <c r="E47" s="135"/>
      <c r="F47" s="136"/>
      <c r="G47" s="59">
        <f>(G41+G42-G43)*(1+'Fane 13. Nøgletal'!C15)</f>
        <v>6765401.1081834007</v>
      </c>
      <c r="H47" s="14" t="s">
        <v>3</v>
      </c>
      <c r="I47" s="1"/>
    </row>
    <row r="48" spans="1:9" x14ac:dyDescent="0.25">
      <c r="A48" s="1"/>
      <c r="B48" s="134" t="s">
        <v>125</v>
      </c>
      <c r="C48" s="135"/>
      <c r="D48" s="135"/>
      <c r="E48" s="135"/>
      <c r="F48" s="136"/>
      <c r="G48" s="59">
        <f>(G47)*'Fane 13. Nøgletal'!C26</f>
        <v>0</v>
      </c>
      <c r="H48" s="14" t="s">
        <v>3</v>
      </c>
      <c r="I48" s="1"/>
    </row>
    <row r="49" spans="1:9" x14ac:dyDescent="0.25">
      <c r="A49" s="1"/>
      <c r="B49" s="69"/>
      <c r="C49" s="70"/>
      <c r="D49" s="70"/>
      <c r="E49" s="70"/>
      <c r="F49" s="70"/>
      <c r="G49" s="62"/>
      <c r="H49" s="19"/>
      <c r="I49" s="1"/>
    </row>
    <row r="50" spans="1:9" x14ac:dyDescent="0.25">
      <c r="A50" s="1"/>
      <c r="B50" s="1"/>
      <c r="C50" s="1"/>
      <c r="D50" s="1"/>
      <c r="E50" s="1"/>
      <c r="F50" s="1"/>
      <c r="G50" s="63"/>
      <c r="H50" s="1"/>
      <c r="I50" s="1"/>
    </row>
    <row r="51" spans="1:9" x14ac:dyDescent="0.25">
      <c r="A51" s="1"/>
      <c r="B51" s="127" t="s">
        <v>142</v>
      </c>
      <c r="C51" s="128"/>
      <c r="D51" s="128"/>
      <c r="E51" s="128"/>
      <c r="F51" s="128"/>
      <c r="G51" s="140"/>
      <c r="H51" s="129"/>
      <c r="I51" s="1"/>
    </row>
    <row r="52" spans="1:9" x14ac:dyDescent="0.25">
      <c r="A52" s="1"/>
      <c r="B52" s="134" t="s">
        <v>143</v>
      </c>
      <c r="C52" s="135"/>
      <c r="D52" s="135"/>
      <c r="E52" s="135"/>
      <c r="F52" s="136"/>
      <c r="G52" s="59">
        <f>(G47-G48)*(1+'Fane 13. Nøgletal'!C15)</f>
        <v>7006249.38763473</v>
      </c>
      <c r="H52" s="14" t="s">
        <v>3</v>
      </c>
      <c r="I52" s="1"/>
    </row>
    <row r="53" spans="1:9" x14ac:dyDescent="0.25">
      <c r="A53" s="1"/>
      <c r="B53" s="134" t="s">
        <v>144</v>
      </c>
      <c r="C53" s="135"/>
      <c r="D53" s="135"/>
      <c r="E53" s="135"/>
      <c r="F53" s="136"/>
      <c r="G53" s="59">
        <f>(G52)*'Fane 13. Nøgletal'!C26</f>
        <v>0</v>
      </c>
      <c r="H53" s="14" t="s">
        <v>3</v>
      </c>
      <c r="I53" s="1"/>
    </row>
    <row r="54" spans="1:9" x14ac:dyDescent="0.25">
      <c r="A54" s="1"/>
      <c r="B54" s="69"/>
      <c r="C54" s="70"/>
      <c r="D54" s="70"/>
      <c r="E54" s="70"/>
      <c r="F54" s="70"/>
      <c r="G54" s="62"/>
      <c r="H54" s="19"/>
      <c r="I54" s="1"/>
    </row>
    <row r="55" spans="1:9" x14ac:dyDescent="0.25">
      <c r="A55" s="1"/>
      <c r="B55" s="1"/>
      <c r="C55" s="1"/>
      <c r="D55" s="1"/>
      <c r="E55" s="1"/>
      <c r="F55" s="1"/>
      <c r="G55" s="63"/>
      <c r="H55" s="1"/>
      <c r="I55" s="1"/>
    </row>
    <row r="56" spans="1:9" x14ac:dyDescent="0.25">
      <c r="A56" s="1"/>
      <c r="B56" s="127" t="s">
        <v>177</v>
      </c>
      <c r="C56" s="128"/>
      <c r="D56" s="128"/>
      <c r="E56" s="128"/>
      <c r="F56" s="128"/>
      <c r="G56" s="140"/>
      <c r="H56" s="129"/>
      <c r="I56" s="1"/>
    </row>
    <row r="57" spans="1:9" x14ac:dyDescent="0.25">
      <c r="A57" s="1"/>
      <c r="B57" s="134" t="s">
        <v>178</v>
      </c>
      <c r="C57" s="135"/>
      <c r="D57" s="135"/>
      <c r="E57" s="135"/>
      <c r="F57" s="136"/>
      <c r="G57" s="59">
        <f>(G52-G53)*(1+'Fane 13. Nøgletal'!C15)</f>
        <v>7255671.8658345267</v>
      </c>
      <c r="H57" s="14" t="s">
        <v>3</v>
      </c>
      <c r="I57" s="1"/>
    </row>
    <row r="58" spans="1:9" x14ac:dyDescent="0.25">
      <c r="A58" s="1"/>
      <c r="B58" s="134" t="s">
        <v>179</v>
      </c>
      <c r="C58" s="135"/>
      <c r="D58" s="135"/>
      <c r="E58" s="135"/>
      <c r="F58" s="136"/>
      <c r="G58" s="59">
        <f>(G57)*'Fane 13. Nøgletal'!C26</f>
        <v>0</v>
      </c>
      <c r="H58" s="14" t="s">
        <v>3</v>
      </c>
      <c r="I58" s="1"/>
    </row>
    <row r="59" spans="1:9" x14ac:dyDescent="0.25">
      <c r="A59" s="1"/>
      <c r="B59" s="69"/>
      <c r="C59" s="70"/>
      <c r="D59" s="70"/>
      <c r="E59" s="70"/>
      <c r="F59" s="70"/>
      <c r="G59" s="70"/>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FJ6anWTd6x6u00y3zy2n+YEDpqvO22vk8o4VNbX4fP0yQgm0Xiior+s8AFw3D8eyAPYXstmSMXeMDXLxGXVR1Q==" saltValue="qiw7PiAienImPTMOZlgOY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8" t="s">
        <v>82</v>
      </c>
      <c r="C3" s="108"/>
      <c r="D3" s="108"/>
      <c r="E3" s="108"/>
      <c r="F3" s="108"/>
      <c r="G3" s="108"/>
      <c r="H3" s="1"/>
    </row>
    <row r="4" spans="1:8" ht="15" customHeight="1" x14ac:dyDescent="0.25">
      <c r="A4" s="1"/>
      <c r="B4" s="108"/>
      <c r="C4" s="108"/>
      <c r="D4" s="108"/>
      <c r="E4" s="108"/>
      <c r="F4" s="108"/>
      <c r="G4" s="10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9"/>
      <c r="H8" s="1"/>
    </row>
    <row r="9" spans="1:8" x14ac:dyDescent="0.25">
      <c r="A9" s="1"/>
      <c r="B9" s="85" t="s">
        <v>180</v>
      </c>
      <c r="C9" s="86"/>
      <c r="D9" s="86"/>
      <c r="E9" s="86"/>
      <c r="F9" s="87"/>
      <c r="G9" s="28">
        <v>0</v>
      </c>
      <c r="H9" s="1"/>
    </row>
    <row r="10" spans="1:8" x14ac:dyDescent="0.25">
      <c r="A10" s="1"/>
      <c r="B10" s="83"/>
      <c r="C10" s="84"/>
      <c r="D10" s="84"/>
      <c r="E10" s="84"/>
      <c r="F10" s="84"/>
      <c r="G10" s="19"/>
      <c r="H10" s="1"/>
    </row>
    <row r="11" spans="1:8" x14ac:dyDescent="0.25">
      <c r="A11" s="1"/>
      <c r="B11" s="1"/>
      <c r="C11" s="1"/>
      <c r="D11" s="1"/>
      <c r="E11" s="1"/>
      <c r="F11" s="1"/>
      <c r="G11" s="1"/>
      <c r="H11" s="1"/>
    </row>
    <row r="12" spans="1:8" ht="31.5" customHeight="1" x14ac:dyDescent="0.25">
      <c r="A12" s="1"/>
      <c r="B12" s="144" t="s">
        <v>202</v>
      </c>
      <c r="C12" s="144"/>
      <c r="D12" s="144"/>
      <c r="E12" s="144"/>
      <c r="F12" s="144"/>
      <c r="G12" s="14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5LtlBjTyJMD2x9lGbdMQVI2OZmEbwFYkgfmiFC4NjzrO5UONHJQYeihFiV9lKuwvfQTr56FYWEwXlOrWAZQfJg==" saltValue="jlCVww/mO2/tEogHlDj4c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2022-12-01T09:29:35Z</dcterms:modified>
</cp:coreProperties>
</file>