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FORS Vand Roskilde AS (V155)\ØR2027\"/>
    </mc:Choice>
  </mc:AlternateContent>
  <xr:revisionPtr revIDLastSave="0" documentId="13_ncr:1_{4063802E-32B0-47D4-A042-FB62723FA4A9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Differencekonto'!$A$1:$E$27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Differencekonto'!$B$25</definedName>
    <definedName name="DiffKonto_RegulatoriskePct_SidsteÅr">'2. Differencekonto'!$B$24</definedName>
    <definedName name="DiffKonto_Tabel">'2. Differencekonto'!$B$18:$D$20</definedName>
    <definedName name="DiffKonto_Tabel_Note">'2. Differencekonto'!$B$21</definedName>
    <definedName name="DiffKonto_Tabel_Saldo">'2. Differencekonto'!$B$20</definedName>
    <definedName name="DiffKonto_Tabel_Saldo_SidsteÅr">'2. Differencekonto'!$B$19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Differencekonto'!$B$8:$D$16</definedName>
    <definedName name="Kontrol_Tabel_IR">'2. Differencekonto'!$B$9</definedName>
    <definedName name="Kontrol_Tabel_MelRes">'2. Differencekonto'!$B$16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10-tillæg'!$B$9:$B$14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Differencekonto'!$A$1:$E$27</definedName>
    <definedName name="Procentandel_Tabel">'2. Differencekonto'!$B$23:$D$25</definedName>
    <definedName name="Procentandel_Tabel_Note">'2. Differencekonto'!$B$26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4" l="1"/>
  <c r="C10" i="14"/>
  <c r="C24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C14" i="7" s="1"/>
  <c r="E13" i="8"/>
  <c r="C13" i="7" s="1"/>
  <c r="E12" i="8"/>
  <c r="C12" i="7" s="1"/>
  <c r="E11" i="8"/>
  <c r="C11" i="7" s="1"/>
  <c r="E10" i="8"/>
  <c r="E9" i="8"/>
  <c r="C9" i="7" s="1"/>
  <c r="C25" i="7"/>
  <c r="C18" i="3" s="1"/>
  <c r="C16" i="6"/>
  <c r="C13" i="3" l="1"/>
  <c r="C16" i="12"/>
  <c r="C20" i="3" s="1"/>
  <c r="C12" i="3"/>
  <c r="C12" i="11"/>
  <c r="C19" i="3" s="1"/>
  <c r="C10" i="7"/>
  <c r="C20" i="7" s="1"/>
  <c r="C12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3" i="4" l="1"/>
  <c r="C16" i="4" s="1"/>
  <c r="C20" i="4" s="1"/>
  <c r="C25" i="4" s="1"/>
  <c r="C10" i="3"/>
  <c r="C11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<sst xmlns="http://schemas.openxmlformats.org/spreadsheetml/2006/main" count="342" uniqueCount="159">
  <si>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</si>
  <si>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</si>
  <si>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</si>
  <si>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</si>
  <si>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</si>
  <si>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</si>
  <si>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</si>
  <si>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</si>
  <si>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</si>
  <si>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</si>
  <si>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</si>
  <si>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</si>
  <si>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</si>
  <si>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</si>
  <si>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</si>
  <si>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</si>
  <si>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</si>
  <si>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</si>
  <si>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</si>
  <si>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</si>
  <si>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</si>
  <si>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</si>
  <si>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</si>
  <si>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</si>
  <si>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</si>
  <si>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</si>
  <si>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</si>
  <si>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</si>
  <si>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</si>
  <si>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</si>
  <si>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</si>
  <si>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</si>
  <si>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</si>
  <si>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</si>
  <si>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</si>
  <si>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</si>
  <si>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</si>
  <si>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</si>
  <si>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</si>
  <si>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</si>
  <si>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</si>
  <si>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</si>
  <si>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</si>
  <si>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</si>
  <si>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</si>
  <si>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</si>
  <si>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</si>
  <si>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</si>
  <si>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</si>
  <si>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</si>
  <si>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</si>
  <si>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</si>
  <si>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</si>
  <si>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</si>
  <si>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</si>
  <si>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</si>
  <si>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</si>
  <si>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</si>
  <si>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</si>
  <si>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</si>
  <si>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</si>
  <si>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</si>
  <si>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</si>
  <si>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</si>
  <si>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</si>
  <si>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</si>
  <si>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</si>
  <si>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</si>
  <si>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</si>
  <si>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</si>
  <si>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</si>
  <si>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</si>
  <si>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</si>
  <si>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</si>
  <si>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</si>
  <si>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</si>
  <si>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</si>
  <si>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</si>
  <si>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</si>
  <si>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</si>
  <si>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</si>
  <si>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</si>
  <si>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</si>
  <si>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</si>
  <si>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</si>
  <si>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</si>
  <si>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</si>
  <si>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</si>
  <si>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</si>
  <si>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</si>
  <si>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</si>
  <si>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</si>
  <si>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</si>
  <si>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</si>
  <si>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</si>
  <si>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</si>
  <si>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</si>
  <si>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</si>
  <si>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</si>
  <si>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</si>
  <si>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</si>
  <si>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</si>
  <si>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</si>
  <si>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</si>
  <si>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</si>
  <si>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</si>
  <si>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</si>
  <si>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</si>
  <si>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</si>
  <si>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</si>
  <si>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</si>
  <si>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</si>
  <si>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</si>
  <si>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</si>
  <si>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</si>
  <si>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</si>
  <si>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</si>
  <si>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</si>
  <si>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</si>
  <si>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</si>
  <si>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</si>
  <si>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</si>
  <si>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</si>
  <si>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</si>
  <si>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</si>
  <si>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</si>
  <si>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</si>
  <si>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</si>
  <si>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</si>
  <si>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</si>
  <si>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</si>
  <si>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</si>
  <si>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</si>
  <si>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</si>
  <si>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</si>
  <si>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</si>
  <si>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</si>
  <si>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</si>
  <si>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</si>
  <si>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</si>
  <si>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</si>
  <si>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</si>
  <si>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</si>
  <si>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</si>
  <si>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</si>
  <si>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</si>
  <si>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</si>
  <si>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Selskabsskat</t>
  </si>
  <si>
    <t>Øvrige afgifter</t>
  </si>
  <si>
    <t>Aftaler om dyrkningspraksis 18.291.418 kr./40 = 457.285 kr.</t>
  </si>
  <si>
    <t>NIS 2</t>
  </si>
  <si>
    <t>FVR §13- Omlægning af Dr. Margrethes vej</t>
  </si>
  <si>
    <t>Nye tilslutninger 2025</t>
  </si>
  <si>
    <t>CSRD</t>
  </si>
  <si>
    <t>Grundvandsbeskyttelse, BNBO (Roskilde)</t>
  </si>
  <si>
    <t>Sekundavand Maglekilden (midlertidigt tillæg)</t>
  </si>
  <si>
    <t>Note: En positiv saldo på differencekontoen angiver, at I (vandselskabet) har takstmidler til gode hos forbrugerne. En negativ saldo angiver omvendt, at forbrugerne har takstmidler til gode hos jer.</t>
  </si>
  <si>
    <t>Økonomisk ramme for 2026</t>
  </si>
  <si>
    <t>Periodiserede § 10-tillæg godkendt i 2025 til den økonomiske ramme for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</si>
</sst>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0Z68ToUT7IIYuO6s7lNOy/9yqjXHAO4gOn9kKLnsYN1KcL+ZSs5K9rJtqr7OGAQZ1NuNe0+usJlcWIgPXdqN4w==" saltValue="MGUij5LtUdb7jDqBgFsgpA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56939372.843307287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771886.10357799998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-29370.958821119999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-1153637.7597612834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-400681.71145946067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724045.63386728021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56851614.150710709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478952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57330566.150710709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TrlHLnHi4HuAa7dt159fVoz9A3l+RU+488QqNW2WLKbpTdFjxAs4uI/LW7n4/0qek6dhXC7M5ixuZCdBngNrPw==" saltValue="p9IbZcYNdm24nRx0Pg6CUg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3.14062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82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83</v>
      </c>
      <c r="C8" s="26"/>
      <c r="D8" s="27"/>
      <c r="E8" s="11"/>
    </row>
    <row r="9" spans="1:5" ht="15" customHeight="1" x14ac:dyDescent="0.25">
      <c r="A9" s="11"/>
      <c r="B9" s="44" t="s">
        <v>127</v>
      </c>
      <c r="C9" s="45">
        <v>77890788</v>
      </c>
      <c r="D9" s="46" t="s">
        <v>31</v>
      </c>
      <c r="E9" s="11"/>
    </row>
    <row r="10" spans="1:5" ht="15" customHeight="1" x14ac:dyDescent="0.25">
      <c r="A10" s="11"/>
      <c r="B10" s="44" t="s">
        <v>129</v>
      </c>
      <c r="C10" s="45">
        <f>'3. Omk. i ØR2026'!C10</f>
        <v>183992.026992</v>
      </c>
      <c r="D10" s="46" t="s">
        <v>31</v>
      </c>
      <c r="E10" s="11"/>
    </row>
    <row r="11" spans="1:5" ht="15" customHeight="1" x14ac:dyDescent="0.25">
      <c r="A11" s="11"/>
      <c r="B11" s="44" t="s">
        <v>158</v>
      </c>
      <c r="C11" s="45">
        <v>21667</v>
      </c>
      <c r="D11" s="46" t="s">
        <v>31</v>
      </c>
      <c r="E11" s="11"/>
    </row>
    <row r="12" spans="1:5" ht="15" customHeight="1" x14ac:dyDescent="0.25">
      <c r="A12" s="11"/>
      <c r="B12" s="44" t="s">
        <v>130</v>
      </c>
      <c r="C12" s="47">
        <f>'5.1. § 10-tillæg'!C20+'5.2. Varige tillæg'!C18+'5.2. Varige tillæg'!E18+'5.3. Engangstillæg'!C13+'5.3. Engangstillæg'!E13</f>
        <v>5182846.5697071105</v>
      </c>
      <c r="D12" s="46" t="s">
        <v>31</v>
      </c>
      <c r="E12" s="11"/>
    </row>
    <row r="13" spans="1:5" ht="15" customHeight="1" x14ac:dyDescent="0.25">
      <c r="A13" s="11"/>
      <c r="B13" s="35" t="s">
        <v>128</v>
      </c>
      <c r="C13" s="36">
        <f>C9+C10+C11+C12</f>
        <v>83279293.596699104</v>
      </c>
      <c r="D13" s="37" t="s">
        <v>31</v>
      </c>
      <c r="E13" s="11"/>
    </row>
    <row r="14" spans="1:5" ht="15" customHeight="1" x14ac:dyDescent="0.25">
      <c r="A14" s="11"/>
      <c r="B14" s="44" t="s">
        <v>84</v>
      </c>
      <c r="C14" s="45">
        <v>80798642</v>
      </c>
      <c r="D14" s="46" t="s">
        <v>31</v>
      </c>
      <c r="E14" s="11"/>
    </row>
    <row r="15" spans="1:5" ht="15" customHeight="1" x14ac:dyDescent="0.25">
      <c r="A15" s="11"/>
      <c r="B15" s="48" t="s">
        <v>43</v>
      </c>
      <c r="C15" s="45">
        <v>-7890925</v>
      </c>
      <c r="D15" s="46" t="s">
        <v>31</v>
      </c>
      <c r="E15" s="11"/>
    </row>
    <row r="16" spans="1:5" ht="15" customHeight="1" x14ac:dyDescent="0.25">
      <c r="A16" s="11"/>
      <c r="B16" s="25" t="s">
        <v>131</v>
      </c>
      <c r="C16" s="41">
        <f>C13-C14</f>
        <v>2480651.5966991037</v>
      </c>
      <c r="D16" s="27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25" t="s">
        <v>85</v>
      </c>
      <c r="C18" s="26"/>
      <c r="D18" s="27"/>
      <c r="E18" s="11"/>
    </row>
    <row r="19" spans="1:5" ht="15" customHeight="1" x14ac:dyDescent="0.25">
      <c r="A19" s="11"/>
      <c r="B19" s="44" t="s">
        <v>126</v>
      </c>
      <c r="C19" s="45">
        <v>-2423450</v>
      </c>
      <c r="D19" s="46" t="s">
        <v>31</v>
      </c>
      <c r="E19" s="11"/>
    </row>
    <row r="20" spans="1:5" ht="15" customHeight="1" x14ac:dyDescent="0.25">
      <c r="A20" s="11"/>
      <c r="B20" s="25" t="s">
        <v>141</v>
      </c>
      <c r="C20" s="41">
        <f>C16+C19</f>
        <v>57201.596699103713</v>
      </c>
      <c r="D20" s="27" t="s">
        <v>31</v>
      </c>
      <c r="E20" s="11"/>
    </row>
    <row r="21" spans="1:5" ht="29.25" customHeight="1" x14ac:dyDescent="0.25">
      <c r="A21" s="11"/>
      <c r="B21" s="49" t="s">
        <v>156</v>
      </c>
      <c r="C21" s="50"/>
      <c r="D21" s="51"/>
      <c r="E21" s="11"/>
    </row>
    <row r="22" spans="1:5" ht="15" customHeight="1" x14ac:dyDescent="0.25">
      <c r="A22" s="11"/>
      <c r="B22" s="11"/>
      <c r="C22" s="43"/>
      <c r="D22" s="11"/>
      <c r="E22" s="11"/>
    </row>
    <row r="23" spans="1:5" ht="15" customHeight="1" x14ac:dyDescent="0.25">
      <c r="A23" s="11"/>
      <c r="B23" s="25" t="s">
        <v>142</v>
      </c>
      <c r="C23" s="26"/>
      <c r="D23" s="27"/>
      <c r="E23" s="11"/>
    </row>
    <row r="24" spans="1:5" ht="15" customHeight="1" x14ac:dyDescent="0.25">
      <c r="A24" s="11"/>
      <c r="B24" s="52" t="s">
        <v>143</v>
      </c>
      <c r="C24" s="53">
        <f>100*-2423450/(75429569+4806274)</f>
        <v>-3.0204082232924256</v>
      </c>
      <c r="D24" s="46" t="s">
        <v>144</v>
      </c>
      <c r="E24" s="11"/>
    </row>
    <row r="25" spans="1:5" ht="15" customHeight="1" x14ac:dyDescent="0.25">
      <c r="A25" s="11"/>
      <c r="B25" s="52" t="s">
        <v>145</v>
      </c>
      <c r="C25" s="53">
        <f>C20/C13*100</f>
        <v>6.8686457615883253E-2</v>
      </c>
      <c r="D25" s="46" t="s">
        <v>144</v>
      </c>
      <c r="E25" s="11"/>
    </row>
    <row r="26" spans="1:5" ht="56.25" customHeight="1" x14ac:dyDescent="0.25">
      <c r="A26" s="11"/>
      <c r="B26" s="54" t="s">
        <v>146</v>
      </c>
      <c r="C26" s="55"/>
      <c r="D26" s="56"/>
      <c r="E26" s="11"/>
    </row>
    <row r="27" spans="1:5" ht="15" customHeight="1" x14ac:dyDescent="0.25">
      <c r="A27" s="11"/>
      <c r="B27" s="11"/>
      <c r="C27" s="43"/>
      <c r="D27" s="11"/>
      <c r="E27" s="11"/>
    </row>
  </sheetData>
  <sheetProtection algorithmName="SHA-512" hashValue="KCENzBDlB+IXigrH2PCpSorjSN8fjiehXkj5lIfes9E7ZGTNbOsivoo1y1EO0/X3yb9vg1ZaNHqUu5ZIX8XFIg==" saltValue="ae30H3denTdc3epHOZbvFw==" spinCount="100000" sheet="1" objects="1" scenarios="1"/>
  <mergeCells count="3">
    <mergeCell ref="B26:D26"/>
    <mergeCell ref="B3:D5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86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134</v>
      </c>
      <c r="C8" s="60"/>
      <c r="D8" s="61"/>
      <c r="E8" s="57"/>
    </row>
    <row r="9" spans="1:5" ht="15" customHeight="1" x14ac:dyDescent="0.25">
      <c r="A9" s="57"/>
      <c r="B9" s="62" t="s">
        <v>121</v>
      </c>
      <c r="C9" s="63">
        <v>54692881.550316639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183992.026992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-1097537.4715461729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-380318.15274053038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3540354.8902853541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56939372.843307287</v>
      </c>
      <c r="D17" s="71" t="s">
        <v>31</v>
      </c>
      <c r="E17" s="57"/>
    </row>
    <row r="18" spans="1:5" ht="15" customHeight="1" x14ac:dyDescent="0.25">
      <c r="A18" s="57"/>
      <c r="B18" s="72" t="s">
        <v>122</v>
      </c>
      <c r="C18" s="68">
        <v>21667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0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0</v>
      </c>
      <c r="D20" s="77" t="s">
        <v>31</v>
      </c>
      <c r="E20" s="57"/>
    </row>
    <row r="21" spans="1:5" ht="15" customHeight="1" x14ac:dyDescent="0.25">
      <c r="A21" s="57"/>
      <c r="B21" s="62" t="s">
        <v>123</v>
      </c>
      <c r="C21" s="68">
        <v>0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157</v>
      </c>
      <c r="C23" s="78">
        <v>56961039.843307287</v>
      </c>
      <c r="D23" s="61" t="s">
        <v>31</v>
      </c>
      <c r="E23" s="57"/>
    </row>
    <row r="24" spans="1:5" ht="30" customHeight="1" x14ac:dyDescent="0.25">
      <c r="A24" s="57"/>
      <c r="B24" s="79" t="s">
        <v>135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w9mhj/91xlaiRx86BIi/tGdDwmaQ9AW9MtgK3qI4m1dnQGt5WIV6+qjYBJePZddME4KsNu6HxansIJXaKOcf2A==" saltValue="+6I1SeJP4rjPVRdpX87hnw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87</v>
      </c>
      <c r="C8" s="84"/>
      <c r="D8" s="85"/>
      <c r="E8" s="11"/>
    </row>
    <row r="9" spans="1:5" ht="15" customHeight="1" x14ac:dyDescent="0.25">
      <c r="A9" s="11"/>
      <c r="B9" s="52" t="s">
        <v>88</v>
      </c>
      <c r="C9" s="2">
        <v>20276662.31336138</v>
      </c>
      <c r="D9" s="46" t="s">
        <v>31</v>
      </c>
      <c r="E9" s="11"/>
    </row>
    <row r="10" spans="1:5" ht="15" customHeight="1" x14ac:dyDescent="0.25">
      <c r="A10" s="11"/>
      <c r="B10" s="86" t="s">
        <v>89</v>
      </c>
      <c r="C10" s="3">
        <f>-'8. Nøgletal'!C19*C9</f>
        <v>-405533.24626722763</v>
      </c>
      <c r="D10" s="46" t="s">
        <v>31</v>
      </c>
      <c r="E10" s="11"/>
    </row>
    <row r="11" spans="1:5" ht="15" customHeight="1" x14ac:dyDescent="0.25">
      <c r="A11" s="11"/>
      <c r="B11" s="86" t="s">
        <v>90</v>
      </c>
      <c r="C11" s="2">
        <f>('5.2. Varige tillæg'!C18)*(1+'8. Nøgletal'!C9)*(1-'8. Nøgletal'!C19)+'5.6 Anlægsprojekter'!C12-'6. Bortfald'!C12+'7. Tilknyttet virksomhed'!C12</f>
        <v>162956.50587888001</v>
      </c>
      <c r="D11" s="46" t="s">
        <v>31</v>
      </c>
      <c r="E11" s="11"/>
    </row>
    <row r="12" spans="1:5" ht="15" customHeight="1" x14ac:dyDescent="0.25">
      <c r="A12" s="11"/>
      <c r="B12" s="52" t="s">
        <v>91</v>
      </c>
      <c r="C12" s="2">
        <f>SUM(C9:C11)</f>
        <v>20034085.572973032</v>
      </c>
      <c r="D12" s="46" t="s">
        <v>31</v>
      </c>
      <c r="E12" s="11"/>
    </row>
    <row r="13" spans="1:5" ht="15" customHeight="1" x14ac:dyDescent="0.25">
      <c r="A13" s="11"/>
      <c r="B13" s="87" t="s">
        <v>92</v>
      </c>
      <c r="C13" s="88">
        <f>-C12*'8. Nøgletal'!C19</f>
        <v>-400681.71145946067</v>
      </c>
      <c r="D13" s="89" t="s">
        <v>31</v>
      </c>
      <c r="E13" s="90"/>
    </row>
    <row r="14" spans="1:5" ht="15" customHeight="1" x14ac:dyDescent="0.25">
      <c r="A14" s="11"/>
      <c r="B14" s="83" t="s">
        <v>93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45997461.102750972</v>
      </c>
      <c r="D15" s="46" t="s">
        <v>31</v>
      </c>
      <c r="E15" s="11"/>
    </row>
    <row r="16" spans="1:5" ht="15" customHeight="1" x14ac:dyDescent="0.25">
      <c r="A16" s="11"/>
      <c r="B16" s="86" t="s">
        <v>89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94</v>
      </c>
      <c r="C17" s="2">
        <f>('5.2. Varige tillæg'!E18)*(1+'8. Nøgletal'!C9)*(1-'8. Nøgletal'!C14)+'5.6 Anlægsprojekter'!E12-'6. Bortfald'!E12+'7. Tilknyttet virksomhed'!E12</f>
        <v>595379.37462999998</v>
      </c>
      <c r="D17" s="46" t="s">
        <v>31</v>
      </c>
      <c r="E17" s="11"/>
    </row>
    <row r="18" spans="1:5" ht="15" customHeight="1" x14ac:dyDescent="0.25">
      <c r="A18" s="11"/>
      <c r="B18" s="52" t="s">
        <v>95</v>
      </c>
      <c r="C18" s="2">
        <f>SUM(C15:C17)</f>
        <v>46592840.477380969</v>
      </c>
      <c r="D18" s="46" t="s">
        <v>31</v>
      </c>
      <c r="E18" s="11"/>
    </row>
    <row r="19" spans="1:5" ht="15" customHeight="1" x14ac:dyDescent="0.25">
      <c r="A19" s="11"/>
      <c r="B19" s="87" t="s">
        <v>96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97</v>
      </c>
      <c r="C20" s="41">
        <f>C13+C19</f>
        <v>-400681.71145946067</v>
      </c>
      <c r="D20" s="27" t="s">
        <v>31</v>
      </c>
      <c r="E20" s="11"/>
    </row>
    <row r="21" spans="1:5" ht="39.950000000000003" customHeight="1" x14ac:dyDescent="0.25">
      <c r="A21" s="11"/>
      <c r="B21" s="91" t="s">
        <v>124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GvMUKeW6Yw0dJ4TE8jOHTDRYR1FU29iyMd7Ximphvvu2kvruc0QKtrYURUNokrTe63NA1nCbwM/4ixvSoJ3mAg==" saltValue="6l6do2VTMx7yM5pCds5Dtg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98</v>
      </c>
      <c r="C8" s="95"/>
      <c r="D8" s="96"/>
      <c r="E8" s="11"/>
    </row>
    <row r="9" spans="1:5" ht="15" customHeight="1" x14ac:dyDescent="0.25">
      <c r="A9" s="11"/>
      <c r="B9" s="97" t="s">
        <v>136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7" t="s">
        <v>137</v>
      </c>
      <c r="C10" s="33">
        <f>'5.1.a. § 10-tillæg'!E10</f>
        <v>0</v>
      </c>
      <c r="D10" s="46" t="s">
        <v>31</v>
      </c>
      <c r="E10" s="11"/>
    </row>
    <row r="11" spans="1:5" ht="15" customHeight="1" x14ac:dyDescent="0.25">
      <c r="A11" s="11"/>
      <c r="B11" s="97" t="s">
        <v>138</v>
      </c>
      <c r="C11" s="33">
        <f>'5.1.a. § 10-tillæg'!E11</f>
        <v>19739</v>
      </c>
      <c r="D11" s="46" t="s">
        <v>31</v>
      </c>
      <c r="E11" s="11"/>
    </row>
    <row r="12" spans="1:5" ht="15" customHeight="1" x14ac:dyDescent="0.25">
      <c r="A12" s="11"/>
      <c r="B12" s="97" t="s">
        <v>147</v>
      </c>
      <c r="C12" s="33">
        <f>'5.1.a. § 10-tillæg'!E12</f>
        <v>2723306</v>
      </c>
      <c r="D12" s="46" t="s">
        <v>31</v>
      </c>
      <c r="E12" s="11"/>
    </row>
    <row r="13" spans="1:5" ht="15" customHeight="1" x14ac:dyDescent="0.25">
      <c r="A13" s="11"/>
      <c r="B13" s="98" t="s">
        <v>139</v>
      </c>
      <c r="C13" s="33">
        <f>'5.1.a. § 10-tillæg'!E13</f>
        <v>49572.56970711</v>
      </c>
      <c r="D13" s="46" t="s">
        <v>31</v>
      </c>
      <c r="E13" s="11"/>
    </row>
    <row r="14" spans="1:5" ht="15" customHeight="1" x14ac:dyDescent="0.25">
      <c r="A14" s="11"/>
      <c r="B14" s="98" t="s">
        <v>148</v>
      </c>
      <c r="C14" s="33">
        <f>'5.1.a. § 10-tillæg'!E14</f>
        <v>204540</v>
      </c>
      <c r="D14" s="46" t="s">
        <v>31</v>
      </c>
      <c r="E14" s="11"/>
    </row>
    <row r="15" spans="1:5" ht="15" customHeight="1" x14ac:dyDescent="0.25">
      <c r="A15" s="11"/>
      <c r="B15" s="98" t="s">
        <v>149</v>
      </c>
      <c r="C15" s="99">
        <v>457285</v>
      </c>
      <c r="D15" s="46" t="s">
        <v>31</v>
      </c>
      <c r="E15" s="11"/>
    </row>
    <row r="16" spans="1:5" ht="15" customHeight="1" x14ac:dyDescent="0.25">
      <c r="A16" s="11"/>
      <c r="B16" s="98"/>
      <c r="C16" s="99"/>
      <c r="D16" s="46" t="s">
        <v>31</v>
      </c>
      <c r="E16" s="11"/>
    </row>
    <row r="17" spans="1:5" ht="15" customHeight="1" x14ac:dyDescent="0.25">
      <c r="A17" s="11"/>
      <c r="B17" s="98"/>
      <c r="C17" s="99"/>
      <c r="D17" s="46" t="s">
        <v>31</v>
      </c>
      <c r="E17" s="11"/>
    </row>
    <row r="18" spans="1:5" ht="15" customHeight="1" x14ac:dyDescent="0.25">
      <c r="A18" s="11"/>
      <c r="B18" s="98"/>
      <c r="C18" s="99"/>
      <c r="D18" s="46" t="s">
        <v>31</v>
      </c>
      <c r="E18" s="11"/>
    </row>
    <row r="19" spans="1:5" ht="15" customHeight="1" x14ac:dyDescent="0.25">
      <c r="A19" s="11"/>
      <c r="B19" s="98"/>
      <c r="C19" s="99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0">
        <f>SUM(C9:C19)</f>
        <v>3454442.5697071101</v>
      </c>
      <c r="D20" s="101" t="s">
        <v>31</v>
      </c>
      <c r="E20" s="11"/>
    </row>
    <row r="21" spans="1:5" ht="15" customHeight="1" x14ac:dyDescent="0.25">
      <c r="A21" s="11"/>
      <c r="B21" s="102"/>
      <c r="C21" s="103"/>
      <c r="D21" s="103"/>
      <c r="E21" s="11"/>
    </row>
    <row r="22" spans="1:5" ht="15" customHeight="1" x14ac:dyDescent="0.25">
      <c r="A22" s="11"/>
      <c r="B22" s="83" t="s">
        <v>39</v>
      </c>
      <c r="C22" s="84"/>
      <c r="D22" s="85"/>
      <c r="E22" s="11"/>
    </row>
    <row r="23" spans="1:5" ht="15" customHeight="1" x14ac:dyDescent="0.25">
      <c r="A23" s="11"/>
      <c r="B23" s="104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5" t="s">
        <v>50</v>
      </c>
      <c r="C24" s="106">
        <v>478952</v>
      </c>
      <c r="D24" s="107" t="s">
        <v>31</v>
      </c>
      <c r="E24" s="11"/>
    </row>
    <row r="25" spans="1:5" ht="15" customHeight="1" x14ac:dyDescent="0.25">
      <c r="A25" s="11"/>
      <c r="B25" s="25" t="s">
        <v>48</v>
      </c>
      <c r="C25" s="100">
        <f>SUM(C23:C24)</f>
        <v>478952</v>
      </c>
      <c r="D25" s="101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48iBlxlQPRNsWtITqOVt8GDnW6CJb+26sugxP/xdeXscKAtq2ZqmBXHu/jajRKdSsUzeLXptmJtq9xaKE1bBAA==" saltValue="Pu2gL9o4iTIHWMW2kOB1Dg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99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8" t="s">
        <v>125</v>
      </c>
      <c r="C8" s="109" t="s">
        <v>100</v>
      </c>
      <c r="D8" s="110" t="s">
        <v>101</v>
      </c>
      <c r="E8" s="110" t="s">
        <v>102</v>
      </c>
      <c r="F8" s="27"/>
      <c r="G8" s="11"/>
    </row>
    <row r="9" spans="1:7" ht="15" customHeight="1" x14ac:dyDescent="0.25">
      <c r="A9" s="11"/>
      <c r="B9" s="97" t="s">
        <v>136</v>
      </c>
      <c r="C9" s="33">
        <v>21744419.49761188</v>
      </c>
      <c r="D9" s="33">
        <v>19089186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7" t="s">
        <v>137</v>
      </c>
      <c r="C10" s="33">
        <v>136652.10099403001</v>
      </c>
      <c r="D10" s="33">
        <v>136272</v>
      </c>
      <c r="E10" s="33">
        <f t="shared" ref="E10:E19" si="0">MAX(D10-C10,0)</f>
        <v>0</v>
      </c>
      <c r="F10" s="46" t="s">
        <v>31</v>
      </c>
      <c r="G10" s="11"/>
    </row>
    <row r="11" spans="1:7" ht="43.5" customHeight="1" x14ac:dyDescent="0.25">
      <c r="A11" s="11"/>
      <c r="B11" s="97" t="s">
        <v>138</v>
      </c>
      <c r="C11" s="33">
        <v>0</v>
      </c>
      <c r="D11" s="33">
        <v>19739</v>
      </c>
      <c r="E11" s="33">
        <f t="shared" si="0"/>
        <v>19739</v>
      </c>
      <c r="F11" s="46" t="s">
        <v>31</v>
      </c>
      <c r="G11" s="11"/>
    </row>
    <row r="12" spans="1:7" ht="15" customHeight="1" x14ac:dyDescent="0.25">
      <c r="A12" s="11"/>
      <c r="B12" s="97" t="s">
        <v>147</v>
      </c>
      <c r="C12" s="33">
        <v>0</v>
      </c>
      <c r="D12" s="33">
        <v>2723306</v>
      </c>
      <c r="E12" s="33">
        <f t="shared" si="0"/>
        <v>2723306</v>
      </c>
      <c r="F12" s="46" t="s">
        <v>31</v>
      </c>
      <c r="G12" s="11"/>
    </row>
    <row r="13" spans="1:7" ht="15" customHeight="1" x14ac:dyDescent="0.25">
      <c r="A13" s="11"/>
      <c r="B13" s="98" t="s">
        <v>139</v>
      </c>
      <c r="C13" s="33">
        <v>70358.43029289</v>
      </c>
      <c r="D13" s="33">
        <v>119931</v>
      </c>
      <c r="E13" s="33">
        <f t="shared" si="0"/>
        <v>49572.56970711</v>
      </c>
      <c r="F13" s="46" t="s">
        <v>31</v>
      </c>
      <c r="G13" s="11"/>
    </row>
    <row r="14" spans="1:7" ht="15" customHeight="1" x14ac:dyDescent="0.25">
      <c r="A14" s="11"/>
      <c r="B14" s="98" t="s">
        <v>148</v>
      </c>
      <c r="C14" s="33">
        <v>0</v>
      </c>
      <c r="D14" s="33">
        <v>204540</v>
      </c>
      <c r="E14" s="33">
        <f t="shared" si="0"/>
        <v>204540</v>
      </c>
      <c r="F14" s="46" t="s">
        <v>31</v>
      </c>
      <c r="G14" s="11"/>
    </row>
    <row r="15" spans="1:7" ht="15" hidden="1" customHeight="1" x14ac:dyDescent="0.25">
      <c r="A15" s="11"/>
      <c r="B15" s="98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8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8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8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8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103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11"/>
      <c r="C22" s="103"/>
      <c r="D22" s="103"/>
      <c r="E22" s="103"/>
      <c r="F22" s="103"/>
      <c r="G22" s="11"/>
    </row>
    <row r="23" spans="1:7" ht="15" customHeight="1" x14ac:dyDescent="0.25">
      <c r="A23" s="11"/>
      <c r="B23" s="111"/>
      <c r="C23" s="103"/>
      <c r="D23" s="103"/>
      <c r="E23" s="103"/>
      <c r="F23" s="103"/>
      <c r="G23" s="11"/>
    </row>
  </sheetData>
  <sheetProtection algorithmName="SHA-512" hashValue="zJqyrN11hURhmD9JCFIVg54cIYWAtWikDFQYjjuHvySyng//S0LkE+ea7gMJ12yPfQAfiEekYg1LsYo3CXxP3A==" saltValue="yW/S/v8M48v18WBcwDNVQ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150</v>
      </c>
      <c r="C10" s="33">
        <v>0</v>
      </c>
      <c r="D10" s="46" t="s">
        <v>31</v>
      </c>
      <c r="E10" s="33">
        <v>128610</v>
      </c>
      <c r="F10" s="46" t="s">
        <v>31</v>
      </c>
      <c r="G10" s="11"/>
    </row>
    <row r="11" spans="1:7" ht="15" customHeight="1" x14ac:dyDescent="0.25">
      <c r="A11" s="11"/>
      <c r="B11" s="115" t="s">
        <v>155</v>
      </c>
      <c r="C11" s="33">
        <v>206</v>
      </c>
      <c r="D11" s="46" t="s">
        <v>31</v>
      </c>
      <c r="E11" s="33">
        <v>27905</v>
      </c>
      <c r="F11" s="46" t="s">
        <v>31</v>
      </c>
      <c r="G11" s="11"/>
    </row>
    <row r="12" spans="1:7" ht="15" customHeight="1" x14ac:dyDescent="0.25">
      <c r="A12" s="11"/>
      <c r="B12" s="115" t="s">
        <v>151</v>
      </c>
      <c r="C12" s="33">
        <v>0</v>
      </c>
      <c r="D12" s="46" t="s">
        <v>31</v>
      </c>
      <c r="E12" s="33">
        <v>33833</v>
      </c>
      <c r="F12" s="46" t="s">
        <v>31</v>
      </c>
      <c r="G12" s="11"/>
    </row>
    <row r="13" spans="1:7" ht="15" customHeight="1" x14ac:dyDescent="0.25">
      <c r="A13" s="11"/>
      <c r="B13" s="115" t="s">
        <v>152</v>
      </c>
      <c r="C13" s="33">
        <v>155939</v>
      </c>
      <c r="D13" s="46" t="s">
        <v>31</v>
      </c>
      <c r="E13" s="33">
        <v>395359</v>
      </c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104</v>
      </c>
      <c r="C18" s="100">
        <f>SUM(C10:C17)</f>
        <v>156145</v>
      </c>
      <c r="D18" s="101" t="s">
        <v>31</v>
      </c>
      <c r="E18" s="100">
        <f>SUM(E10:E17)</f>
        <v>585707</v>
      </c>
      <c r="F18" s="101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-3122.9</v>
      </c>
      <c r="D19" s="46" t="s">
        <v>31</v>
      </c>
      <c r="E19" s="33">
        <f>-E18*'8. Nøgletal'!C23</f>
        <v>-11714.14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-3122.9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9938.3169600000001</v>
      </c>
      <c r="D21" s="46" t="s">
        <v>31</v>
      </c>
      <c r="E21" s="33">
        <f>SUM(E18:E20)*'8. Nøgletal'!C9</f>
        <v>38055.726618000001</v>
      </c>
      <c r="F21" s="46" t="s">
        <v>31</v>
      </c>
      <c r="G21" s="11"/>
    </row>
    <row r="22" spans="1:7" ht="26.25" customHeight="1" x14ac:dyDescent="0.25">
      <c r="A22" s="11"/>
      <c r="B22" s="108" t="s">
        <v>105</v>
      </c>
      <c r="C22" s="100">
        <f>SUM(C18:C21)</f>
        <v>159837.51696000001</v>
      </c>
      <c r="D22" s="101" t="s">
        <v>31</v>
      </c>
      <c r="E22" s="100">
        <f>SUM(E18:E21)</f>
        <v>612048.58661799994</v>
      </c>
      <c r="F22" s="101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CMEO4ReEICMaSQj/KRUQqAFGu2GmBVV4lg99d5BNYtoyGKTlcuu7FyUbUm8u71vFxTfB4/j9MjmSZ4uxdpT9WA==" saltValue="yL2Dq0jWhguZiRyfG3Y+p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153</v>
      </c>
      <c r="C10" s="33">
        <v>32942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 t="s">
        <v>154</v>
      </c>
      <c r="C11" s="33">
        <v>839200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5" t="s">
        <v>150</v>
      </c>
      <c r="C12" s="33">
        <v>114410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25" t="s">
        <v>106</v>
      </c>
      <c r="C13" s="100">
        <f>SUM(C10:C12)</f>
        <v>986552</v>
      </c>
      <c r="D13" s="101" t="s">
        <v>31</v>
      </c>
      <c r="E13" s="100">
        <f>SUM(E10:E12)</f>
        <v>0</v>
      </c>
      <c r="F13" s="101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QHcGuNWP+7NOWRUPW/+g4Zju7p2xYMESm3HY5ygj8tkFCBgRAoM9dYFQO+rLWYimpoHz9YGIYZX1Yyl9Be2S3A==" saltValue="2Bi3yYHqClww0oDDje/Qu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107</v>
      </c>
      <c r="C8" s="84"/>
      <c r="D8" s="85"/>
      <c r="E8" s="11"/>
    </row>
    <row r="9" spans="1:5" ht="15" customHeight="1" x14ac:dyDescent="0.25">
      <c r="A9" s="11"/>
      <c r="B9" s="117" t="s">
        <v>108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109</v>
      </c>
      <c r="C12" s="100">
        <f>SUM(C9:C11)*(1+'8. Nøgletal'!C9)*(1+'8. Nøgletal'!C10)</f>
        <v>0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5daUz9ReAevRduwojMg/XEviaORHICtrplrMnANEMaOmZMQOq0o+B2W5R8rcMXXorwttMDypDSgv36s3mOyFbA==" saltValue="WKlChY6YeKtSq1GWDqqJc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110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05" t="s">
        <v>111</v>
      </c>
      <c r="C9" s="120"/>
      <c r="D9" s="105" t="s">
        <v>31</v>
      </c>
      <c r="E9" s="11"/>
    </row>
    <row r="10" spans="1:5" ht="14.25" customHeight="1" x14ac:dyDescent="0.25">
      <c r="A10" s="11"/>
      <c r="B10" s="44" t="s">
        <v>112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05" t="s">
        <v>140</v>
      </c>
      <c r="C13" s="120"/>
      <c r="D13" s="105" t="s">
        <v>31</v>
      </c>
      <c r="E13" s="11"/>
    </row>
    <row r="14" spans="1:5" ht="14.25" customHeight="1" x14ac:dyDescent="0.25">
      <c r="A14" s="11"/>
      <c r="B14" s="44" t="s">
        <v>113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0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E3oVCsYsysYTUSH+Cshjel0YEf/mX7wRc/hQGlBpRhboOSafyPdqMu8rFQoHjtUe1bC8p8kHqEwC7LvYb7FvBA==" saltValue="oWZtgADkejW0VipYIHP+R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114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c7qQ0mnch7TTKNP2zEzf0+OlEzSj2XxJo+j4BnhzcStgPDuihYFdlY0to4Ad4cA2ys7zId5SLX07qwyu+vN9qA==" saltValue="Zkn0/oWfhNK70IDBKXgp6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115</v>
      </c>
      <c r="C8" s="84"/>
      <c r="D8" s="84"/>
      <c r="E8" s="84"/>
      <c r="F8" s="85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155</v>
      </c>
      <c r="C10" s="33">
        <f>206*(1-'8. Nøgletal'!C23)*(1-'8. Nøgletal'!C19)</f>
        <v>197.8424</v>
      </c>
      <c r="D10" s="46" t="s">
        <v>31</v>
      </c>
      <c r="E10" s="33">
        <f>27905*(1-'8. Nøgletal'!C23)*(1-'8. Nøgletal'!C14)</f>
        <v>27346.899999999998</v>
      </c>
      <c r="F10" s="46" t="s">
        <v>31</v>
      </c>
      <c r="G10" s="11"/>
    </row>
    <row r="11" spans="1:7" ht="15" customHeight="1" x14ac:dyDescent="0.25">
      <c r="A11" s="11"/>
      <c r="B11" s="25" t="s">
        <v>72</v>
      </c>
      <c r="C11" s="100">
        <f>SUM(C10:C10)</f>
        <v>197.8424</v>
      </c>
      <c r="D11" s="101" t="s">
        <v>31</v>
      </c>
      <c r="E11" s="100">
        <f>SUM(E10:E10)</f>
        <v>27346.899999999998</v>
      </c>
      <c r="F11" s="101" t="s">
        <v>31</v>
      </c>
      <c r="G11" s="11"/>
    </row>
    <row r="12" spans="1:7" ht="15" customHeight="1" x14ac:dyDescent="0.25">
      <c r="A12" s="11"/>
      <c r="B12" s="25" t="s">
        <v>116</v>
      </c>
      <c r="C12" s="100">
        <f>C11*(1+'8. Nøgletal'!C9)</f>
        <v>210.95935112000001</v>
      </c>
      <c r="D12" s="101" t="s">
        <v>31</v>
      </c>
      <c r="E12" s="100">
        <f>E11*(1+'8. Nøgletal'!C9)</f>
        <v>29159.999469999999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8Ft2YTZSvdp/ma7Il1a9EzQ8nKrG5Uy+cm92QPjXsSSBTG9VL8mK7DvrlSSaIoJQpQB/nWzy6zTuYC27NL9i4A==" saltValue="ztr/gtTuaj+MG04bQSow7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73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4" t="s">
        <v>74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132</v>
      </c>
      <c r="C10" s="106"/>
      <c r="D10" s="107" t="s">
        <v>31</v>
      </c>
      <c r="E10" s="106"/>
      <c r="F10" s="107" t="s">
        <v>31</v>
      </c>
      <c r="G10" s="11"/>
    </row>
    <row r="11" spans="1:7" ht="26.25" customHeight="1" x14ac:dyDescent="0.25">
      <c r="A11" s="11"/>
      <c r="B11" s="130" t="s">
        <v>133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117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2x6hVwNQTng87FAZh000J9PINUMPRAPbImNLI6oWtIp1pecV2tHsZX7iXdwjZHvd2DF7h61np/fLJSCEAhRw5w==" saltValue="VukhM4iJ7RtbSKoKVkDSP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75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76</v>
      </c>
      <c r="C9" s="4">
        <v>6.6299999999999998E-2</v>
      </c>
      <c r="D9" s="22"/>
    </row>
    <row r="10" spans="1:4" ht="15" customHeight="1" x14ac:dyDescent="0.25">
      <c r="A10" s="11"/>
      <c r="B10" s="133" t="s">
        <v>118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77</v>
      </c>
      <c r="C13" s="27"/>
      <c r="D13" s="11"/>
    </row>
    <row r="14" spans="1:4" ht="15" customHeight="1" x14ac:dyDescent="0.25">
      <c r="A14" s="11"/>
      <c r="B14" s="133" t="s">
        <v>78</v>
      </c>
      <c r="C14" s="5">
        <v>0</v>
      </c>
      <c r="D14" s="22"/>
    </row>
    <row r="15" spans="1:4" ht="15" customHeight="1" x14ac:dyDescent="0.25">
      <c r="A15" s="11"/>
      <c r="B15" s="133" t="s">
        <v>119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79</v>
      </c>
      <c r="C18" s="27"/>
      <c r="D18" s="11"/>
    </row>
    <row r="19" spans="1:4" ht="15" customHeight="1" x14ac:dyDescent="0.25">
      <c r="A19" s="11"/>
      <c r="B19" s="104" t="s">
        <v>80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81</v>
      </c>
      <c r="C23" s="8">
        <v>0.02</v>
      </c>
      <c r="D23" s="22"/>
    </row>
    <row r="24" spans="1:4" ht="15" customHeight="1" x14ac:dyDescent="0.25">
      <c r="A24" s="11"/>
      <c r="B24" s="44" t="s">
        <v>120</v>
      </c>
      <c r="C24" s="8">
        <v>0.02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VNTxQUGypl3yT36ZJi5nsB7q0D+bvs7m1aFOrEvjSmK0Rr1wAZve5Ywadi9I9aGqIDwdQQSj8FN8Ou9kTXJTNw==" saltValue="Ha3f/2WFzbXuS0hQvBZe9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2026-10-07T08:13:01Z</dcterms:modified>
</cp:coreProperties>
</file>