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Forsyning Helsingør Vand AS (V053)\ØR2025\"/>
    </mc:Choice>
  </mc:AlternateContent>
  <xr:revisionPtr revIDLastSave="0" documentId="13_ncr:1_{881183C6-BF43-461E-A9C2-D954ABAD7144}"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<sst xmlns="http://schemas.openxmlformats.org/spreadsheetml/2006/main" count="448" uniqueCount="204">
  <si>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</si>
  <si>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</si>
  <si>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</si>
  <si>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</si>
  <si>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</si>
  <si>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</si>
  <si>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</si>
  <si>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</si>
  <si>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</si>
  <si>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</si>
  <si>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</si>
  <si>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</si>
  <si>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</si>
  <si>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</si>
  <si>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</si>
  <si>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</si>
  <si>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</si>
  <si>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</si>
  <si>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</si>
  <si>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</si>
  <si>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</si>
  <si>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</si>
  <si>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</si>
  <si>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</si>
  <si>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</si>
  <si>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</si>
  <si>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</si>
  <si>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</si>
  <si>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</si>
  <si>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</si>
  <si>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</si>
  <si>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</si>
  <si>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</si>
  <si>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</si>
  <si>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</si>
  <si>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</si>
  <si>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</si>
  <si>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</si>
  <si>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</si>
  <si>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</si>
  <si>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</si>
  <si>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</si>
  <si>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</si>
  <si>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</si>
  <si>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</si>
  <si>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</si>
  <si>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</si>
  <si>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</si>
  <si>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</si>
  <si>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</si>
  <si>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</si>
  <si>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</si>
  <si>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</si>
  <si>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</si>
  <si>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</si>
  <si>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</si>
  <si>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</si>
  <si>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</si>
  <si>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</si>
  <si>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</si>
  <si>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</si>
  <si>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</si>
  <si>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</si>
  <si>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</si>
  <si>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</si>
  <si>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</si>
  <si>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</si>
  <si>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</si>
  <si>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</si>
  <si>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</si>
  <si>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</si>
  <si>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</si>
  <si>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</si>
  <si>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</si>
  <si>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</si>
  <si>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</si>
  <si>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</si>
  <si>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</si>
  <si>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</si>
  <si>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</si>
  <si>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</si>
  <si>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</si>
  <si>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</si>
  <si>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</si>
  <si>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</si>
  <si>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</si>
  <si>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</si>
  <si>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</si>
  <si>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</si>
  <si>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</si>
  <si>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</si>
  <si>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</si>
  <si>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</si>
  <si>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</si>
  <si>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</si>
  <si>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</si>
  <si>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</si>
  <si>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</si>
  <si>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</si>
  <si>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</si>
  <si>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</si>
  <si>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</si>
  <si>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</si>
  <si>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</si>
  <si>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</si>
  <si>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</si>
  <si>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</si>
  <si>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</si>
  <si>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</si>
  <si>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</si>
  <si>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</si>
  <si>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</si>
  <si>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</si>
  <si>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</si>
  <si>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</si>
  <si>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</si>
  <si>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</si>
  <si>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</si>
  <si>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</si>
  <si>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</si>
  <si>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</si>
  <si>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</si>
  <si>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</si>
  <si>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</si>
  <si>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</si>
  <si>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</si>
  <si>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</si>
  <si>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</si>
  <si>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</si>
  <si>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</si>
  <si>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</si>
  <si>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</si>
  <si>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</si>
  <si>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</si>
  <si>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</si>
  <si>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</si>
  <si>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</si>
  <si>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</si>
  <si>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</si>
  <si>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</si>
  <si>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</si>
  <si>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</si>
  <si>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</si>
  <si>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</si>
  <si>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</si>
  <si>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</si>
  <si>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</si>
  <si>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</si>
  <si>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</si>
  <si>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</si>
  <si>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</si>
  <si>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</si>
  <si>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</si>
  <si>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</si>
  <si>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</si>
  <si>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</si>
  <si>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</si>
  <si>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</si>
  <si>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</si>
  <si>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</si>
  <si>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</si>
  <si>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</si>
  <si>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</si>
  <si>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</si>
  <si>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</si>
  <si>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</si>
  <si>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</si>
  <si>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</si>
  <si>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</si>
  <si>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</si>
  <si>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</si>
  <si>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</si>
  <si>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</si>
  <si>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</si>
  <si>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</si>
  <si>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</si>
  <si>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</si>
  <si>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</si>
  <si>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</si>
  <si>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</si>
  <si>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</si>
  <si>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</si>
  <si>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</si>
  <si>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</si>
  <si>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</si>
  <si>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</si>
  <si>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</si>
  <si>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</si>
  <si>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</si>
  <si>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</si>
  <si>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</si>
  <si>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</si>
  <si>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</si>
  <si>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Mindre tilslutninger 2023</t>
  </si>
  <si>
    <t>Udvidelse Ålsgårde</t>
  </si>
  <si>
    <t>Ingen engangstillæg</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</si>
  <si>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</si>
  <si>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</si>
  <si>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</si>
  <si>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</si>
  <si>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</si>
  <si>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</si>
  <si>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</si>
  <si>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Øvrige afgifter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</si>
</sst>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88" t="s">
        <v>4</v>
      </c>
      <c r="D6" s="88"/>
      <c r="E6" s="88"/>
      <c r="F6" s="88"/>
      <c r="G6" s="1"/>
    </row>
    <row r="7" spans="1:7" ht="15" customHeight="1" x14ac:dyDescent="0.3">
      <c r="A7" s="1"/>
      <c r="B7" s="3"/>
      <c r="C7" s="88"/>
      <c r="D7" s="88"/>
      <c r="E7" s="88"/>
      <c r="F7" s="88"/>
      <c r="G7" s="1"/>
    </row>
    <row r="8" spans="1:7" ht="15.6" x14ac:dyDescent="0.3">
      <c r="A8" s="1"/>
      <c r="B8" s="4"/>
      <c r="C8" s="90" t="s">
        <v>199</v>
      </c>
      <c r="D8" s="90"/>
      <c r="E8" s="90"/>
      <c r="F8" s="90"/>
      <c r="G8" s="1"/>
    </row>
    <row r="9" spans="1:7" x14ac:dyDescent="0.3">
      <c r="A9" s="1"/>
      <c r="B9" s="5"/>
      <c r="C9" s="5"/>
      <c r="D9" s="5"/>
      <c r="E9" s="5"/>
      <c r="F9" s="5"/>
      <c r="G9" s="1"/>
    </row>
    <row r="10" spans="1:7" x14ac:dyDescent="0.3">
      <c r="A10" s="1"/>
      <c r="B10" s="5"/>
      <c r="C10" s="5"/>
      <c r="D10" s="5"/>
      <c r="E10" s="5"/>
      <c r="F10" s="5"/>
      <c r="G10" s="1"/>
    </row>
    <row r="11" spans="1:7" x14ac:dyDescent="0.3">
      <c r="A11" s="1"/>
      <c r="B11" s="5"/>
      <c r="C11" s="89" t="s">
        <v>5</v>
      </c>
      <c r="D11" s="89"/>
      <c r="E11" s="89"/>
      <c r="F11" s="89"/>
      <c r="G11" s="1"/>
    </row>
    <row r="12" spans="1:7" x14ac:dyDescent="0.3">
      <c r="A12" s="1"/>
      <c r="B12" s="1"/>
      <c r="C12" s="1"/>
      <c r="D12" s="1"/>
      <c r="E12" s="1"/>
      <c r="F12" s="1"/>
      <c r="G12" s="1"/>
    </row>
    <row r="13" spans="1:7" x14ac:dyDescent="0.3">
      <c r="A13" s="1"/>
      <c r="B13" s="6" t="s">
        <v>6</v>
      </c>
      <c r="C13" s="85" t="s">
        <v>124</v>
      </c>
      <c r="D13" s="86"/>
      <c r="E13" s="86"/>
      <c r="F13" s="87"/>
      <c r="G13" s="1"/>
    </row>
    <row r="14" spans="1:7" x14ac:dyDescent="0.3">
      <c r="A14" s="1"/>
      <c r="B14" s="6" t="s">
        <v>14</v>
      </c>
      <c r="C14" s="85" t="s">
        <v>159</v>
      </c>
      <c r="D14" s="86"/>
      <c r="E14" s="86"/>
      <c r="F14" s="87"/>
      <c r="G14" s="1"/>
    </row>
    <row r="15" spans="1:7" x14ac:dyDescent="0.3">
      <c r="A15" s="1"/>
      <c r="B15" s="6" t="s">
        <v>29</v>
      </c>
      <c r="C15" s="85" t="s">
        <v>107</v>
      </c>
      <c r="D15" s="86"/>
      <c r="E15" s="86"/>
      <c r="F15" s="87"/>
      <c r="G15" s="1"/>
    </row>
    <row r="16" spans="1:7" x14ac:dyDescent="0.3">
      <c r="A16" s="1"/>
      <c r="B16" s="6" t="s">
        <v>30</v>
      </c>
      <c r="C16" s="85" t="s">
        <v>125</v>
      </c>
      <c r="D16" s="86"/>
      <c r="E16" s="86"/>
      <c r="F16" s="87"/>
      <c r="G16" s="1"/>
    </row>
    <row r="17" spans="1:7" x14ac:dyDescent="0.3">
      <c r="A17" s="1"/>
      <c r="B17" s="6" t="s">
        <v>57</v>
      </c>
      <c r="C17" s="85" t="s">
        <v>126</v>
      </c>
      <c r="D17" s="86"/>
      <c r="E17" s="86"/>
      <c r="F17" s="87"/>
      <c r="G17" s="1"/>
    </row>
    <row r="18" spans="1:7" x14ac:dyDescent="0.3">
      <c r="A18" s="1"/>
      <c r="B18" s="6" t="s">
        <v>49</v>
      </c>
      <c r="C18" s="91" t="s">
        <v>42</v>
      </c>
      <c r="D18" s="92"/>
      <c r="E18" s="92"/>
      <c r="F18" s="93"/>
      <c r="G18" s="1"/>
    </row>
    <row r="19" spans="1:7" x14ac:dyDescent="0.3">
      <c r="A19" s="1"/>
      <c r="B19" s="6" t="s">
        <v>50</v>
      </c>
      <c r="C19" s="91" t="s">
        <v>43</v>
      </c>
      <c r="D19" s="92"/>
      <c r="E19" s="92"/>
      <c r="F19" s="93"/>
      <c r="G19" s="1"/>
    </row>
    <row r="20" spans="1:7" x14ac:dyDescent="0.3">
      <c r="A20" s="1"/>
      <c r="B20" s="6" t="s">
        <v>7</v>
      </c>
      <c r="C20" s="91" t="s">
        <v>9</v>
      </c>
      <c r="D20" s="92"/>
      <c r="E20" s="92"/>
      <c r="F20" s="93"/>
      <c r="G20" s="1"/>
    </row>
    <row r="21" spans="1:7" x14ac:dyDescent="0.3">
      <c r="A21" s="1"/>
      <c r="B21" s="6" t="s">
        <v>51</v>
      </c>
      <c r="C21" s="82" t="s">
        <v>11</v>
      </c>
      <c r="D21" s="83"/>
      <c r="E21" s="83"/>
      <c r="F21" s="84"/>
      <c r="G21" s="1"/>
    </row>
    <row r="22" spans="1:7" x14ac:dyDescent="0.3">
      <c r="A22" s="1"/>
      <c r="B22" s="6" t="s">
        <v>37</v>
      </c>
      <c r="C22" s="76" t="s">
        <v>127</v>
      </c>
      <c r="D22" s="77"/>
      <c r="E22" s="77"/>
      <c r="F22" s="78"/>
      <c r="G22" s="1"/>
    </row>
    <row r="23" spans="1:7" x14ac:dyDescent="0.3">
      <c r="A23" s="1"/>
      <c r="B23" s="6" t="s">
        <v>8</v>
      </c>
      <c r="C23" s="76" t="s">
        <v>89</v>
      </c>
      <c r="D23" s="77"/>
      <c r="E23" s="77"/>
      <c r="F23" s="78"/>
      <c r="G23" s="1"/>
    </row>
    <row r="24" spans="1:7" x14ac:dyDescent="0.3">
      <c r="A24" s="1"/>
      <c r="B24" s="6" t="s">
        <v>85</v>
      </c>
      <c r="C24" s="76" t="s">
        <v>78</v>
      </c>
      <c r="D24" s="77"/>
      <c r="E24" s="77"/>
      <c r="F24" s="78"/>
      <c r="G24" s="1"/>
    </row>
    <row r="25" spans="1:7" x14ac:dyDescent="0.3">
      <c r="A25" s="1"/>
      <c r="B25" s="6" t="s">
        <v>86</v>
      </c>
      <c r="C25" s="76" t="s">
        <v>38</v>
      </c>
      <c r="D25" s="77"/>
      <c r="E25" s="77"/>
      <c r="F25" s="78"/>
      <c r="G25" s="1"/>
    </row>
    <row r="26" spans="1:7" x14ac:dyDescent="0.3">
      <c r="A26" s="1"/>
      <c r="B26" s="6" t="s">
        <v>87</v>
      </c>
      <c r="C26" s="76" t="s">
        <v>39</v>
      </c>
      <c r="D26" s="77"/>
      <c r="E26" s="77"/>
      <c r="F26" s="78"/>
      <c r="G26" s="1"/>
    </row>
    <row r="27" spans="1:7" x14ac:dyDescent="0.3">
      <c r="A27" s="1"/>
      <c r="B27" s="6" t="s">
        <v>52</v>
      </c>
      <c r="C27" s="76" t="s">
        <v>58</v>
      </c>
      <c r="D27" s="77"/>
      <c r="E27" s="77"/>
      <c r="F27" s="78"/>
      <c r="G27" s="1"/>
    </row>
    <row r="28" spans="1:7" x14ac:dyDescent="0.3">
      <c r="A28" s="1"/>
      <c r="B28" s="6" t="s">
        <v>46</v>
      </c>
      <c r="C28" s="76" t="s">
        <v>31</v>
      </c>
      <c r="D28" s="77"/>
      <c r="E28" s="77"/>
      <c r="F28" s="78"/>
      <c r="G28" s="1"/>
    </row>
    <row r="29" spans="1:7" x14ac:dyDescent="0.3">
      <c r="A29" s="1"/>
      <c r="B29" s="6" t="s">
        <v>88</v>
      </c>
      <c r="C29" s="79" t="s">
        <v>47</v>
      </c>
      <c r="D29" s="80"/>
      <c r="E29" s="80"/>
      <c r="F29" s="8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sheetData>
  <sheetProtection algorithmName="SHA-512" hashValue="ZcbSxD1KbYLV6s6BoWLDKPz4o2U3EOga9YqtthxOZSSDwjlB+Xo89zlZMpLoWt2SUwRRT2M93xuX2DSeYx4UzQ==" saltValue="XtSUwO/uqHkkcdUJyAY8RA=="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8.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55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142</v>
      </c>
      <c r="C8" s="99"/>
      <c r="D8" s="100"/>
      <c r="E8" s="1"/>
    </row>
    <row r="9" spans="1:5" ht="15" customHeight="1" x14ac:dyDescent="0.3">
      <c r="A9" s="1"/>
      <c r="B9" s="51" t="s">
        <v>27</v>
      </c>
      <c r="C9" s="45" t="s">
        <v>145</v>
      </c>
      <c r="D9" s="11"/>
      <c r="E9" s="1"/>
    </row>
    <row r="10" spans="1:5" ht="15" customHeight="1" x14ac:dyDescent="0.3">
      <c r="A10" s="1"/>
      <c r="B10" s="64" t="s">
        <v>200</v>
      </c>
      <c r="C10" s="65">
        <v>16100263</v>
      </c>
      <c r="D10" s="14" t="s">
        <v>3</v>
      </c>
      <c r="E10" s="1"/>
    </row>
    <row r="11" spans="1:5" x14ac:dyDescent="0.3">
      <c r="A11" s="1"/>
      <c r="B11" s="64" t="s">
        <v>201</v>
      </c>
      <c r="C11" s="65">
        <v>96706</v>
      </c>
      <c r="D11" s="14" t="s">
        <v>3</v>
      </c>
      <c r="E11" s="1"/>
    </row>
    <row r="12" spans="1:5" x14ac:dyDescent="0.3">
      <c r="A12" s="1"/>
      <c r="B12" s="64" t="s">
        <v>202</v>
      </c>
      <c r="C12" s="65">
        <v>341540</v>
      </c>
      <c r="D12" s="14" t="s">
        <v>3</v>
      </c>
      <c r="E12" s="1"/>
    </row>
    <row r="13" spans="1:5" x14ac:dyDescent="0.3">
      <c r="A13" s="1"/>
      <c r="B13" s="64" t="s">
        <v>203</v>
      </c>
      <c r="C13" s="65">
        <v>184691</v>
      </c>
      <c r="D13" s="14" t="s">
        <v>3</v>
      </c>
      <c r="E13" s="1"/>
    </row>
    <row r="14" spans="1:5" x14ac:dyDescent="0.3">
      <c r="A14" s="1"/>
      <c r="B14" s="64"/>
      <c r="C14" s="65"/>
      <c r="D14" s="14" t="s">
        <v>3</v>
      </c>
      <c r="E14" s="1"/>
    </row>
    <row r="15" spans="1:5" x14ac:dyDescent="0.3">
      <c r="A15" s="1"/>
      <c r="B15" s="64"/>
      <c r="C15" s="65"/>
      <c r="D15" s="14" t="s">
        <v>3</v>
      </c>
      <c r="E15" s="1"/>
    </row>
    <row r="16" spans="1:5" x14ac:dyDescent="0.3">
      <c r="A16" s="1"/>
      <c r="B16" s="64"/>
      <c r="C16" s="65"/>
      <c r="D16" s="14" t="s">
        <v>3</v>
      </c>
      <c r="E16" s="1"/>
    </row>
    <row r="17" spans="1:5" x14ac:dyDescent="0.3">
      <c r="A17" s="1"/>
      <c r="B17" s="64"/>
      <c r="C17" s="65"/>
      <c r="D17" s="14" t="s">
        <v>3</v>
      </c>
      <c r="E17" s="1"/>
    </row>
    <row r="18" spans="1:5" x14ac:dyDescent="0.3">
      <c r="A18" s="1"/>
      <c r="B18" s="64"/>
      <c r="C18" s="65"/>
      <c r="D18" s="14" t="s">
        <v>3</v>
      </c>
      <c r="E18" s="1"/>
    </row>
    <row r="19" spans="1:5" x14ac:dyDescent="0.3">
      <c r="A19" s="1"/>
      <c r="B19" s="52" t="s">
        <v>143</v>
      </c>
      <c r="C19" s="12">
        <f>SUM(C10:C18)</f>
        <v>16723200</v>
      </c>
      <c r="D19" s="13" t="s">
        <v>3</v>
      </c>
      <c r="E19" s="1"/>
    </row>
    <row r="20" spans="1:5" x14ac:dyDescent="0.3">
      <c r="A20" s="1"/>
      <c r="B20" s="52" t="s">
        <v>144</v>
      </c>
      <c r="C20" s="12">
        <f>C19*(1+'Fane 13. Nøgletal'!C11)^2</f>
        <v>19014206.323008001</v>
      </c>
      <c r="D20" s="13" t="s">
        <v>3</v>
      </c>
      <c r="E20" s="1"/>
    </row>
    <row r="21" spans="1:5" x14ac:dyDescent="0.3">
      <c r="A21" s="1"/>
      <c r="B21" s="16"/>
      <c r="C21" s="15"/>
      <c r="D21" s="15"/>
      <c r="E21" s="1"/>
    </row>
    <row r="22" spans="1:5" x14ac:dyDescent="0.3">
      <c r="A22" s="1"/>
      <c r="B22" s="16"/>
      <c r="C22" s="15"/>
      <c r="D22" s="15"/>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hidden="1" x14ac:dyDescent="0.3">
      <c r="A51" s="40"/>
      <c r="B51" s="40"/>
      <c r="C51" s="40"/>
      <c r="D51" s="40"/>
      <c r="E51" s="40"/>
    </row>
    <row r="52" spans="1:5" hidden="1" x14ac:dyDescent="0.3">
      <c r="A52" s="40"/>
      <c r="B52" s="40"/>
      <c r="C52" s="40"/>
      <c r="D52" s="40"/>
      <c r="E52" s="40"/>
    </row>
    <row r="53" spans="1:5" hidden="1" x14ac:dyDescent="0.3">
      <c r="A53" s="40"/>
      <c r="B53" s="40"/>
      <c r="C53" s="40"/>
      <c r="D53" s="40"/>
      <c r="E53" s="40"/>
    </row>
    <row r="54" spans="1:5" hidden="1" x14ac:dyDescent="0.3">
      <c r="A54" s="40"/>
      <c r="B54" s="40"/>
      <c r="C54" s="40"/>
      <c r="D54" s="40"/>
      <c r="E54" s="40"/>
    </row>
    <row r="55" spans="1:5" hidden="1" x14ac:dyDescent="0.3">
      <c r="A55" s="40"/>
      <c r="B55" s="40"/>
      <c r="C55" s="40"/>
      <c r="D55" s="40"/>
      <c r="E55" s="40"/>
    </row>
    <row r="56" spans="1:5" hidden="1" x14ac:dyDescent="0.3">
      <c r="A56" s="40"/>
      <c r="B56" s="40"/>
      <c r="C56" s="40"/>
      <c r="D56" s="40"/>
      <c r="E56" s="40"/>
    </row>
  </sheetData>
  <sheetProtection algorithmName="SHA-512" hashValue="c+LwSOuPHfDjinmS48AxorMFPRBdejbydMLxsYzvtIK2qLBPy5K4TeHs3eFbsOUaH9j94KzuugsNl9a/lw1Z3Q==" saltValue="ft5oBqu8ln1bqLXA/7GFG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172</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1"/>
      <c r="D7" s="1"/>
      <c r="E7" s="1"/>
    </row>
    <row r="8" spans="1:5" x14ac:dyDescent="0.3">
      <c r="A8" s="1"/>
      <c r="B8" s="98" t="s">
        <v>175</v>
      </c>
      <c r="C8" s="99"/>
      <c r="D8" s="100"/>
      <c r="E8" s="1"/>
    </row>
    <row r="9" spans="1:5" x14ac:dyDescent="0.3">
      <c r="A9" s="1"/>
      <c r="B9" s="56" t="s">
        <v>176</v>
      </c>
      <c r="C9" s="9">
        <v>-4555583.6699472666</v>
      </c>
      <c r="D9" s="39" t="s">
        <v>3</v>
      </c>
      <c r="E9" s="1"/>
    </row>
    <row r="10" spans="1:5" x14ac:dyDescent="0.3">
      <c r="A10" s="1"/>
      <c r="B10" s="56" t="s">
        <v>174</v>
      </c>
      <c r="C10" s="9">
        <v>220989.40556670725</v>
      </c>
      <c r="D10" s="14" t="s">
        <v>3</v>
      </c>
      <c r="E10" s="1"/>
    </row>
    <row r="11" spans="1:5" x14ac:dyDescent="0.3">
      <c r="A11" s="1"/>
      <c r="B11" s="52"/>
      <c r="C11" s="53"/>
      <c r="D11" s="19"/>
      <c r="E11" s="1"/>
    </row>
    <row r="12" spans="1:5" ht="53.85" customHeight="1" x14ac:dyDescent="0.3">
      <c r="A12" s="1"/>
      <c r="B12" s="107" t="s">
        <v>173</v>
      </c>
      <c r="C12" s="108"/>
      <c r="D12" s="109"/>
      <c r="E12" s="1"/>
    </row>
    <row r="13" spans="1:5" x14ac:dyDescent="0.3">
      <c r="A13" s="1"/>
      <c r="B13" s="1"/>
      <c r="C13" s="1"/>
      <c r="D13" s="1"/>
      <c r="E13" s="1"/>
    </row>
    <row r="14" spans="1:5" x14ac:dyDescent="0.3">
      <c r="A14" s="1"/>
      <c r="B14" s="68" t="s">
        <v>177</v>
      </c>
      <c r="C14" s="69"/>
      <c r="D14" s="70"/>
      <c r="E14" s="1"/>
    </row>
    <row r="15" spans="1:5" x14ac:dyDescent="0.3">
      <c r="A15" s="1"/>
      <c r="B15" s="56" t="s">
        <v>178</v>
      </c>
      <c r="C15" s="9">
        <f>IF(C10&lt;0,C10,0)</f>
        <v>0</v>
      </c>
      <c r="D15" s="14" t="s">
        <v>3</v>
      </c>
      <c r="E15" s="1"/>
    </row>
    <row r="16" spans="1:5" x14ac:dyDescent="0.3">
      <c r="A16" s="1"/>
      <c r="B16" s="56" t="s">
        <v>185</v>
      </c>
      <c r="C16" s="9">
        <f>IF(SUM(C9)&gt;0,SUM(C9),0)</f>
        <v>0</v>
      </c>
      <c r="D16" s="14" t="s">
        <v>3</v>
      </c>
      <c r="E16" s="1"/>
    </row>
    <row r="17" spans="1:5" ht="27" x14ac:dyDescent="0.3">
      <c r="A17" s="1"/>
      <c r="B17" s="71" t="s">
        <v>179</v>
      </c>
      <c r="C17" s="62">
        <f>IF(SUM(C15:C16)&gt;0,0,SUM(C15:C16))</f>
        <v>0</v>
      </c>
      <c r="D17" s="17" t="s">
        <v>3</v>
      </c>
      <c r="E17" s="1"/>
    </row>
    <row r="18" spans="1:5" x14ac:dyDescent="0.3">
      <c r="A18" s="1"/>
      <c r="B18" s="52"/>
      <c r="C18" s="53"/>
      <c r="D18" s="19"/>
      <c r="E18" s="1"/>
    </row>
    <row r="19" spans="1:5" x14ac:dyDescent="0.3">
      <c r="A19" s="1"/>
      <c r="B19" s="1"/>
      <c r="C19" s="1"/>
      <c r="D19" s="1"/>
      <c r="E19" s="1"/>
    </row>
    <row r="20" spans="1:5" x14ac:dyDescent="0.3">
      <c r="A20" s="1"/>
      <c r="B20" s="68" t="s">
        <v>180</v>
      </c>
      <c r="C20" s="69"/>
      <c r="D20" s="70"/>
      <c r="E20" s="1"/>
    </row>
    <row r="21" spans="1:5" x14ac:dyDescent="0.3">
      <c r="A21" s="1"/>
      <c r="B21" s="56" t="s">
        <v>181</v>
      </c>
      <c r="C21" s="9">
        <v>67122567.050599456</v>
      </c>
      <c r="D21" s="14" t="s">
        <v>3</v>
      </c>
      <c r="E21" s="1"/>
    </row>
    <row r="22" spans="1:5" x14ac:dyDescent="0.3">
      <c r="A22" s="1"/>
      <c r="B22" s="56" t="s">
        <v>182</v>
      </c>
      <c r="C22" s="9">
        <v>71187593</v>
      </c>
      <c r="D22" s="14" t="s">
        <v>3</v>
      </c>
      <c r="E22" s="1"/>
    </row>
    <row r="23" spans="1:5" x14ac:dyDescent="0.3">
      <c r="A23" s="1"/>
      <c r="B23" s="56" t="s">
        <v>28</v>
      </c>
      <c r="C23" s="9">
        <v>-190000</v>
      </c>
      <c r="D23" s="14" t="s">
        <v>3</v>
      </c>
      <c r="E23" s="1"/>
    </row>
    <row r="24" spans="1:5" x14ac:dyDescent="0.3">
      <c r="A24" s="1"/>
      <c r="B24" s="73" t="s">
        <v>183</v>
      </c>
      <c r="C24" s="46">
        <f>C21-C22-C23</f>
        <v>-3875025.9494005442</v>
      </c>
      <c r="D24" s="17" t="s">
        <v>3</v>
      </c>
      <c r="E24" s="1"/>
    </row>
    <row r="25" spans="1:5" x14ac:dyDescent="0.3">
      <c r="A25" s="1"/>
      <c r="B25" s="52"/>
      <c r="C25" s="53"/>
      <c r="D25" s="19"/>
      <c r="E25" s="1"/>
    </row>
    <row r="26" spans="1:5" x14ac:dyDescent="0.3">
      <c r="A26" s="1"/>
      <c r="B26" s="1"/>
      <c r="C26" s="1"/>
      <c r="D26" s="1"/>
      <c r="E26" s="1"/>
    </row>
    <row r="27" spans="1:5" x14ac:dyDescent="0.3">
      <c r="A27" s="1"/>
      <c r="B27" s="98" t="s">
        <v>184</v>
      </c>
      <c r="C27" s="99"/>
      <c r="D27" s="100"/>
      <c r="E27" s="1"/>
    </row>
    <row r="28" spans="1:5" x14ac:dyDescent="0.3">
      <c r="A28" s="1"/>
      <c r="B28" s="57" t="s">
        <v>65</v>
      </c>
      <c r="C28" s="9">
        <f>IF(C17&lt;0,IF(C24&lt;0,SUM(C17,C24),IF(C9&gt;0,SUM(C9:C10),C17)),IF(AND(C24&lt;0,SUM(C24,C10)&lt;0),IF(C10&lt;0,C24,IF(SUM(C9:C10)&gt;0,SUM(C24,C10),IF(AND(C24&lt;0,C17=0,C10&gt;0),IF(SUM(C9:C10)&gt;0,C24+C10,C24)))),IF(AND(SUM(C9:C10)&lt;0,C17=0,C24&lt;0),C24,0)))</f>
        <v>-3875025.9494005442</v>
      </c>
      <c r="D28" s="14" t="s">
        <v>3</v>
      </c>
      <c r="E28" s="1"/>
    </row>
    <row r="29" spans="1:5" x14ac:dyDescent="0.3">
      <c r="A29" s="1"/>
      <c r="B29" s="57" t="s">
        <v>48</v>
      </c>
      <c r="C29" s="9">
        <v>2</v>
      </c>
      <c r="D29" s="14" t="s">
        <v>18</v>
      </c>
      <c r="E29" s="1"/>
    </row>
    <row r="30" spans="1:5" x14ac:dyDescent="0.3">
      <c r="A30" s="1"/>
      <c r="B30" s="58" t="s">
        <v>64</v>
      </c>
      <c r="C30" s="10">
        <f>C28/C29</f>
        <v>-1937512.9747002721</v>
      </c>
      <c r="D30" s="17" t="s">
        <v>3</v>
      </c>
      <c r="E30" s="1"/>
    </row>
    <row r="31" spans="1:5" x14ac:dyDescent="0.3">
      <c r="A31" s="1"/>
      <c r="B31" s="110"/>
      <c r="C31" s="111"/>
      <c r="D31" s="112"/>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hidden="1" x14ac:dyDescent="0.3">
      <c r="A48" s="40"/>
      <c r="B48" s="40"/>
      <c r="C48" s="40"/>
      <c r="D48" s="40"/>
      <c r="E48" s="40"/>
    </row>
    <row r="49" spans="1:5" hidden="1" x14ac:dyDescent="0.3">
      <c r="A49" s="40"/>
      <c r="B49" s="40"/>
      <c r="C49" s="40"/>
      <c r="D49" s="40"/>
      <c r="E49" s="40"/>
    </row>
    <row r="50" spans="1:5" hidden="1" x14ac:dyDescent="0.3">
      <c r="A50" s="40"/>
      <c r="B50" s="40"/>
      <c r="C50" s="40"/>
      <c r="D50" s="40"/>
      <c r="E50" s="40"/>
    </row>
    <row r="51" spans="1:5" hidden="1" x14ac:dyDescent="0.3">
      <c r="A51" s="40"/>
      <c r="E51" s="40"/>
    </row>
  </sheetData>
  <sheetProtection algorithmName="SHA-512" hashValue="UfFs3Wa+sVfpIVBfrIfHN8RtgCT+a/3P6mIuzcvkv45XT61Iiok+TEl8OwuLlVZuB+sp6QXrDM4RbKUPREXUYw==" saltValue="L1E5GkG5e4JrYifFtsVQl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4.4" zeroHeight="1" x14ac:dyDescent="0.3"/>
  <cols>
    <col min="1" max="1" width="5.33203125" style="30" customWidth="1"/>
    <col min="2" max="2" width="57.109375" style="30" customWidth="1"/>
    <col min="3" max="3" width="12.5546875" style="30" customWidth="1"/>
    <col min="4" max="4" width="3.109375" style="30" customWidth="1"/>
    <col min="5" max="5" width="5.33203125" style="30" customWidth="1"/>
    <col min="6" max="16384" width="9.109375" style="30" hidden="1"/>
  </cols>
  <sheetData>
    <row r="1" spans="1:5" x14ac:dyDescent="0.3">
      <c r="A1" s="1"/>
      <c r="B1" s="1"/>
      <c r="C1" s="1"/>
      <c r="D1" s="1"/>
      <c r="E1" s="1"/>
    </row>
    <row r="2" spans="1:5" x14ac:dyDescent="0.3">
      <c r="A2" s="1"/>
      <c r="B2" s="1"/>
      <c r="C2" s="1"/>
      <c r="D2" s="1"/>
      <c r="E2" s="1"/>
    </row>
    <row r="3" spans="1:5" ht="15" customHeight="1" x14ac:dyDescent="0.3">
      <c r="A3" s="1"/>
      <c r="B3" s="96" t="s">
        <v>96</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97</v>
      </c>
      <c r="C8" s="99"/>
      <c r="D8" s="100"/>
      <c r="E8" s="1"/>
    </row>
    <row r="9" spans="1:5" ht="15" customHeight="1" x14ac:dyDescent="0.3">
      <c r="A9" s="1"/>
      <c r="B9" s="113" t="s">
        <v>123</v>
      </c>
      <c r="C9" s="114"/>
      <c r="D9" s="115"/>
      <c r="E9" s="1"/>
    </row>
    <row r="10" spans="1:5" x14ac:dyDescent="0.3">
      <c r="A10" s="1"/>
      <c r="B10" s="59" t="s">
        <v>98</v>
      </c>
      <c r="C10" s="41"/>
      <c r="D10" s="9" t="s">
        <v>3</v>
      </c>
      <c r="E10" s="1"/>
    </row>
    <row r="11" spans="1:5" x14ac:dyDescent="0.3">
      <c r="A11" s="1"/>
      <c r="B11" s="59" t="s">
        <v>99</v>
      </c>
      <c r="C11" s="41"/>
      <c r="D11" s="9" t="s">
        <v>3</v>
      </c>
      <c r="E11" s="1"/>
    </row>
    <row r="12" spans="1:5" x14ac:dyDescent="0.3">
      <c r="A12" s="1"/>
      <c r="B12" s="59" t="s">
        <v>100</v>
      </c>
      <c r="C12" s="9"/>
      <c r="D12" s="9" t="s">
        <v>3</v>
      </c>
      <c r="E12" s="1"/>
    </row>
    <row r="13" spans="1:5" x14ac:dyDescent="0.3">
      <c r="A13" s="1"/>
      <c r="B13" s="59" t="s">
        <v>101</v>
      </c>
      <c r="C13" s="9"/>
      <c r="D13" s="9" t="s">
        <v>3</v>
      </c>
      <c r="E13" s="1"/>
    </row>
    <row r="14" spans="1:5" x14ac:dyDescent="0.3">
      <c r="A14" s="1"/>
      <c r="B14" s="59" t="s">
        <v>102</v>
      </c>
      <c r="C14" s="9"/>
      <c r="D14" s="9" t="s">
        <v>3</v>
      </c>
      <c r="E14" s="1"/>
    </row>
    <row r="15" spans="1:5" x14ac:dyDescent="0.3">
      <c r="A15" s="1"/>
      <c r="B15" s="59" t="s">
        <v>103</v>
      </c>
      <c r="C15" s="9"/>
      <c r="D15" s="9" t="s">
        <v>3</v>
      </c>
      <c r="E15" s="1"/>
    </row>
    <row r="16" spans="1:5" x14ac:dyDescent="0.3">
      <c r="A16" s="1"/>
      <c r="B16" s="59" t="s">
        <v>104</v>
      </c>
      <c r="C16" s="9"/>
      <c r="D16" s="9" t="s">
        <v>3</v>
      </c>
      <c r="E16" s="1"/>
    </row>
    <row r="17" spans="1:5" x14ac:dyDescent="0.3">
      <c r="A17" s="1"/>
      <c r="B17" s="59" t="s">
        <v>105</v>
      </c>
      <c r="C17" s="9"/>
      <c r="D17" s="9" t="s">
        <v>3</v>
      </c>
      <c r="E17" s="1"/>
    </row>
    <row r="18" spans="1:5" x14ac:dyDescent="0.3">
      <c r="A18" s="1"/>
      <c r="B18" s="68" t="s">
        <v>106</v>
      </c>
      <c r="C18" s="12">
        <f>SUM(C10:C17)</f>
        <v>0</v>
      </c>
      <c r="D18" s="13"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tMd8STjHMACYR0SVsId5Hh7+gluO1F8zdRC6Xy7TuoJXs+LgUI7Koh6w4MfSaRCyt0AYKMCz4g77zUmD/jej2Q==" saltValue="HMjMU6aWKZxeLY/mNKbGfA=="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90</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74</v>
      </c>
      <c r="C8" s="99"/>
      <c r="D8" s="99"/>
      <c r="E8" s="99"/>
      <c r="F8" s="99"/>
      <c r="G8" s="99"/>
      <c r="H8" s="99"/>
      <c r="I8" s="99"/>
      <c r="J8" s="99"/>
      <c r="K8" s="100"/>
      <c r="L8" s="1"/>
    </row>
    <row r="9" spans="1:12" ht="39.75" customHeight="1" x14ac:dyDescent="0.3">
      <c r="A9" s="1"/>
      <c r="B9" s="18" t="s">
        <v>0</v>
      </c>
      <c r="C9" s="18" t="s">
        <v>1</v>
      </c>
      <c r="D9" s="116" t="s">
        <v>83</v>
      </c>
      <c r="E9" s="117"/>
      <c r="F9" s="116" t="s">
        <v>2</v>
      </c>
      <c r="G9" s="117"/>
      <c r="H9" s="116" t="s">
        <v>84</v>
      </c>
      <c r="I9" s="117"/>
      <c r="J9" s="116" t="s">
        <v>25</v>
      </c>
      <c r="K9" s="117"/>
      <c r="L9" s="1"/>
    </row>
    <row r="10" spans="1:12" x14ac:dyDescent="0.3">
      <c r="A10" s="1"/>
      <c r="B10" s="59" t="s">
        <v>192</v>
      </c>
      <c r="C10" s="48">
        <v>0</v>
      </c>
      <c r="D10" s="9">
        <v>0</v>
      </c>
      <c r="E10" s="14" t="s">
        <v>3</v>
      </c>
      <c r="F10" s="61">
        <f>IFERROR(D10/C10,0)</f>
        <v>0</v>
      </c>
      <c r="G10" s="14" t="s">
        <v>3</v>
      </c>
      <c r="H10" s="9">
        <v>0</v>
      </c>
      <c r="I10" s="14" t="s">
        <v>3</v>
      </c>
      <c r="J10" s="9">
        <v>0</v>
      </c>
      <c r="K10" s="14" t="s">
        <v>3</v>
      </c>
      <c r="L10" s="1"/>
    </row>
    <row r="11" spans="1:12" x14ac:dyDescent="0.3">
      <c r="A11" s="1"/>
      <c r="B11" s="52" t="s">
        <v>146</v>
      </c>
      <c r="C11" s="53"/>
      <c r="D11" s="19"/>
      <c r="E11" s="70"/>
      <c r="F11" s="12">
        <f>SUM(F10:F10)</f>
        <v>0</v>
      </c>
      <c r="G11" s="13" t="s">
        <v>3</v>
      </c>
      <c r="H11" s="12">
        <f>SUM(H10:H10)</f>
        <v>0</v>
      </c>
      <c r="I11" s="13" t="s">
        <v>3</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idden="1" x14ac:dyDescent="0.3">
      <c r="A43" s="40"/>
      <c r="B43" s="40"/>
      <c r="C43" s="40"/>
      <c r="D43" s="40"/>
      <c r="E43" s="40"/>
      <c r="F43" s="40"/>
      <c r="G43" s="40"/>
      <c r="H43" s="40"/>
      <c r="I43" s="40"/>
      <c r="J43" s="40"/>
      <c r="K43" s="40"/>
      <c r="L43" s="40"/>
    </row>
    <row r="44" spans="1:12" hidden="1" x14ac:dyDescent="0.3">
      <c r="A44" s="40"/>
      <c r="B44" s="40"/>
      <c r="C44" s="40"/>
      <c r="D44" s="40"/>
      <c r="E44" s="40"/>
      <c r="F44" s="40"/>
      <c r="G44" s="40"/>
      <c r="H44" s="40"/>
      <c r="I44" s="40"/>
      <c r="J44" s="40"/>
      <c r="K44" s="40"/>
      <c r="L44" s="40"/>
    </row>
    <row r="45" spans="1:12" hidden="1" x14ac:dyDescent="0.3">
      <c r="A45" s="40"/>
      <c r="B45" s="40"/>
      <c r="C45" s="40"/>
      <c r="D45" s="40"/>
      <c r="E45" s="40"/>
      <c r="F45" s="40"/>
      <c r="G45" s="40"/>
      <c r="H45" s="40"/>
      <c r="I45" s="40"/>
      <c r="J45" s="40"/>
      <c r="K45" s="40"/>
      <c r="L45" s="40"/>
    </row>
    <row r="46" spans="1:12" hidden="1" x14ac:dyDescent="0.3">
      <c r="A46" s="40"/>
      <c r="B46" s="40"/>
      <c r="C46" s="40"/>
      <c r="D46" s="40"/>
      <c r="E46" s="40"/>
      <c r="F46" s="40"/>
      <c r="G46" s="40"/>
      <c r="H46" s="40"/>
      <c r="I46" s="40"/>
      <c r="J46" s="40"/>
      <c r="K46" s="40"/>
      <c r="L46" s="40"/>
    </row>
    <row r="47" spans="1:12" hidden="1" x14ac:dyDescent="0.3"/>
    <row r="48" spans="1:12" hidden="1" x14ac:dyDescent="0.3"/>
    <row r="49" hidden="1" x14ac:dyDescent="0.3"/>
    <row r="50" hidden="1" x14ac:dyDescent="0.3"/>
    <row r="51" hidden="1" x14ac:dyDescent="0.3"/>
    <row r="52" hidden="1" x14ac:dyDescent="0.3"/>
  </sheetData>
  <sheetProtection algorithmName="SHA-512" hashValue="/jVhKJr4FyFRWL6H/FYGtLRdXFUvWtyO08E8X2k5jrwMxdtXVTEjxp5ev5vT+yPdGOehmWKJeF8NNjay6CYE6w==" saltValue="ygv44Rbp31biUvFrA8pLPQ=="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109375" style="2" customWidth="1"/>
    <col min="5" max="5" width="13.554687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91</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52" t="s">
        <v>34</v>
      </c>
      <c r="C8" s="53"/>
      <c r="D8" s="53"/>
      <c r="E8" s="53"/>
      <c r="F8" s="19"/>
      <c r="G8" s="1"/>
    </row>
    <row r="9" spans="1:7" ht="17.25" customHeight="1" x14ac:dyDescent="0.3">
      <c r="A9" s="1"/>
      <c r="B9" s="71" t="s">
        <v>15</v>
      </c>
      <c r="C9" s="73" t="s">
        <v>10</v>
      </c>
      <c r="D9" s="72"/>
      <c r="E9" s="73" t="s">
        <v>26</v>
      </c>
      <c r="F9" s="27"/>
      <c r="G9" s="1"/>
    </row>
    <row r="10" spans="1:7" x14ac:dyDescent="0.3">
      <c r="A10" s="1"/>
      <c r="B10" s="23" t="s">
        <v>77</v>
      </c>
      <c r="C10" s="21">
        <f>'Fane 9. Anlægsprojekter (§ 19) '!H11</f>
        <v>0</v>
      </c>
      <c r="D10" s="14" t="s">
        <v>3</v>
      </c>
      <c r="E10" s="9">
        <f>'Fane 9. Anlægsprojekter (§ 19) '!F11+'Fane 9. Anlægsprojekter (§ 19) '!J11</f>
        <v>0</v>
      </c>
      <c r="F10" s="14" t="s">
        <v>3</v>
      </c>
      <c r="G10" s="1"/>
    </row>
    <row r="11" spans="1:7" x14ac:dyDescent="0.3">
      <c r="A11" s="1"/>
      <c r="B11" s="26" t="s">
        <v>193</v>
      </c>
      <c r="C11" s="21">
        <v>30981</v>
      </c>
      <c r="D11" s="14" t="s">
        <v>3</v>
      </c>
      <c r="E11" s="9">
        <v>9290</v>
      </c>
      <c r="F11" s="14" t="s">
        <v>3</v>
      </c>
      <c r="G11" s="1"/>
    </row>
    <row r="12" spans="1:7" x14ac:dyDescent="0.3">
      <c r="A12" s="1"/>
      <c r="B12" s="26" t="s">
        <v>194</v>
      </c>
      <c r="C12" s="21">
        <v>78949</v>
      </c>
      <c r="D12" s="14" t="s">
        <v>3</v>
      </c>
      <c r="E12" s="9">
        <v>47963</v>
      </c>
      <c r="F12" s="14" t="s">
        <v>3</v>
      </c>
      <c r="G12" s="1"/>
    </row>
    <row r="13" spans="1:7" x14ac:dyDescent="0.3">
      <c r="A13" s="1"/>
      <c r="B13" s="26"/>
      <c r="C13" s="21"/>
      <c r="D13" s="14" t="s">
        <v>3</v>
      </c>
      <c r="E13" s="9"/>
      <c r="F13" s="14" t="s">
        <v>3</v>
      </c>
      <c r="G13" s="1"/>
    </row>
    <row r="14" spans="1:7" x14ac:dyDescent="0.3">
      <c r="A14" s="1"/>
      <c r="B14" s="26"/>
      <c r="C14" s="21"/>
      <c r="D14" s="14" t="s">
        <v>3</v>
      </c>
      <c r="E14" s="9"/>
      <c r="F14" s="14" t="s">
        <v>3</v>
      </c>
      <c r="G14" s="1"/>
    </row>
    <row r="15" spans="1:7" x14ac:dyDescent="0.3">
      <c r="A15" s="1"/>
      <c r="B15" s="26"/>
      <c r="C15" s="21"/>
      <c r="D15" s="14" t="s">
        <v>3</v>
      </c>
      <c r="E15" s="9"/>
      <c r="F15" s="14" t="s">
        <v>3</v>
      </c>
      <c r="G15" s="1"/>
    </row>
    <row r="16" spans="1:7" x14ac:dyDescent="0.3">
      <c r="A16" s="1"/>
      <c r="B16" s="26"/>
      <c r="C16" s="21"/>
      <c r="D16" s="14" t="s">
        <v>3</v>
      </c>
      <c r="E16" s="9"/>
      <c r="F16" s="14" t="s">
        <v>3</v>
      </c>
      <c r="G16" s="1"/>
    </row>
    <row r="17" spans="1:7" x14ac:dyDescent="0.3">
      <c r="A17" s="1"/>
      <c r="B17" s="52" t="s">
        <v>112</v>
      </c>
      <c r="C17" s="12">
        <f>SUM(C10:C16)</f>
        <v>109930</v>
      </c>
      <c r="D17" s="13" t="s">
        <v>3</v>
      </c>
      <c r="E17" s="12">
        <f>SUM(E10:E16)</f>
        <v>57253</v>
      </c>
      <c r="F17" s="13" t="s">
        <v>3</v>
      </c>
      <c r="G17" s="1"/>
    </row>
    <row r="18" spans="1:7" x14ac:dyDescent="0.3">
      <c r="A18" s="1"/>
      <c r="B18" s="52" t="s">
        <v>147</v>
      </c>
      <c r="C18" s="12">
        <f>C17*(1+'Fane 13. Nøgletal'!C11)</f>
        <v>117218.359</v>
      </c>
      <c r="D18" s="13" t="s">
        <v>3</v>
      </c>
      <c r="E18" s="12">
        <f>E17*(1+'Fane 13. Nøgletal'!C11)</f>
        <v>61048.873899999999</v>
      </c>
      <c r="F18" s="13" t="s">
        <v>3</v>
      </c>
      <c r="G18" s="1"/>
    </row>
    <row r="19" spans="1:7" x14ac:dyDescent="0.3">
      <c r="A19" s="1"/>
      <c r="B19" s="1"/>
      <c r="C19" s="1" t="s">
        <v>82</v>
      </c>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row r="52" spans="1:7" hidden="1" x14ac:dyDescent="0.3">
      <c r="A52" s="40"/>
      <c r="B52" s="40"/>
      <c r="C52" s="40"/>
      <c r="D52" s="40"/>
      <c r="E52" s="40"/>
      <c r="F52" s="40"/>
      <c r="G52" s="40"/>
    </row>
    <row r="53" spans="1:7" hidden="1" x14ac:dyDescent="0.3">
      <c r="A53" s="40"/>
      <c r="B53" s="40"/>
      <c r="C53" s="40"/>
      <c r="D53" s="40"/>
      <c r="E53" s="40"/>
      <c r="F53" s="40"/>
      <c r="G53" s="40"/>
    </row>
    <row r="54" spans="1:7" hidden="1" x14ac:dyDescent="0.3">
      <c r="A54" s="40"/>
      <c r="B54" s="40"/>
      <c r="C54" s="40"/>
      <c r="D54" s="40"/>
      <c r="E54" s="40"/>
      <c r="F54" s="40"/>
      <c r="G54" s="40"/>
    </row>
    <row r="55" spans="1:7" hidden="1" x14ac:dyDescent="0.3">
      <c r="A55" s="40"/>
      <c r="B55" s="40"/>
      <c r="C55" s="40"/>
      <c r="D55" s="40"/>
      <c r="E55" s="40"/>
      <c r="F55" s="40"/>
      <c r="G55" s="40"/>
    </row>
    <row r="56" spans="1:7" hidden="1" x14ac:dyDescent="0.3">
      <c r="A56" s="40"/>
      <c r="B56" s="40"/>
      <c r="C56" s="40"/>
      <c r="D56" s="40"/>
      <c r="E56" s="40"/>
      <c r="F56" s="40"/>
      <c r="G56" s="40"/>
    </row>
    <row r="57" spans="1:7" hidden="1" x14ac:dyDescent="0.3">
      <c r="A57" s="40"/>
      <c r="B57" s="40"/>
      <c r="C57" s="40"/>
      <c r="D57" s="40"/>
      <c r="E57" s="40"/>
      <c r="F57" s="40"/>
      <c r="G57" s="40"/>
    </row>
  </sheetData>
  <sheetProtection algorithmName="SHA-512" hashValue="ixOpYsDuJQBAQtrR3HyB+EhmqMwSym8P5q80KfcPHSus8YBF2fXz9C+y4HVZptrI5HTQsikhShFN+kj95bJtTg==" saltValue="t4Y+RMDMj0bis5KyTiDw5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92</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150</v>
      </c>
      <c r="C8" s="99"/>
      <c r="D8" s="99"/>
      <c r="E8" s="99"/>
      <c r="F8" s="100"/>
      <c r="G8" s="1"/>
    </row>
    <row r="9" spans="1:7" x14ac:dyDescent="0.3">
      <c r="A9" s="1"/>
      <c r="B9" s="71" t="s">
        <v>15</v>
      </c>
      <c r="C9" s="73" t="s">
        <v>10</v>
      </c>
      <c r="D9" s="74"/>
      <c r="E9" s="73" t="s">
        <v>26</v>
      </c>
      <c r="F9" s="27"/>
      <c r="G9" s="1"/>
    </row>
    <row r="10" spans="1:7" x14ac:dyDescent="0.3">
      <c r="A10" s="1"/>
      <c r="B10" s="23" t="s">
        <v>195</v>
      </c>
      <c r="C10" s="21"/>
      <c r="D10" s="14" t="s">
        <v>3</v>
      </c>
      <c r="E10" s="9"/>
      <c r="F10" s="14" t="s">
        <v>3</v>
      </c>
      <c r="G10" s="1"/>
    </row>
    <row r="11" spans="1:7" x14ac:dyDescent="0.3">
      <c r="A11" s="1"/>
      <c r="B11" s="23"/>
      <c r="C11" s="21"/>
      <c r="D11" s="14" t="s">
        <v>3</v>
      </c>
      <c r="E11" s="9"/>
      <c r="F11" s="14" t="s">
        <v>3</v>
      </c>
      <c r="G11" s="1"/>
    </row>
    <row r="12" spans="1:7" x14ac:dyDescent="0.3">
      <c r="A12" s="1"/>
      <c r="B12" s="23"/>
      <c r="C12" s="21"/>
      <c r="D12" s="14" t="s">
        <v>3</v>
      </c>
      <c r="E12" s="9"/>
      <c r="F12" s="14" t="s">
        <v>3</v>
      </c>
      <c r="G12" s="1"/>
    </row>
    <row r="13" spans="1:7" x14ac:dyDescent="0.3">
      <c r="A13" s="1"/>
      <c r="B13" s="52" t="s">
        <v>148</v>
      </c>
      <c r="C13" s="12">
        <f>SUM(C10:C12)</f>
        <v>0</v>
      </c>
      <c r="D13" s="13" t="s">
        <v>3</v>
      </c>
      <c r="E13" s="12">
        <f>SUM(E10:E12)</f>
        <v>0</v>
      </c>
      <c r="F13" s="13" t="s">
        <v>3</v>
      </c>
      <c r="G13" s="1"/>
    </row>
    <row r="14" spans="1:7" x14ac:dyDescent="0.3">
      <c r="A14" s="1"/>
      <c r="B14" s="52" t="s">
        <v>149</v>
      </c>
      <c r="C14" s="12">
        <f>C13*(1+'Fane 13. Nøgletal'!$C$11)^2</f>
        <v>0</v>
      </c>
      <c r="D14" s="13" t="s">
        <v>3</v>
      </c>
      <c r="E14" s="12">
        <f>E13*(1+'Fane 13. Nøgletal'!$C$11)^2</f>
        <v>0</v>
      </c>
      <c r="F14" s="13" t="s">
        <v>3</v>
      </c>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ht="18" customHeight="1"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v0YCHnnkZKIrjr0fqVe/G5lczcz/ZN88q9ehgXVqGCEhqb2IaYiVCllRAIKN3Ttn/fWbFdpK37lIA6SysD6Yvw==" saltValue="Ao7hfex5kluXiIXZKVoL3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93</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59</v>
      </c>
      <c r="C8" s="99"/>
      <c r="D8" s="99"/>
      <c r="E8" s="99"/>
      <c r="F8" s="100"/>
      <c r="G8" s="1"/>
    </row>
    <row r="9" spans="1:7" ht="15" customHeight="1" x14ac:dyDescent="0.3">
      <c r="A9" s="1"/>
      <c r="B9" s="54" t="s">
        <v>60</v>
      </c>
      <c r="C9" s="118" t="s">
        <v>10</v>
      </c>
      <c r="D9" s="119"/>
      <c r="E9" s="118" t="s">
        <v>26</v>
      </c>
      <c r="F9" s="119"/>
      <c r="G9" s="1"/>
    </row>
    <row r="10" spans="1:7" ht="27" x14ac:dyDescent="0.3">
      <c r="A10" s="1"/>
      <c r="B10" s="60" t="s">
        <v>190</v>
      </c>
      <c r="C10" s="9">
        <v>0</v>
      </c>
      <c r="D10" s="14" t="s">
        <v>3</v>
      </c>
      <c r="E10" s="9">
        <v>0</v>
      </c>
      <c r="F10" s="14" t="s">
        <v>3</v>
      </c>
      <c r="G10" s="1"/>
    </row>
    <row r="11" spans="1:7" ht="28.5" customHeight="1" x14ac:dyDescent="0.3">
      <c r="A11" s="1"/>
      <c r="B11" s="20" t="s">
        <v>115</v>
      </c>
      <c r="C11" s="12">
        <f>SUM(C10:C10)</f>
        <v>0</v>
      </c>
      <c r="D11" s="13" t="s">
        <v>3</v>
      </c>
      <c r="E11" s="12">
        <f>SUM(E10:E10)</f>
        <v>0</v>
      </c>
      <c r="F11" s="13" t="s">
        <v>3</v>
      </c>
      <c r="G11" s="1"/>
    </row>
    <row r="12" spans="1:7" ht="27" customHeight="1" x14ac:dyDescent="0.3">
      <c r="A12" s="1"/>
      <c r="B12" s="20" t="s">
        <v>151</v>
      </c>
      <c r="C12" s="12">
        <f>C11*(1+'Fane 13. Nøgletal'!C11)</f>
        <v>0</v>
      </c>
      <c r="D12" s="13" t="s">
        <v>3</v>
      </c>
      <c r="E12" s="12">
        <f>E11*(1+'Fane 13. Nøgletal'!C11)</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sheetData>
  <sheetProtection algorithmName="SHA-512" hashValue="kmR3P44C7Xk8xCcMDccTAeitEK4XDOkbg2Cmb0LEBo+lFEPqJEyyYTCoZGdhXylemUnzxVlelOMvreYg/7fcsQ==" saltValue="JlGfQcN9GrH9sWd7cqdxFQ=="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94</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ht="15" customHeight="1" x14ac:dyDescent="0.3">
      <c r="A7" s="1"/>
      <c r="B7" s="1"/>
      <c r="C7" s="1"/>
      <c r="D7" s="1"/>
      <c r="E7" s="1"/>
      <c r="F7" s="1"/>
      <c r="G7" s="1"/>
    </row>
    <row r="8" spans="1:7" x14ac:dyDescent="0.3">
      <c r="A8" s="1"/>
      <c r="B8" s="98" t="s">
        <v>152</v>
      </c>
      <c r="C8" s="99"/>
      <c r="D8" s="99"/>
      <c r="E8" s="99"/>
      <c r="F8" s="100"/>
      <c r="G8" s="1"/>
    </row>
    <row r="9" spans="1:7" x14ac:dyDescent="0.3">
      <c r="A9" s="1"/>
      <c r="B9" s="54" t="s">
        <v>16</v>
      </c>
      <c r="C9" s="51" t="s">
        <v>10</v>
      </c>
      <c r="D9" s="27"/>
      <c r="E9" s="51" t="s">
        <v>26</v>
      </c>
      <c r="F9" s="27"/>
      <c r="G9" s="1"/>
    </row>
    <row r="10" spans="1:7" x14ac:dyDescent="0.3">
      <c r="A10" s="1"/>
      <c r="B10" s="60" t="s">
        <v>191</v>
      </c>
      <c r="C10" s="9">
        <v>0</v>
      </c>
      <c r="D10" s="14" t="s">
        <v>3</v>
      </c>
      <c r="E10" s="9">
        <v>0</v>
      </c>
      <c r="F10" s="14" t="s">
        <v>3</v>
      </c>
      <c r="G10" s="1"/>
    </row>
    <row r="11" spans="1:7" x14ac:dyDescent="0.3">
      <c r="A11" s="1"/>
      <c r="B11" s="52" t="s">
        <v>122</v>
      </c>
      <c r="C11" s="12">
        <f>SUM(C10:C10)</f>
        <v>0</v>
      </c>
      <c r="D11" s="13" t="s">
        <v>3</v>
      </c>
      <c r="E11" s="12">
        <f>SUM(E10:E10)</f>
        <v>0</v>
      </c>
      <c r="F11" s="13" t="s">
        <v>3</v>
      </c>
      <c r="G11" s="1"/>
    </row>
    <row r="12" spans="1:7" x14ac:dyDescent="0.3">
      <c r="A12" s="1"/>
      <c r="B12" s="52" t="s">
        <v>189</v>
      </c>
      <c r="C12" s="12">
        <f>C11*(1+'Fane 13. Nøgletal'!C11)^2</f>
        <v>0</v>
      </c>
      <c r="D12" s="13" t="s">
        <v>3</v>
      </c>
      <c r="E12" s="12">
        <f>E11*(1+'Fane 13. Nøgletal'!C11)^2</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WRIaaSE7WS5494YhLB4kukb+uo3VqCG+1DxY5sGnmi/3Sp7b9miVoxlvyk0PUNAuDwhFWz/aG7DKtmNzqxxwUw==" saltValue="esMOAwW+PjCJfFLaMbpJHw=="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5546875" style="38" customWidth="1"/>
    <col min="4" max="4" width="5.33203125" style="2" customWidth="1"/>
    <col min="5" max="16384" width="9.109375" style="2" hidden="1"/>
  </cols>
  <sheetData>
    <row r="1" spans="1:4" x14ac:dyDescent="0.3">
      <c r="A1" s="1"/>
      <c r="B1" s="1"/>
      <c r="C1" s="34"/>
      <c r="D1" s="1"/>
    </row>
    <row r="2" spans="1:4" x14ac:dyDescent="0.3">
      <c r="A2" s="1"/>
      <c r="B2" s="1"/>
      <c r="C2" s="34"/>
      <c r="D2" s="1"/>
    </row>
    <row r="3" spans="1:4" ht="15" customHeight="1" x14ac:dyDescent="0.3">
      <c r="A3" s="1"/>
      <c r="B3" s="96" t="s">
        <v>95</v>
      </c>
      <c r="C3" s="96"/>
      <c r="D3" s="1"/>
    </row>
    <row r="4" spans="1:4" ht="15" customHeight="1" x14ac:dyDescent="0.3">
      <c r="A4" s="1"/>
      <c r="B4" s="96"/>
      <c r="C4" s="96"/>
      <c r="D4" s="1"/>
    </row>
    <row r="5" spans="1:4" x14ac:dyDescent="0.3">
      <c r="A5" s="1"/>
      <c r="B5" s="1"/>
      <c r="C5" s="34"/>
      <c r="D5" s="1"/>
    </row>
    <row r="6" spans="1:4" x14ac:dyDescent="0.3">
      <c r="A6" s="1"/>
      <c r="B6" s="1"/>
      <c r="C6" s="34"/>
      <c r="D6" s="1"/>
    </row>
    <row r="7" spans="1:4" x14ac:dyDescent="0.3">
      <c r="A7" s="1"/>
      <c r="B7" s="1"/>
      <c r="C7" s="34"/>
      <c r="D7" s="1"/>
    </row>
    <row r="8" spans="1:4" x14ac:dyDescent="0.3">
      <c r="A8" s="1"/>
      <c r="B8" s="52" t="s">
        <v>13</v>
      </c>
      <c r="C8" s="35"/>
      <c r="D8" s="1"/>
    </row>
    <row r="9" spans="1:4" x14ac:dyDescent="0.3">
      <c r="A9" s="1"/>
      <c r="B9" s="43" t="s">
        <v>187</v>
      </c>
      <c r="C9" s="49">
        <v>3.56E-2</v>
      </c>
      <c r="D9" s="1"/>
    </row>
    <row r="10" spans="1:4" x14ac:dyDescent="0.3">
      <c r="A10" s="1"/>
      <c r="B10" s="43" t="s">
        <v>186</v>
      </c>
      <c r="C10" s="49">
        <v>8.0799999999999997E-2</v>
      </c>
      <c r="D10" s="1"/>
    </row>
    <row r="11" spans="1:4" x14ac:dyDescent="0.3">
      <c r="A11" s="1"/>
      <c r="B11" s="43" t="s">
        <v>197</v>
      </c>
      <c r="C11" s="49">
        <v>6.6299999999999998E-2</v>
      </c>
      <c r="D11" s="1"/>
    </row>
    <row r="12" spans="1:4" x14ac:dyDescent="0.3">
      <c r="A12" s="1"/>
      <c r="B12" s="98"/>
      <c r="C12" s="100"/>
      <c r="D12" s="1"/>
    </row>
    <row r="13" spans="1:4" x14ac:dyDescent="0.3">
      <c r="A13" s="1"/>
      <c r="B13" s="1"/>
      <c r="C13" s="34"/>
      <c r="D13" s="1"/>
    </row>
    <row r="14" spans="1:4" x14ac:dyDescent="0.3">
      <c r="A14" s="1"/>
      <c r="B14" s="1"/>
      <c r="C14" s="34"/>
      <c r="D14" s="1"/>
    </row>
    <row r="15" spans="1:4" x14ac:dyDescent="0.3">
      <c r="A15" s="1"/>
      <c r="B15" s="52" t="s">
        <v>44</v>
      </c>
      <c r="C15" s="35"/>
      <c r="D15" s="1"/>
    </row>
    <row r="16" spans="1:4" x14ac:dyDescent="0.3">
      <c r="A16" s="1"/>
      <c r="B16" s="43" t="s">
        <v>188</v>
      </c>
      <c r="C16" s="37">
        <v>0</v>
      </c>
      <c r="D16" s="1"/>
    </row>
    <row r="17" spans="1:4" x14ac:dyDescent="0.3">
      <c r="A17" s="1"/>
      <c r="B17" s="43" t="s">
        <v>111</v>
      </c>
      <c r="C17" s="37">
        <v>0</v>
      </c>
      <c r="D17" s="1"/>
    </row>
    <row r="18" spans="1:4" x14ac:dyDescent="0.3">
      <c r="A18" s="1"/>
      <c r="B18" s="43" t="s">
        <v>198</v>
      </c>
      <c r="C18" s="63">
        <v>0</v>
      </c>
      <c r="D18" s="1"/>
    </row>
    <row r="19" spans="1:4" x14ac:dyDescent="0.3">
      <c r="A19" s="1"/>
      <c r="B19" s="52"/>
      <c r="C19" s="35"/>
      <c r="D19" s="1"/>
    </row>
    <row r="20" spans="1:4" x14ac:dyDescent="0.3">
      <c r="A20" s="1"/>
      <c r="B20" s="1"/>
      <c r="C20" s="34"/>
      <c r="D20" s="1"/>
    </row>
    <row r="21" spans="1:4" x14ac:dyDescent="0.3">
      <c r="A21" s="1"/>
      <c r="B21" s="1"/>
      <c r="C21" s="34"/>
      <c r="D21" s="1"/>
    </row>
    <row r="22" spans="1:4" x14ac:dyDescent="0.3">
      <c r="A22" s="1"/>
      <c r="B22" s="52" t="s">
        <v>45</v>
      </c>
      <c r="C22" s="35"/>
      <c r="D22" s="1"/>
    </row>
    <row r="23" spans="1:4" x14ac:dyDescent="0.3">
      <c r="A23" s="1"/>
      <c r="B23" s="28" t="s">
        <v>56</v>
      </c>
      <c r="C23" s="36">
        <v>0.02</v>
      </c>
      <c r="D23" s="1"/>
    </row>
    <row r="24" spans="1:4" x14ac:dyDescent="0.3">
      <c r="A24" s="1"/>
      <c r="B24" s="52"/>
      <c r="C24" s="35"/>
      <c r="D24" s="1"/>
    </row>
    <row r="25" spans="1:4" x14ac:dyDescent="0.3">
      <c r="A25" s="1"/>
      <c r="B25" s="1"/>
      <c r="C25" s="34"/>
      <c r="D25" s="1"/>
    </row>
    <row r="26" spans="1:4" x14ac:dyDescent="0.3">
      <c r="A26" s="1"/>
      <c r="B26" s="1"/>
      <c r="C26" s="34"/>
      <c r="D26" s="1"/>
    </row>
    <row r="27" spans="1:4" x14ac:dyDescent="0.3">
      <c r="A27" s="1"/>
      <c r="B27" s="1"/>
      <c r="C27" s="34"/>
      <c r="D27" s="1"/>
    </row>
    <row r="28" spans="1:4" x14ac:dyDescent="0.3">
      <c r="A28" s="1"/>
      <c r="B28" s="1"/>
      <c r="C28" s="34"/>
      <c r="D28" s="1"/>
    </row>
    <row r="29" spans="1:4" x14ac:dyDescent="0.3">
      <c r="A29" s="1"/>
      <c r="B29" s="1"/>
      <c r="C29" s="34"/>
      <c r="D29" s="1"/>
    </row>
    <row r="30" spans="1:4" x14ac:dyDescent="0.3">
      <c r="A30" s="1"/>
      <c r="B30" s="1"/>
      <c r="C30" s="34"/>
      <c r="D30" s="1"/>
    </row>
    <row r="31" spans="1:4" x14ac:dyDescent="0.3">
      <c r="A31" s="1"/>
      <c r="B31" s="1"/>
      <c r="C31" s="34"/>
      <c r="D31" s="1"/>
    </row>
    <row r="32" spans="1:4" x14ac:dyDescent="0.3">
      <c r="A32" s="1"/>
      <c r="B32" s="1"/>
      <c r="C32" s="34"/>
      <c r="D32" s="1"/>
    </row>
    <row r="33" spans="1:4" x14ac:dyDescent="0.3">
      <c r="A33" s="1"/>
      <c r="B33" s="1"/>
      <c r="C33" s="34"/>
      <c r="D33" s="1"/>
    </row>
    <row r="34" spans="1:4" x14ac:dyDescent="0.3">
      <c r="A34" s="1"/>
      <c r="B34" s="1"/>
      <c r="C34" s="34"/>
      <c r="D34" s="1"/>
    </row>
    <row r="35" spans="1:4" x14ac:dyDescent="0.3">
      <c r="A35" s="1"/>
      <c r="B35" s="1"/>
      <c r="C35" s="34"/>
      <c r="D35" s="1"/>
    </row>
    <row r="36" spans="1:4" x14ac:dyDescent="0.3">
      <c r="A36" s="1"/>
      <c r="B36" s="1"/>
      <c r="C36" s="34"/>
      <c r="D36" s="1"/>
    </row>
    <row r="37" spans="1:4" x14ac:dyDescent="0.3">
      <c r="A37" s="1"/>
      <c r="B37" s="1"/>
      <c r="C37" s="34"/>
      <c r="D37" s="1"/>
    </row>
    <row r="38" spans="1:4" x14ac:dyDescent="0.3">
      <c r="A38" s="1"/>
      <c r="B38" s="1"/>
      <c r="C38" s="34"/>
      <c r="D38" s="1"/>
    </row>
    <row r="39" spans="1:4" x14ac:dyDescent="0.3">
      <c r="A39" s="1"/>
      <c r="B39" s="1"/>
      <c r="C39" s="34"/>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xiC84sjmHD4vlok4KOR5iUXR29FhjwD0SgpXR6GDPHaMCwIqUIvGOevoZwlb+GnqPWI85gS+JEXl8nfPkLGRXA==" saltValue="aP25kt9GEEpLNfzYgzkE9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128</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52" t="s">
        <v>12</v>
      </c>
      <c r="C8" s="53"/>
      <c r="D8" s="19"/>
      <c r="E8" s="1"/>
    </row>
    <row r="9" spans="1:5" x14ac:dyDescent="0.3">
      <c r="A9" s="1"/>
      <c r="B9" s="55" t="s">
        <v>68</v>
      </c>
      <c r="C9" s="7">
        <f>'Fane 3. Omkostninger i ØR2024'!C20</f>
        <v>49913154.787272409</v>
      </c>
      <c r="D9" s="8" t="s">
        <v>3</v>
      </c>
      <c r="E9" s="1"/>
    </row>
    <row r="10" spans="1:5" ht="17.100000000000001" customHeight="1" x14ac:dyDescent="0.3">
      <c r="A10" s="1"/>
      <c r="B10" s="24" t="s">
        <v>32</v>
      </c>
      <c r="C10" s="7">
        <f>'Fane 10.1. Varige tillæg'!C18</f>
        <v>117218.359</v>
      </c>
      <c r="D10" s="8" t="s">
        <v>3</v>
      </c>
      <c r="E10" s="1"/>
    </row>
    <row r="11" spans="1:5" ht="17.100000000000001" customHeight="1" x14ac:dyDescent="0.3">
      <c r="A11" s="1"/>
      <c r="B11" s="24" t="s">
        <v>33</v>
      </c>
      <c r="C11" s="9">
        <f>'Fane 10.1. Varige tillæg'!E18</f>
        <v>61048.873899999999</v>
      </c>
      <c r="D11" s="8" t="s">
        <v>3</v>
      </c>
      <c r="E11" s="1"/>
    </row>
    <row r="12" spans="1:5" ht="17.100000000000001" customHeight="1" x14ac:dyDescent="0.3">
      <c r="A12" s="1"/>
      <c r="B12" s="24" t="s">
        <v>24</v>
      </c>
      <c r="C12" s="9">
        <f>-'Fane 12. Bortfald'!C12</f>
        <v>0</v>
      </c>
      <c r="D12" s="8" t="s">
        <v>3</v>
      </c>
      <c r="E12" s="1"/>
    </row>
    <row r="13" spans="1:5" ht="17.100000000000001" customHeight="1" x14ac:dyDescent="0.3">
      <c r="A13" s="1"/>
      <c r="B13" s="24" t="s">
        <v>23</v>
      </c>
      <c r="C13" s="9">
        <f>-'Fane 12. Bortfald'!E12</f>
        <v>0</v>
      </c>
      <c r="D13" s="8" t="s">
        <v>3</v>
      </c>
      <c r="E13" s="1"/>
    </row>
    <row r="14" spans="1:5" ht="17.100000000000001" customHeight="1" x14ac:dyDescent="0.3">
      <c r="A14" s="1"/>
      <c r="B14" s="24" t="s">
        <v>61</v>
      </c>
      <c r="C14" s="9">
        <f>'Fane 11. Tilknyttet virksomhed'!C12</f>
        <v>0</v>
      </c>
      <c r="D14" s="8" t="s">
        <v>3</v>
      </c>
      <c r="E14" s="1"/>
    </row>
    <row r="15" spans="1:5" ht="17.100000000000001" customHeight="1" x14ac:dyDescent="0.3">
      <c r="A15" s="1"/>
      <c r="B15" s="24" t="s">
        <v>62</v>
      </c>
      <c r="C15" s="9">
        <f>'Fane 11. Tilknyttet virksomhed'!E12</f>
        <v>0</v>
      </c>
      <c r="D15" s="8" t="s">
        <v>3</v>
      </c>
      <c r="E15" s="1"/>
    </row>
    <row r="16" spans="1:5" ht="17.100000000000001" customHeight="1" x14ac:dyDescent="0.3">
      <c r="A16" s="1"/>
      <c r="B16" s="24" t="s">
        <v>17</v>
      </c>
      <c r="C16" s="9">
        <f>(SUM(C9:C11)+SUM(C14:C15))*'Fane 13. Nøgletal'!C11</f>
        <v>3321061.2799374303</v>
      </c>
      <c r="D16" s="8" t="s">
        <v>3</v>
      </c>
      <c r="E16" s="1"/>
    </row>
    <row r="17" spans="1:5" ht="17.100000000000001" customHeight="1" x14ac:dyDescent="0.3">
      <c r="A17" s="1"/>
      <c r="B17" s="24" t="s">
        <v>9</v>
      </c>
      <c r="C17" s="9">
        <f>-SUM(C9:C16)*'Fane 5. Individuelt eff. krav'!C9</f>
        <v>-893018.78389719594</v>
      </c>
      <c r="D17" s="8" t="s">
        <v>3</v>
      </c>
      <c r="E17" s="1"/>
    </row>
    <row r="18" spans="1:5" ht="17.100000000000001" customHeight="1" x14ac:dyDescent="0.3">
      <c r="A18" s="1"/>
      <c r="B18" s="24" t="s">
        <v>21</v>
      </c>
      <c r="C18" s="9">
        <f>-'Fane 4.1. Gen. krav - drift'!C17</f>
        <v>-557457.04718852136</v>
      </c>
      <c r="D18" s="8" t="s">
        <v>3</v>
      </c>
      <c r="E18" s="1"/>
    </row>
    <row r="19" spans="1:5" ht="17.100000000000001" customHeight="1" x14ac:dyDescent="0.3">
      <c r="A19" s="1"/>
      <c r="B19" s="24" t="s">
        <v>22</v>
      </c>
      <c r="C19" s="9">
        <f>-'Fane 4.2. Gen. krav - anlæg'!C17</f>
        <v>0</v>
      </c>
      <c r="D19" s="8" t="s">
        <v>3</v>
      </c>
      <c r="E19" s="1"/>
    </row>
    <row r="20" spans="1:5" ht="17.100000000000001" customHeight="1" x14ac:dyDescent="0.3">
      <c r="A20" s="1"/>
      <c r="B20" s="73" t="s">
        <v>19</v>
      </c>
      <c r="C20" s="10">
        <f>SUM(C9:C19)</f>
        <v>51962007.469024114</v>
      </c>
      <c r="D20" s="11" t="s">
        <v>3</v>
      </c>
      <c r="E20" s="1"/>
    </row>
    <row r="21" spans="1:5" ht="15" customHeight="1" x14ac:dyDescent="0.3">
      <c r="A21" s="1"/>
      <c r="B21" s="52" t="s">
        <v>11</v>
      </c>
      <c r="C21" s="53"/>
      <c r="D21" s="19"/>
      <c r="E21" s="1"/>
    </row>
    <row r="22" spans="1:5" ht="15" customHeight="1" x14ac:dyDescent="0.3">
      <c r="A22" s="1"/>
      <c r="B22" s="54" t="s">
        <v>11</v>
      </c>
      <c r="C22" s="10">
        <f>'Fane 6. Ikke-påvirkelige omk.'!C20</f>
        <v>19014206.323008001</v>
      </c>
      <c r="D22" s="11" t="s">
        <v>3</v>
      </c>
      <c r="E22" s="1"/>
    </row>
    <row r="23" spans="1:5" ht="15" customHeight="1" x14ac:dyDescent="0.3">
      <c r="A23" s="1"/>
      <c r="B23" s="52" t="s">
        <v>39</v>
      </c>
      <c r="C23" s="53"/>
      <c r="D23" s="19"/>
      <c r="E23" s="1"/>
    </row>
    <row r="24" spans="1:5" ht="15" customHeight="1" x14ac:dyDescent="0.3">
      <c r="A24" s="1"/>
      <c r="B24" s="24" t="s">
        <v>35</v>
      </c>
      <c r="C24" s="9">
        <f>'Fane 10.2. Engangstillæg'!C14</f>
        <v>0</v>
      </c>
      <c r="D24" s="8" t="s">
        <v>3</v>
      </c>
      <c r="E24" s="1"/>
    </row>
    <row r="25" spans="1:5" ht="15" customHeight="1" x14ac:dyDescent="0.3">
      <c r="A25" s="1"/>
      <c r="B25" s="24" t="s">
        <v>36</v>
      </c>
      <c r="C25" s="9">
        <f>'Fane 10.2. Engangstillæg'!E14</f>
        <v>0</v>
      </c>
      <c r="D25" s="8" t="s">
        <v>3</v>
      </c>
      <c r="E25" s="1"/>
    </row>
    <row r="26" spans="1:5" ht="15" customHeight="1" x14ac:dyDescent="0.3">
      <c r="A26" s="1"/>
      <c r="B26" s="24" t="s">
        <v>79</v>
      </c>
      <c r="C26" s="9">
        <f>-C24*('Fane 13. Nøgletal'!C23+'Fane 5. Individuelt eff. krav'!C9)</f>
        <v>0</v>
      </c>
      <c r="D26" s="8" t="s">
        <v>3</v>
      </c>
      <c r="E26" s="1"/>
    </row>
    <row r="27" spans="1:5" ht="15" customHeight="1" x14ac:dyDescent="0.3">
      <c r="A27" s="1"/>
      <c r="B27" s="24" t="s">
        <v>80</v>
      </c>
      <c r="C27" s="9">
        <f>-C25*('Fane 13. Nøgletal'!C18+'Fane 5. Individuelt eff. krav'!C9)</f>
        <v>0</v>
      </c>
      <c r="D27" s="8" t="s">
        <v>3</v>
      </c>
      <c r="E27" s="1"/>
    </row>
    <row r="28" spans="1:5" x14ac:dyDescent="0.3">
      <c r="A28" s="1"/>
      <c r="B28" s="73" t="s">
        <v>40</v>
      </c>
      <c r="C28" s="50">
        <f>SUM(C24:C27)</f>
        <v>0</v>
      </c>
      <c r="D28" s="11" t="s">
        <v>3</v>
      </c>
      <c r="E28" s="1"/>
    </row>
    <row r="29" spans="1:5" ht="15" customHeight="1" x14ac:dyDescent="0.3">
      <c r="A29" s="1"/>
      <c r="B29" s="25" t="s">
        <v>65</v>
      </c>
      <c r="C29" s="53"/>
      <c r="D29" s="19"/>
      <c r="E29" s="1"/>
    </row>
    <row r="30" spans="1:5" x14ac:dyDescent="0.3">
      <c r="A30" s="1"/>
      <c r="B30" s="58" t="s">
        <v>66</v>
      </c>
      <c r="C30" s="10">
        <f>'Fane 7. Kontrol af ØR2023'!C30</f>
        <v>-1937512.9747002721</v>
      </c>
      <c r="D30" s="11" t="s">
        <v>3</v>
      </c>
      <c r="E30" s="1"/>
    </row>
    <row r="31" spans="1:5" x14ac:dyDescent="0.3">
      <c r="A31" s="1"/>
      <c r="B31" s="25" t="s">
        <v>70</v>
      </c>
      <c r="C31" s="53"/>
      <c r="D31" s="19"/>
      <c r="E31" s="1"/>
    </row>
    <row r="32" spans="1:5" x14ac:dyDescent="0.3">
      <c r="A32" s="1"/>
      <c r="B32" s="58" t="s">
        <v>71</v>
      </c>
      <c r="C32" s="10">
        <f>'Fane 8. Skattesagen'!C14</f>
        <v>0</v>
      </c>
      <c r="D32" s="11" t="s">
        <v>3</v>
      </c>
      <c r="E32" s="1"/>
    </row>
    <row r="33" spans="1:5" x14ac:dyDescent="0.3">
      <c r="A33" s="1"/>
      <c r="B33" s="52" t="s">
        <v>69</v>
      </c>
      <c r="C33" s="29">
        <f>SUM(C20,C22,C28,C30,C32)</f>
        <v>69038700.817331851</v>
      </c>
      <c r="D33" s="19" t="s">
        <v>3</v>
      </c>
      <c r="E33" s="1"/>
    </row>
    <row r="34" spans="1:5" x14ac:dyDescent="0.3">
      <c r="A34" s="1"/>
      <c r="B34" s="1" t="s">
        <v>82</v>
      </c>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1YKwQLXgY4+6v4Da9+9a9MLlJbGyrL2WxOX8jwQc+G4vR5DQdrisK4ywo7S4L5sBlteqz9111Z8cGEuy9XTZXA==" saltValue="mCIdXIjuQ2OwMnf95rEgM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129</v>
      </c>
      <c r="C3" s="94"/>
      <c r="D3" s="94"/>
      <c r="E3" s="1"/>
    </row>
    <row r="4" spans="1:5" ht="15" customHeight="1" x14ac:dyDescent="0.3">
      <c r="A4" s="1"/>
      <c r="B4" s="94"/>
      <c r="C4" s="94"/>
      <c r="D4" s="94"/>
      <c r="E4" s="1"/>
    </row>
    <row r="5" spans="1:5" x14ac:dyDescent="0.3">
      <c r="A5" s="1"/>
      <c r="B5" s="95"/>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72</v>
      </c>
      <c r="C9" s="7">
        <f>'Fane 2.1. Økonomisk ramme 2025'!C20</f>
        <v>51962007.469024114</v>
      </c>
      <c r="D9" s="8" t="s">
        <v>3</v>
      </c>
      <c r="E9" s="1"/>
    </row>
    <row r="10" spans="1:5" ht="15" customHeight="1" x14ac:dyDescent="0.3">
      <c r="A10" s="1"/>
      <c r="B10" s="47" t="s">
        <v>17</v>
      </c>
      <c r="C10" s="41">
        <f>C9*'Fane 13. Nøgletal'!C11</f>
        <v>3445081.0951962988</v>
      </c>
      <c r="D10" s="8" t="s">
        <v>3</v>
      </c>
      <c r="E10" s="1"/>
    </row>
    <row r="11" spans="1:5" ht="15" customHeight="1" x14ac:dyDescent="0.3">
      <c r="A11" s="1"/>
      <c r="B11" s="47" t="s">
        <v>9</v>
      </c>
      <c r="C11" s="9">
        <f>-SUM(C9:C10)*'Fane 5. Individuelt eff. krav'!C9</f>
        <v>-926367.1672199259</v>
      </c>
      <c r="D11" s="8" t="s">
        <v>3</v>
      </c>
      <c r="E11" s="1"/>
    </row>
    <row r="12" spans="1:5" ht="15" customHeight="1" x14ac:dyDescent="0.3">
      <c r="A12" s="1"/>
      <c r="B12" s="47" t="s">
        <v>21</v>
      </c>
      <c r="C12" s="9">
        <f>-'Fane 4.1. Gen. krav - drift'!C22</f>
        <v>-582528.120428778</v>
      </c>
      <c r="D12" s="8" t="s">
        <v>3</v>
      </c>
      <c r="E12" s="1"/>
    </row>
    <row r="13" spans="1:5" ht="15" customHeight="1" x14ac:dyDescent="0.3">
      <c r="A13" s="1"/>
      <c r="B13" s="47" t="s">
        <v>22</v>
      </c>
      <c r="C13" s="9">
        <f>-'Fane 4.2. Gen. krav - anlæg'!C22</f>
        <v>0</v>
      </c>
      <c r="D13" s="8" t="s">
        <v>3</v>
      </c>
      <c r="E13" s="1"/>
    </row>
    <row r="14" spans="1:5" ht="15" customHeight="1" x14ac:dyDescent="0.3">
      <c r="A14" s="1"/>
      <c r="B14" s="51" t="s">
        <v>19</v>
      </c>
      <c r="C14" s="10">
        <f>SUM(C9:C13)</f>
        <v>53898193.276571706</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f>
        <v>20274848.202223431</v>
      </c>
      <c r="D16" s="11" t="s">
        <v>3</v>
      </c>
      <c r="E16" s="1"/>
    </row>
    <row r="17" spans="1:5" x14ac:dyDescent="0.3">
      <c r="A17" s="1"/>
      <c r="B17" s="25" t="s">
        <v>65</v>
      </c>
      <c r="C17" s="53"/>
      <c r="D17" s="19"/>
      <c r="E17" s="1"/>
    </row>
    <row r="18" spans="1:5" ht="15" customHeight="1" x14ac:dyDescent="0.3">
      <c r="A18" s="1"/>
      <c r="B18" s="45" t="s">
        <v>66</v>
      </c>
      <c r="C18" s="10">
        <f>'Fane 7. Kontrol af ØR2023'!C30</f>
        <v>-1937512.9747002721</v>
      </c>
      <c r="D18" s="11" t="s">
        <v>3</v>
      </c>
      <c r="E18" s="1"/>
    </row>
    <row r="19" spans="1:5" x14ac:dyDescent="0.3">
      <c r="A19" s="1"/>
      <c r="B19" s="25" t="s">
        <v>70</v>
      </c>
      <c r="C19" s="53"/>
      <c r="D19" s="19"/>
      <c r="E19" s="1"/>
    </row>
    <row r="20" spans="1:5" x14ac:dyDescent="0.3">
      <c r="A20" s="1"/>
      <c r="B20" s="58" t="s">
        <v>71</v>
      </c>
      <c r="C20" s="10">
        <f>'Fane 8. Skattesagen'!C15</f>
        <v>0</v>
      </c>
      <c r="D20" s="11" t="s">
        <v>3</v>
      </c>
      <c r="E20" s="1"/>
    </row>
    <row r="21" spans="1:5" x14ac:dyDescent="0.3">
      <c r="A21" s="1"/>
      <c r="B21" s="52" t="s">
        <v>73</v>
      </c>
      <c r="C21" s="12">
        <f>SUM(C14,C16,C18,C20)</f>
        <v>72235528.504094869</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EoGP0YIwXMx1BZDXld43cnXZ9A0dkw/xwC/9s8pZtr7pkOqtgO/Oqh8pdNwVPreM1ASgSB00+LXdm1nj4czQPA==" saltValue="Pgor1PfWPEfB0ucBY6LLG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130</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108</v>
      </c>
      <c r="C9" s="7">
        <f>'Fane 2.2. Økonomisk ramme 2026'!C14</f>
        <v>53898193.276571706</v>
      </c>
      <c r="D9" s="8" t="s">
        <v>3</v>
      </c>
      <c r="E9" s="1"/>
    </row>
    <row r="10" spans="1:5" ht="15" customHeight="1" x14ac:dyDescent="0.3">
      <c r="A10" s="1"/>
      <c r="B10" s="47" t="s">
        <v>17</v>
      </c>
      <c r="C10" s="41">
        <f>C9*'Fane 13. Nøgletal'!C11</f>
        <v>3573450.2142367042</v>
      </c>
      <c r="D10" s="8" t="s">
        <v>3</v>
      </c>
      <c r="E10" s="1"/>
    </row>
    <row r="11" spans="1:5" ht="15" customHeight="1" x14ac:dyDescent="0.3">
      <c r="A11" s="1"/>
      <c r="B11" s="47" t="s">
        <v>9</v>
      </c>
      <c r="C11" s="9">
        <f>-SUM(C9:C10)*'Fane 5. Individuelt eff. krav'!C9</f>
        <v>-960885.05921666045</v>
      </c>
      <c r="D11" s="8" t="s">
        <v>3</v>
      </c>
      <c r="E11" s="1"/>
    </row>
    <row r="12" spans="1:5" ht="15" customHeight="1" x14ac:dyDescent="0.3">
      <c r="A12" s="1"/>
      <c r="B12" s="47" t="s">
        <v>21</v>
      </c>
      <c r="C12" s="9">
        <f>-'Fane 4.1. Gen. krav - drift'!C27</f>
        <v>-608726.74011694174</v>
      </c>
      <c r="D12" s="8" t="s">
        <v>3</v>
      </c>
      <c r="E12" s="1"/>
    </row>
    <row r="13" spans="1:5" ht="15" customHeight="1" x14ac:dyDescent="0.3">
      <c r="A13" s="1"/>
      <c r="B13" s="47" t="s">
        <v>22</v>
      </c>
      <c r="C13" s="9">
        <f>-'Fane 4.2. Gen. krav - anlæg'!C27</f>
        <v>0</v>
      </c>
      <c r="D13" s="8" t="s">
        <v>3</v>
      </c>
      <c r="E13" s="1"/>
    </row>
    <row r="14" spans="1:5" ht="15" customHeight="1" x14ac:dyDescent="0.3">
      <c r="A14" s="1"/>
      <c r="B14" s="51" t="s">
        <v>19</v>
      </c>
      <c r="C14" s="10">
        <f>SUM(C9:C13)</f>
        <v>55902031.69147481</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Nøgletal'!C11)^2</f>
        <v>21619070.638030846</v>
      </c>
      <c r="D16" s="11" t="s">
        <v>3</v>
      </c>
      <c r="E16" s="1"/>
    </row>
    <row r="17" spans="1:5" x14ac:dyDescent="0.3">
      <c r="A17" s="1"/>
      <c r="B17" s="25" t="s">
        <v>65</v>
      </c>
      <c r="C17" s="53"/>
      <c r="D17" s="19"/>
      <c r="E17" s="1"/>
    </row>
    <row r="18" spans="1:5" ht="15" customHeight="1" x14ac:dyDescent="0.3">
      <c r="A18" s="1"/>
      <c r="B18" s="45" t="s">
        <v>66</v>
      </c>
      <c r="C18" s="10">
        <v>0</v>
      </c>
      <c r="D18" s="11" t="s">
        <v>3</v>
      </c>
      <c r="E18" s="1"/>
    </row>
    <row r="19" spans="1:5" x14ac:dyDescent="0.3">
      <c r="A19" s="1"/>
      <c r="B19" s="52" t="s">
        <v>70</v>
      </c>
      <c r="C19" s="53"/>
      <c r="D19" s="19"/>
      <c r="E19" s="1"/>
    </row>
    <row r="20" spans="1:5" x14ac:dyDescent="0.3">
      <c r="A20" s="1"/>
      <c r="B20" s="58" t="s">
        <v>71</v>
      </c>
      <c r="C20" s="10">
        <f>'Fane 8. Skattesagen'!C16</f>
        <v>0</v>
      </c>
      <c r="D20" s="11" t="s">
        <v>3</v>
      </c>
      <c r="E20" s="1"/>
    </row>
    <row r="21" spans="1:5" x14ac:dyDescent="0.3">
      <c r="A21" s="1"/>
      <c r="B21" s="52" t="s">
        <v>109</v>
      </c>
      <c r="C21" s="12">
        <f>SUM(C14,C16,C18,C20)</f>
        <v>77521102.329505652</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q4kAiaoW6Prp91w7DJBYarMcEZ/rbXJXwGz+YxMYUSaaAH4Vl68+Qan1VzojTkLs+DR20LbBoP7CR8ouKxpuDg==" saltValue="3/X8k9pExewLdecdsuCPu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131</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132</v>
      </c>
      <c r="C9" s="7">
        <f>'Fane 2.3. Økonomisk ramme 2027'!C14</f>
        <v>55902031.69147481</v>
      </c>
      <c r="D9" s="8" t="s">
        <v>3</v>
      </c>
      <c r="E9" s="1"/>
    </row>
    <row r="10" spans="1:5" ht="15" customHeight="1" x14ac:dyDescent="0.3">
      <c r="A10" s="1"/>
      <c r="B10" s="47" t="s">
        <v>17</v>
      </c>
      <c r="C10" s="9">
        <f>C9*'Fane 13. Nøgletal'!C11</f>
        <v>3706304.7011447796</v>
      </c>
      <c r="D10" s="8" t="s">
        <v>3</v>
      </c>
      <c r="E10" s="1"/>
    </row>
    <row r="11" spans="1:5" ht="15" customHeight="1" x14ac:dyDescent="0.3">
      <c r="A11" s="1"/>
      <c r="B11" s="47" t="s">
        <v>9</v>
      </c>
      <c r="C11" s="9">
        <f>-SUM(C9:C10)*'Fane 5. Individuelt eff. krav'!C9</f>
        <v>-996609.04692223237</v>
      </c>
      <c r="D11" s="8" t="s">
        <v>3</v>
      </c>
      <c r="E11" s="1"/>
    </row>
    <row r="12" spans="1:5" ht="15" customHeight="1" x14ac:dyDescent="0.3">
      <c r="A12" s="1"/>
      <c r="B12" s="47" t="s">
        <v>21</v>
      </c>
      <c r="C12" s="9">
        <f>-'Fane 4.1. Gen. krav - drift'!C32</f>
        <v>-636103.61652696109</v>
      </c>
      <c r="D12" s="8" t="s">
        <v>3</v>
      </c>
      <c r="E12" s="1"/>
    </row>
    <row r="13" spans="1:5" ht="15" customHeight="1" x14ac:dyDescent="0.3">
      <c r="A13" s="1"/>
      <c r="B13" s="47" t="s">
        <v>22</v>
      </c>
      <c r="C13" s="9">
        <f>-'Fane 4.2. Gen. krav - anlæg'!C32</f>
        <v>0</v>
      </c>
      <c r="D13" s="8" t="s">
        <v>3</v>
      </c>
      <c r="E13" s="1"/>
    </row>
    <row r="14" spans="1:5" x14ac:dyDescent="0.3">
      <c r="A14" s="1"/>
      <c r="B14" s="51" t="s">
        <v>19</v>
      </c>
      <c r="C14" s="10">
        <f>SUM(C9:C13)</f>
        <v>57975623.729170397</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Nøgletal'!C11)^3</f>
        <v>23052415.021332294</v>
      </c>
      <c r="D16" s="11" t="s">
        <v>3</v>
      </c>
      <c r="E16" s="1"/>
    </row>
    <row r="17" spans="1:5" x14ac:dyDescent="0.3">
      <c r="A17" s="1"/>
      <c r="B17" s="25" t="s">
        <v>70</v>
      </c>
      <c r="C17" s="53"/>
      <c r="D17" s="19"/>
      <c r="E17" s="1"/>
    </row>
    <row r="18" spans="1:5" x14ac:dyDescent="0.3">
      <c r="A18" s="1"/>
      <c r="B18" s="58" t="s">
        <v>71</v>
      </c>
      <c r="C18" s="10">
        <f>'Fane 8. Skattesagen'!C17</f>
        <v>0</v>
      </c>
      <c r="D18" s="11" t="s">
        <v>3</v>
      </c>
      <c r="E18" s="1"/>
    </row>
    <row r="19" spans="1:5" x14ac:dyDescent="0.3">
      <c r="A19" s="1"/>
      <c r="B19" s="52" t="s">
        <v>133</v>
      </c>
      <c r="C19" s="12">
        <f>SUM(C14,C16,C18)</f>
        <v>81028038.750502691</v>
      </c>
      <c r="D19" s="13"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FoT19kKmZLH9TRDjS9/E1z7IrlOtCPK2Qr/mmYhmjataFsFH9ml3U8+m1weaUNqYWRjRosTYZfa1ScuejODASw==" saltValue="UXOIzz1stj7q/yHE5pt+1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4.4" zeroHeight="1" x14ac:dyDescent="0.3"/>
  <cols>
    <col min="1" max="1" width="6.5546875" style="2" customWidth="1"/>
    <col min="2" max="2" width="56.6640625" style="2" customWidth="1"/>
    <col min="3" max="3" width="12.6640625" style="2" bestFit="1" customWidth="1"/>
    <col min="4" max="4" width="3" style="2" customWidth="1"/>
    <col min="5" max="5" width="6.33203125" style="2"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96" t="s">
        <v>134</v>
      </c>
      <c r="C3" s="96"/>
      <c r="D3" s="96"/>
      <c r="E3" s="1"/>
    </row>
    <row r="4" spans="1:5" ht="15" customHeight="1" x14ac:dyDescent="0.3">
      <c r="A4" s="1"/>
      <c r="B4" s="96"/>
      <c r="C4" s="96"/>
      <c r="D4" s="96"/>
      <c r="E4" s="1"/>
    </row>
    <row r="5" spans="1:5" ht="15" customHeight="1" x14ac:dyDescent="0.3">
      <c r="A5" s="1"/>
      <c r="B5" s="1"/>
      <c r="C5" s="1"/>
      <c r="D5" s="1"/>
      <c r="E5" s="1"/>
    </row>
    <row r="6" spans="1:5" ht="15" customHeight="1" x14ac:dyDescent="0.3">
      <c r="A6" s="1"/>
      <c r="B6" s="1"/>
      <c r="C6" s="1"/>
      <c r="D6" s="1"/>
      <c r="E6" s="1"/>
    </row>
    <row r="7" spans="1:5" x14ac:dyDescent="0.3">
      <c r="A7" s="1"/>
      <c r="B7" s="1"/>
      <c r="C7" s="1"/>
      <c r="D7" s="1"/>
      <c r="E7" s="1"/>
    </row>
    <row r="8" spans="1:5" x14ac:dyDescent="0.3">
      <c r="A8" s="1"/>
      <c r="B8" s="52" t="s">
        <v>135</v>
      </c>
      <c r="C8" s="53"/>
      <c r="D8" s="19"/>
      <c r="E8" s="1"/>
    </row>
    <row r="9" spans="1:5" x14ac:dyDescent="0.3">
      <c r="A9" s="1"/>
      <c r="B9" s="55" t="s">
        <v>63</v>
      </c>
      <c r="C9" s="7">
        <v>49049326.581416443</v>
      </c>
      <c r="D9" s="8" t="s">
        <v>3</v>
      </c>
      <c r="E9" s="1"/>
    </row>
    <row r="10" spans="1:5" x14ac:dyDescent="0.3">
      <c r="A10" s="1"/>
      <c r="B10" s="24" t="s">
        <v>32</v>
      </c>
      <c r="C10" s="7">
        <v>135884.66080000001</v>
      </c>
      <c r="D10" s="8" t="s">
        <v>3</v>
      </c>
      <c r="E10" s="1"/>
    </row>
    <row r="11" spans="1:5" ht="15" customHeight="1" x14ac:dyDescent="0.3">
      <c r="A11" s="1"/>
      <c r="B11" s="24" t="s">
        <v>33</v>
      </c>
      <c r="C11" s="9">
        <v>491631.06160000002</v>
      </c>
      <c r="D11" s="8" t="s">
        <v>3</v>
      </c>
      <c r="E11" s="1"/>
    </row>
    <row r="12" spans="1:5" ht="15" customHeight="1" x14ac:dyDescent="0.3">
      <c r="A12" s="1"/>
      <c r="B12" s="24" t="s">
        <v>24</v>
      </c>
      <c r="C12" s="9">
        <v>0</v>
      </c>
      <c r="D12" s="8" t="s">
        <v>3</v>
      </c>
      <c r="E12" s="1"/>
    </row>
    <row r="13" spans="1:5" x14ac:dyDescent="0.3">
      <c r="A13" s="1"/>
      <c r="B13" s="24" t="s">
        <v>23</v>
      </c>
      <c r="C13" s="9">
        <v>0</v>
      </c>
      <c r="D13" s="8" t="s">
        <v>3</v>
      </c>
      <c r="E13" s="1"/>
    </row>
    <row r="14" spans="1:5" x14ac:dyDescent="0.3">
      <c r="A14" s="1"/>
      <c r="B14" s="24" t="s">
        <v>61</v>
      </c>
      <c r="C14" s="9">
        <v>0</v>
      </c>
      <c r="D14" s="8" t="s">
        <v>3</v>
      </c>
      <c r="E14" s="1"/>
    </row>
    <row r="15" spans="1:5" x14ac:dyDescent="0.3">
      <c r="A15" s="1"/>
      <c r="B15" s="24" t="s">
        <v>62</v>
      </c>
      <c r="C15" s="9">
        <v>0</v>
      </c>
      <c r="D15" s="8" t="s">
        <v>3</v>
      </c>
      <c r="E15" s="1"/>
    </row>
    <row r="16" spans="1:5" x14ac:dyDescent="0.3">
      <c r="A16" s="1"/>
      <c r="B16" s="24" t="s">
        <v>17</v>
      </c>
      <c r="C16" s="9">
        <v>1796859.2966683453</v>
      </c>
      <c r="D16" s="8" t="s">
        <v>3</v>
      </c>
      <c r="E16" s="1"/>
    </row>
    <row r="17" spans="1:5" x14ac:dyDescent="0.3">
      <c r="A17" s="1"/>
      <c r="B17" s="24" t="s">
        <v>9</v>
      </c>
      <c r="C17" s="9">
        <v>-1029474.0320096958</v>
      </c>
      <c r="D17" s="8" t="s">
        <v>3</v>
      </c>
      <c r="E17" s="1"/>
    </row>
    <row r="18" spans="1:5" x14ac:dyDescent="0.3">
      <c r="A18" s="1"/>
      <c r="B18" s="24" t="s">
        <v>21</v>
      </c>
      <c r="C18" s="9">
        <v>-531072.7812026781</v>
      </c>
      <c r="D18" s="8" t="s">
        <v>3</v>
      </c>
      <c r="E18" s="1"/>
    </row>
    <row r="19" spans="1:5" x14ac:dyDescent="0.3">
      <c r="A19" s="1"/>
      <c r="B19" s="24" t="s">
        <v>22</v>
      </c>
      <c r="C19" s="9">
        <v>0</v>
      </c>
      <c r="D19" s="8" t="s">
        <v>3</v>
      </c>
      <c r="E19" s="1"/>
    </row>
    <row r="20" spans="1:5" x14ac:dyDescent="0.3">
      <c r="A20" s="1"/>
      <c r="B20" s="73" t="s">
        <v>19</v>
      </c>
      <c r="C20" s="10">
        <v>49913154.787272409</v>
      </c>
      <c r="D20" s="11" t="s">
        <v>3</v>
      </c>
      <c r="E20" s="1"/>
    </row>
    <row r="21" spans="1:5" x14ac:dyDescent="0.3">
      <c r="A21" s="1"/>
      <c r="B21" s="52" t="s">
        <v>11</v>
      </c>
      <c r="C21" s="53"/>
      <c r="D21" s="19"/>
      <c r="E21" s="1"/>
    </row>
    <row r="22" spans="1:5" x14ac:dyDescent="0.3">
      <c r="A22" s="1"/>
      <c r="B22" s="54" t="s">
        <v>11</v>
      </c>
      <c r="C22" s="10">
        <v>21331412.030709758</v>
      </c>
      <c r="D22" s="11" t="s">
        <v>3</v>
      </c>
      <c r="E22" s="1"/>
    </row>
    <row r="23" spans="1:5" x14ac:dyDescent="0.3">
      <c r="A23" s="1"/>
      <c r="B23" s="52" t="s">
        <v>39</v>
      </c>
      <c r="C23" s="53"/>
      <c r="D23" s="19"/>
      <c r="E23" s="1"/>
    </row>
    <row r="24" spans="1:5" ht="15" customHeight="1" x14ac:dyDescent="0.3">
      <c r="A24" s="1"/>
      <c r="B24" s="24" t="s">
        <v>35</v>
      </c>
      <c r="C24" s="9">
        <v>0</v>
      </c>
      <c r="D24" s="8" t="s">
        <v>3</v>
      </c>
      <c r="E24" s="1"/>
    </row>
    <row r="25" spans="1:5" ht="14.25" customHeight="1" x14ac:dyDescent="0.3">
      <c r="A25" s="1"/>
      <c r="B25" s="24" t="s">
        <v>36</v>
      </c>
      <c r="C25" s="9">
        <v>0</v>
      </c>
      <c r="D25" s="8" t="s">
        <v>3</v>
      </c>
      <c r="E25" s="1"/>
    </row>
    <row r="26" spans="1:5" ht="14.25" customHeight="1" x14ac:dyDescent="0.3">
      <c r="A26" s="1"/>
      <c r="B26" s="24" t="s">
        <v>79</v>
      </c>
      <c r="C26" s="9">
        <v>0</v>
      </c>
      <c r="D26" s="8" t="s">
        <v>3</v>
      </c>
      <c r="E26" s="1"/>
    </row>
    <row r="27" spans="1:5" ht="14.25" customHeight="1" x14ac:dyDescent="0.3">
      <c r="A27" s="1"/>
      <c r="B27" s="24" t="s">
        <v>80</v>
      </c>
      <c r="C27" s="9">
        <v>0</v>
      </c>
      <c r="D27" s="8" t="s">
        <v>3</v>
      </c>
      <c r="E27" s="1"/>
    </row>
    <row r="28" spans="1:5" ht="14.25" customHeight="1" x14ac:dyDescent="0.3">
      <c r="A28" s="1"/>
      <c r="B28" s="73" t="s">
        <v>40</v>
      </c>
      <c r="C28" s="10">
        <v>0</v>
      </c>
      <c r="D28" s="11" t="s">
        <v>3</v>
      </c>
      <c r="E28" s="1"/>
    </row>
    <row r="29" spans="1:5" x14ac:dyDescent="0.3">
      <c r="A29" s="1"/>
      <c r="B29" s="25" t="s">
        <v>65</v>
      </c>
      <c r="C29" s="53"/>
      <c r="D29" s="19"/>
      <c r="E29" s="1"/>
    </row>
    <row r="30" spans="1:5" x14ac:dyDescent="0.3">
      <c r="A30" s="1"/>
      <c r="B30" s="58" t="s">
        <v>66</v>
      </c>
      <c r="C30" s="10">
        <v>-2056802.429406926</v>
      </c>
      <c r="D30" s="11" t="s">
        <v>3</v>
      </c>
      <c r="E30" s="1"/>
    </row>
    <row r="31" spans="1:5" ht="15" customHeight="1" x14ac:dyDescent="0.3">
      <c r="A31" s="1"/>
      <c r="B31" s="25" t="s">
        <v>70</v>
      </c>
      <c r="C31" s="53"/>
      <c r="D31" s="19"/>
      <c r="E31" s="1"/>
    </row>
    <row r="32" spans="1:5" ht="15.6" customHeight="1" x14ac:dyDescent="0.3">
      <c r="A32" s="1"/>
      <c r="B32" s="58" t="s">
        <v>71</v>
      </c>
      <c r="C32" s="10">
        <v>0</v>
      </c>
      <c r="D32" s="11" t="s">
        <v>3</v>
      </c>
      <c r="E32" s="1"/>
    </row>
    <row r="33" spans="1:5" ht="15.6" customHeight="1" x14ac:dyDescent="0.3">
      <c r="A33" s="1"/>
      <c r="B33" s="52" t="s">
        <v>67</v>
      </c>
      <c r="C33" s="29">
        <v>69187764.388575241</v>
      </c>
      <c r="D33" s="19" t="s">
        <v>3</v>
      </c>
      <c r="E33" s="1"/>
    </row>
    <row r="34" spans="1:5" ht="30" customHeight="1" x14ac:dyDescent="0.3">
      <c r="A34" s="1"/>
      <c r="B34" s="97" t="s">
        <v>196</v>
      </c>
      <c r="C34" s="97"/>
      <c r="D34" s="97"/>
      <c r="E34" s="1"/>
    </row>
    <row r="35" spans="1:5" ht="27.75" customHeight="1"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Oe5+a+mT6TmanJpDAUrYaDwuGT7YySF6S35rqKuXsO1lBv8uyIMUF5HDIl7PJP8/ZPIHeqrhMXxSo/yWuwLtBA==" saltValue="VB2AnzURhMz9M3ZLHAKZAw=="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33"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32"/>
      <c r="D2" s="1"/>
      <c r="E2" s="1"/>
    </row>
    <row r="3" spans="1:5" ht="15" customHeight="1" x14ac:dyDescent="0.3">
      <c r="A3" s="1"/>
      <c r="B3" s="96" t="s">
        <v>53</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32"/>
      <c r="D7" s="1"/>
      <c r="E7" s="1"/>
    </row>
    <row r="8" spans="1:5" x14ac:dyDescent="0.3">
      <c r="A8" s="1"/>
      <c r="B8" s="98" t="s">
        <v>75</v>
      </c>
      <c r="C8" s="99"/>
      <c r="D8" s="100"/>
      <c r="E8" s="1"/>
    </row>
    <row r="9" spans="1:5" x14ac:dyDescent="0.3">
      <c r="A9" s="1"/>
      <c r="B9" s="56" t="s">
        <v>167</v>
      </c>
      <c r="C9" s="22">
        <v>26406774.918741263</v>
      </c>
      <c r="D9" s="14" t="s">
        <v>3</v>
      </c>
      <c r="E9" s="1"/>
    </row>
    <row r="10" spans="1:5" x14ac:dyDescent="0.3">
      <c r="A10" s="1"/>
      <c r="B10" s="56" t="s">
        <v>110</v>
      </c>
      <c r="C10" s="22">
        <f>('Fane 3. Omkostninger i ØR2024'!C10+'Fane 3. Omkostninger i ØR2024'!C12+'Fane 3. Omkostninger i ØR2024'!C14)*(1+'Fane 13. Nøgletal'!C10)</f>
        <v>146864.14139264001</v>
      </c>
      <c r="D10" s="14" t="s">
        <v>3</v>
      </c>
      <c r="E10" s="1"/>
    </row>
    <row r="11" spans="1:5" x14ac:dyDescent="0.3">
      <c r="A11" s="1"/>
      <c r="B11" s="56" t="s">
        <v>81</v>
      </c>
      <c r="C11" s="22">
        <f>C9*'Fane 13. Nøgletal'!C23+C10*'Fane 13. Nøgletal'!C23</f>
        <v>531072.78120267799</v>
      </c>
      <c r="D11" s="14" t="s">
        <v>3</v>
      </c>
      <c r="E11" s="1"/>
    </row>
    <row r="12" spans="1:5" x14ac:dyDescent="0.3">
      <c r="A12" s="1"/>
      <c r="B12" s="52"/>
      <c r="C12" s="31"/>
      <c r="D12" s="19"/>
      <c r="E12" s="1"/>
    </row>
    <row r="13" spans="1:5" x14ac:dyDescent="0.3">
      <c r="A13" s="1"/>
      <c r="B13" s="1"/>
      <c r="C13" s="32"/>
      <c r="D13" s="1"/>
      <c r="E13" s="1"/>
    </row>
    <row r="14" spans="1:5" x14ac:dyDescent="0.3">
      <c r="A14" s="1"/>
      <c r="B14" s="98" t="s">
        <v>153</v>
      </c>
      <c r="C14" s="99"/>
      <c r="D14" s="100"/>
      <c r="E14" s="1"/>
    </row>
    <row r="15" spans="1:5" x14ac:dyDescent="0.3">
      <c r="A15" s="1"/>
      <c r="B15" s="56" t="s">
        <v>168</v>
      </c>
      <c r="C15" s="22">
        <f>(C9+C10-C11)*(1+'Fane 13. Nøgletal'!C11)</f>
        <v>27747862.423224367</v>
      </c>
      <c r="D15" s="14" t="s">
        <v>3</v>
      </c>
      <c r="E15" s="1"/>
    </row>
    <row r="16" spans="1:5" x14ac:dyDescent="0.3">
      <c r="A16" s="1"/>
      <c r="B16" s="56" t="s">
        <v>154</v>
      </c>
      <c r="C16" s="22">
        <f>('Fane 2.1. Økonomisk ramme 2025'!C10+'Fane 2.1. Økonomisk ramme 2025'!C12+'Fane 2.1. Økonomisk ramme 2025'!C14)*(1+'Fane 13. Nøgletal'!C11)</f>
        <v>124989.93620169999</v>
      </c>
      <c r="D16" s="14" t="s">
        <v>3</v>
      </c>
      <c r="E16" s="1"/>
    </row>
    <row r="17" spans="1:5" x14ac:dyDescent="0.3">
      <c r="A17" s="1"/>
      <c r="B17" s="56" t="s">
        <v>155</v>
      </c>
      <c r="C17" s="22">
        <f>(C15+C16)*'Fane 13. Nøgletal'!C23</f>
        <v>557457.04718852136</v>
      </c>
      <c r="D17" s="14" t="s">
        <v>3</v>
      </c>
      <c r="E17" s="1"/>
    </row>
    <row r="18" spans="1:5" x14ac:dyDescent="0.3">
      <c r="A18" s="1"/>
      <c r="B18" s="52"/>
      <c r="C18" s="31"/>
      <c r="D18" s="19"/>
      <c r="E18" s="1"/>
    </row>
    <row r="19" spans="1:5" x14ac:dyDescent="0.3">
      <c r="A19" s="1"/>
      <c r="B19" s="1"/>
      <c r="C19" s="32"/>
      <c r="D19" s="1"/>
      <c r="E19" s="1"/>
    </row>
    <row r="20" spans="1:5" x14ac:dyDescent="0.3">
      <c r="A20" s="1"/>
      <c r="B20" s="98" t="s">
        <v>170</v>
      </c>
      <c r="C20" s="99"/>
      <c r="D20" s="100"/>
      <c r="E20" s="1"/>
    </row>
    <row r="21" spans="1:5" x14ac:dyDescent="0.3">
      <c r="A21" s="1"/>
      <c r="B21" s="56" t="s">
        <v>169</v>
      </c>
      <c r="C21" s="48">
        <f>(C15+C16-C17)*(1+'Fane 13. Nøgletal'!C11)</f>
        <v>29126406.021438897</v>
      </c>
      <c r="D21" s="14" t="s">
        <v>3</v>
      </c>
      <c r="E21" s="1"/>
    </row>
    <row r="22" spans="1:5" x14ac:dyDescent="0.3">
      <c r="A22" s="1"/>
      <c r="B22" s="56" t="s">
        <v>171</v>
      </c>
      <c r="C22" s="48">
        <f>(C21)*'Fane 13. Nøgletal'!C23</f>
        <v>582528.120428778</v>
      </c>
      <c r="D22" s="14" t="s">
        <v>3</v>
      </c>
      <c r="E22" s="1"/>
    </row>
    <row r="23" spans="1:5" x14ac:dyDescent="0.3">
      <c r="A23" s="1"/>
      <c r="B23" s="52"/>
      <c r="C23" s="31"/>
      <c r="D23" s="19"/>
      <c r="E23" s="1"/>
    </row>
    <row r="24" spans="1:5" x14ac:dyDescent="0.3">
      <c r="A24" s="1"/>
      <c r="B24" s="1"/>
      <c r="C24" s="32"/>
      <c r="D24" s="1"/>
      <c r="E24" s="1"/>
    </row>
    <row r="25" spans="1:5" x14ac:dyDescent="0.3">
      <c r="A25" s="1"/>
      <c r="B25" s="98" t="s">
        <v>116</v>
      </c>
      <c r="C25" s="99"/>
      <c r="D25" s="100"/>
      <c r="E25" s="1"/>
    </row>
    <row r="26" spans="1:5" x14ac:dyDescent="0.3">
      <c r="A26" s="1"/>
      <c r="B26" s="56" t="s">
        <v>117</v>
      </c>
      <c r="C26" s="48">
        <f>(C21-C22)*(1+'Fane 13. Nøgletal'!C11)</f>
        <v>30436337.005847089</v>
      </c>
      <c r="D26" s="14" t="s">
        <v>3</v>
      </c>
      <c r="E26" s="1"/>
    </row>
    <row r="27" spans="1:5" x14ac:dyDescent="0.3">
      <c r="A27" s="1"/>
      <c r="B27" s="56" t="s">
        <v>118</v>
      </c>
      <c r="C27" s="48">
        <f>(C26)*'Fane 13. Nøgletal'!C23</f>
        <v>608726.74011694174</v>
      </c>
      <c r="D27" s="14" t="s">
        <v>3</v>
      </c>
      <c r="E27" s="1"/>
    </row>
    <row r="28" spans="1:5" x14ac:dyDescent="0.3">
      <c r="A28" s="1"/>
      <c r="B28" s="52"/>
      <c r="C28" s="42"/>
      <c r="D28" s="19"/>
      <c r="E28" s="1"/>
    </row>
    <row r="29" spans="1:5" x14ac:dyDescent="0.3">
      <c r="A29" s="1"/>
      <c r="B29" s="1"/>
      <c r="C29" s="32"/>
      <c r="D29" s="1"/>
      <c r="E29" s="1"/>
    </row>
    <row r="30" spans="1:5" x14ac:dyDescent="0.3">
      <c r="A30" s="1"/>
      <c r="B30" s="98" t="s">
        <v>136</v>
      </c>
      <c r="C30" s="99"/>
      <c r="D30" s="100"/>
      <c r="E30" s="1"/>
    </row>
    <row r="31" spans="1:5" x14ac:dyDescent="0.3">
      <c r="A31" s="1"/>
      <c r="B31" s="56" t="s">
        <v>137</v>
      </c>
      <c r="C31" s="48">
        <f>(C26-C27)*(1+'Fane 13. Nøgletal'!C11)</f>
        <v>31805180.826348055</v>
      </c>
      <c r="D31" s="14" t="s">
        <v>3</v>
      </c>
      <c r="E31" s="1"/>
    </row>
    <row r="32" spans="1:5" x14ac:dyDescent="0.3">
      <c r="A32" s="1"/>
      <c r="B32" s="56" t="s">
        <v>138</v>
      </c>
      <c r="C32" s="48">
        <f>(C31)*'Fane 13. Nøgletal'!C23</f>
        <v>636103.61652696109</v>
      </c>
      <c r="D32" s="14" t="s">
        <v>3</v>
      </c>
      <c r="E32" s="1"/>
    </row>
    <row r="33" spans="1:5" x14ac:dyDescent="0.3">
      <c r="A33" s="1"/>
      <c r="B33" s="52"/>
      <c r="C33" s="42"/>
      <c r="D33" s="19"/>
      <c r="E33" s="1"/>
    </row>
    <row r="34" spans="1:5" x14ac:dyDescent="0.3">
      <c r="A34" s="1"/>
      <c r="B34" s="1"/>
      <c r="C34" s="32"/>
      <c r="D34" s="1"/>
      <c r="E34" s="1"/>
    </row>
    <row r="35" spans="1:5" x14ac:dyDescent="0.3">
      <c r="A35" s="1"/>
      <c r="B35" s="1"/>
      <c r="C35" s="32"/>
      <c r="D35" s="1"/>
      <c r="E35" s="1"/>
    </row>
    <row r="36" spans="1:5" x14ac:dyDescent="0.3">
      <c r="A36" s="1"/>
      <c r="B36" s="1"/>
      <c r="C36" s="32"/>
      <c r="D36" s="1"/>
      <c r="E36" s="1"/>
    </row>
    <row r="37" spans="1:5" x14ac:dyDescent="0.3">
      <c r="A37" s="1"/>
      <c r="B37" s="1"/>
      <c r="C37" s="32"/>
      <c r="D37" s="1"/>
      <c r="E37" s="1"/>
    </row>
    <row r="38" spans="1:5" x14ac:dyDescent="0.3">
      <c r="A38" s="1"/>
      <c r="B38" s="1"/>
      <c r="C38" s="32"/>
      <c r="D38" s="1"/>
      <c r="E38" s="1"/>
    </row>
    <row r="39" spans="1:5" x14ac:dyDescent="0.3">
      <c r="A39" s="1"/>
      <c r="B39" s="1"/>
      <c r="C39" s="32"/>
      <c r="D39" s="1"/>
      <c r="E39" s="1"/>
    </row>
    <row r="40" spans="1:5" x14ac:dyDescent="0.3">
      <c r="A40" s="1"/>
      <c r="B40" s="1"/>
      <c r="C40" s="32"/>
      <c r="D40" s="1"/>
      <c r="E40" s="1"/>
    </row>
    <row r="41" spans="1:5" x14ac:dyDescent="0.3">
      <c r="A41" s="1"/>
      <c r="B41" s="1"/>
      <c r="C41" s="32"/>
      <c r="D41" s="1"/>
      <c r="E41" s="1"/>
    </row>
    <row r="42" spans="1:5" x14ac:dyDescent="0.3">
      <c r="A42" s="1"/>
      <c r="B42" s="1"/>
      <c r="C42" s="32"/>
      <c r="D42" s="1"/>
      <c r="E42" s="1"/>
    </row>
    <row r="43" spans="1:5" x14ac:dyDescent="0.3">
      <c r="A43" s="1"/>
      <c r="B43" s="1"/>
      <c r="C43" s="32"/>
      <c r="D43" s="1"/>
      <c r="E43" s="1"/>
    </row>
    <row r="44" spans="1:5" x14ac:dyDescent="0.3">
      <c r="A44" s="1"/>
      <c r="B44" s="1"/>
      <c r="C44" s="32"/>
      <c r="D44" s="1"/>
      <c r="E44" s="1"/>
    </row>
    <row r="45" spans="1:5" x14ac:dyDescent="0.3">
      <c r="A45" s="1"/>
      <c r="B45" s="1"/>
      <c r="C45" s="32"/>
      <c r="D45" s="1"/>
      <c r="E45" s="1"/>
    </row>
    <row r="46" spans="1:5" x14ac:dyDescent="0.3">
      <c r="A46" s="1"/>
      <c r="B46" s="1"/>
      <c r="C46" s="32"/>
      <c r="D46" s="1"/>
      <c r="E46" s="1"/>
    </row>
    <row r="47" spans="1:5" x14ac:dyDescent="0.3">
      <c r="A47" s="1"/>
      <c r="B47" s="1"/>
      <c r="C47" s="32"/>
      <c r="D47" s="1"/>
      <c r="E47" s="1"/>
    </row>
    <row r="48" spans="1:5" x14ac:dyDescent="0.3">
      <c r="A48" s="1"/>
      <c r="B48" s="1"/>
      <c r="C48" s="32"/>
      <c r="D48" s="1"/>
      <c r="E48" s="1"/>
    </row>
    <row r="49" spans="1:5" x14ac:dyDescent="0.3">
      <c r="A49" s="1"/>
      <c r="B49" s="1"/>
      <c r="C49" s="32"/>
      <c r="D49" s="1"/>
      <c r="E49" s="1"/>
    </row>
    <row r="50" spans="1:5" x14ac:dyDescent="0.3">
      <c r="A50" s="1"/>
      <c r="B50" s="1"/>
      <c r="C50" s="32"/>
      <c r="D50" s="1"/>
      <c r="E50" s="1"/>
    </row>
  </sheetData>
  <sheetProtection algorithmName="SHA-512" hashValue="51poKgkPmRudMo/Wy+UXC+R8pl8WYSLbHFNxkgNqQGRSQorrUJSiFyhK8NmJUx6uGOM8fjDaICRAVirjsA3hkA==" saltValue="tiIOgOm9hPXaKY1Lgr1Hd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4.4" zeroHeight="1" x14ac:dyDescent="0.3"/>
  <cols>
    <col min="1" max="1" width="5.33203125" style="2" customWidth="1"/>
    <col min="2" max="2" width="58"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101" t="s">
        <v>54</v>
      </c>
      <c r="C3" s="102"/>
      <c r="D3" s="102"/>
      <c r="E3" s="1"/>
    </row>
    <row r="4" spans="1:5" ht="15" customHeight="1" x14ac:dyDescent="0.3">
      <c r="A4" s="1"/>
      <c r="B4" s="102"/>
      <c r="C4" s="102"/>
      <c r="D4" s="102"/>
      <c r="E4" s="1"/>
    </row>
    <row r="5" spans="1:5" ht="15" customHeight="1" x14ac:dyDescent="0.3">
      <c r="A5" s="1"/>
      <c r="B5" s="102"/>
      <c r="C5" s="102"/>
      <c r="D5" s="102"/>
      <c r="E5" s="1"/>
    </row>
    <row r="6" spans="1:5" ht="15" customHeight="1" x14ac:dyDescent="0.3">
      <c r="A6" s="1"/>
      <c r="B6" s="1"/>
      <c r="C6" s="1"/>
      <c r="D6" s="1"/>
      <c r="E6" s="1"/>
    </row>
    <row r="7" spans="1:5" ht="15" customHeight="1" x14ac:dyDescent="0.3">
      <c r="A7" s="1"/>
      <c r="B7" s="1"/>
      <c r="C7" s="1"/>
      <c r="D7" s="1"/>
      <c r="E7" s="1"/>
    </row>
    <row r="8" spans="1:5" x14ac:dyDescent="0.3">
      <c r="A8" s="1"/>
      <c r="B8" s="98" t="s">
        <v>76</v>
      </c>
      <c r="C8" s="99"/>
      <c r="D8" s="100"/>
      <c r="E8" s="1"/>
    </row>
    <row r="9" spans="1:5" x14ac:dyDescent="0.3">
      <c r="A9" s="1"/>
      <c r="B9" s="56" t="s">
        <v>162</v>
      </c>
      <c r="C9" s="48">
        <v>30422860.19529539</v>
      </c>
      <c r="D9" s="14" t="s">
        <v>3</v>
      </c>
      <c r="E9" s="1"/>
    </row>
    <row r="10" spans="1:5" x14ac:dyDescent="0.3">
      <c r="A10" s="1"/>
      <c r="B10" s="56" t="s">
        <v>113</v>
      </c>
      <c r="C10" s="48">
        <f>('Fane 3. Omkostninger i ØR2024'!C11+'Fane 3. Omkostninger i ØR2024'!C13+'Fane 3. Omkostninger i ØR2024'!C15)*(1+'Fane 13. Nøgletal'!C10)</f>
        <v>531354.85137727996</v>
      </c>
      <c r="D10" s="14" t="s">
        <v>3</v>
      </c>
      <c r="E10" s="1"/>
    </row>
    <row r="11" spans="1:5" x14ac:dyDescent="0.3">
      <c r="A11" s="1"/>
      <c r="B11" s="56" t="s">
        <v>114</v>
      </c>
      <c r="C11" s="75">
        <f>(C9)*'Fane 13. Nøgletal'!C16+C10*'Fane 13. Nøgletal'!C17</f>
        <v>0</v>
      </c>
      <c r="D11" s="14" t="s">
        <v>3</v>
      </c>
      <c r="E11" s="1"/>
    </row>
    <row r="12" spans="1:5" x14ac:dyDescent="0.3">
      <c r="A12" s="1"/>
      <c r="B12" s="52"/>
      <c r="C12" s="53"/>
      <c r="D12" s="19"/>
      <c r="E12" s="1"/>
    </row>
    <row r="13" spans="1:5" x14ac:dyDescent="0.3">
      <c r="A13" s="1"/>
      <c r="B13" s="1"/>
      <c r="C13" s="1"/>
      <c r="D13" s="1"/>
      <c r="E13" s="1"/>
    </row>
    <row r="14" spans="1:5" x14ac:dyDescent="0.3">
      <c r="A14" s="1"/>
      <c r="B14" s="98" t="s">
        <v>156</v>
      </c>
      <c r="C14" s="99"/>
      <c r="D14" s="100"/>
      <c r="E14" s="1"/>
    </row>
    <row r="15" spans="1:5" x14ac:dyDescent="0.3">
      <c r="A15" s="1"/>
      <c r="B15" s="56" t="s">
        <v>163</v>
      </c>
      <c r="C15" s="48">
        <f>(C9+C10-C11)*(1+'Fane 13. Nøgletal'!C11)</f>
        <v>33006479.504267067</v>
      </c>
      <c r="D15" s="14" t="s">
        <v>3</v>
      </c>
      <c r="E15" s="1"/>
    </row>
    <row r="16" spans="1:5" x14ac:dyDescent="0.3">
      <c r="A16" s="1"/>
      <c r="B16" s="56" t="s">
        <v>157</v>
      </c>
      <c r="C16" s="48">
        <f>('Fane 2.1. Økonomisk ramme 2025'!C11+'Fane 2.1. Økonomisk ramme 2025'!C13+'Fane 2.1. Økonomisk ramme 2025'!C15)*(1+'Fane 13. Nøgletal'!C11)</f>
        <v>65096.414239570004</v>
      </c>
      <c r="D16" s="14" t="s">
        <v>3</v>
      </c>
      <c r="E16" s="1"/>
    </row>
    <row r="17" spans="1:5" x14ac:dyDescent="0.3">
      <c r="A17" s="1"/>
      <c r="B17" s="56" t="s">
        <v>158</v>
      </c>
      <c r="C17" s="75">
        <f>(C15+C16)*'Fane 13. Nøgletal'!C18</f>
        <v>0</v>
      </c>
      <c r="D17" s="14" t="s">
        <v>3</v>
      </c>
      <c r="E17" s="1"/>
    </row>
    <row r="18" spans="1:5" x14ac:dyDescent="0.3">
      <c r="A18" s="1"/>
      <c r="B18" s="52"/>
      <c r="C18" s="53"/>
      <c r="D18" s="19"/>
      <c r="E18" s="1"/>
    </row>
    <row r="19" spans="1:5" x14ac:dyDescent="0.3">
      <c r="A19" s="1"/>
      <c r="B19" s="1"/>
      <c r="C19" s="1"/>
      <c r="D19" s="1"/>
      <c r="E19" s="1"/>
    </row>
    <row r="20" spans="1:5" x14ac:dyDescent="0.3">
      <c r="A20" s="1"/>
      <c r="B20" s="98" t="s">
        <v>166</v>
      </c>
      <c r="C20" s="99"/>
      <c r="D20" s="100"/>
      <c r="E20" s="1"/>
    </row>
    <row r="21" spans="1:5" x14ac:dyDescent="0.3">
      <c r="A21" s="1"/>
      <c r="B21" s="56" t="s">
        <v>164</v>
      </c>
      <c r="C21" s="48">
        <f>(C15+C16-C17)*(1+'Fane 13. Nøgletal'!C11)</f>
        <v>35264221.401903629</v>
      </c>
      <c r="D21" s="14" t="s">
        <v>3</v>
      </c>
      <c r="E21" s="1"/>
    </row>
    <row r="22" spans="1:5" x14ac:dyDescent="0.3">
      <c r="A22" s="1"/>
      <c r="B22" s="56" t="s">
        <v>165</v>
      </c>
      <c r="C22" s="75">
        <f>(C21)*'Fane 13. Nøgletal'!C18</f>
        <v>0</v>
      </c>
      <c r="D22" s="14" t="s">
        <v>3</v>
      </c>
      <c r="E22" s="1"/>
    </row>
    <row r="23" spans="1:5" x14ac:dyDescent="0.3">
      <c r="A23" s="1"/>
      <c r="B23" s="52"/>
      <c r="C23" s="53"/>
      <c r="D23" s="19"/>
      <c r="E23" s="1"/>
    </row>
    <row r="24" spans="1:5" x14ac:dyDescent="0.3">
      <c r="A24" s="1"/>
      <c r="B24" s="1"/>
      <c r="C24" s="1"/>
      <c r="D24" s="1"/>
      <c r="E24" s="1"/>
    </row>
    <row r="25" spans="1:5" x14ac:dyDescent="0.3">
      <c r="A25" s="1"/>
      <c r="B25" s="98" t="s">
        <v>119</v>
      </c>
      <c r="C25" s="99"/>
      <c r="D25" s="100"/>
      <c r="E25" s="1"/>
    </row>
    <row r="26" spans="1:5" x14ac:dyDescent="0.3">
      <c r="A26" s="1"/>
      <c r="B26" s="56" t="s">
        <v>120</v>
      </c>
      <c r="C26" s="48">
        <f>(C21-C22)*(1+'Fane 13. Nøgletal'!C11)</f>
        <v>37602239.280849844</v>
      </c>
      <c r="D26" s="14" t="s">
        <v>3</v>
      </c>
      <c r="E26" s="1"/>
    </row>
    <row r="27" spans="1:5" x14ac:dyDescent="0.3">
      <c r="A27" s="1"/>
      <c r="B27" s="56" t="s">
        <v>121</v>
      </c>
      <c r="C27" s="75">
        <f>(C26)*'Fane 13. Nøgletal'!C18</f>
        <v>0</v>
      </c>
      <c r="D27" s="14" t="s">
        <v>3</v>
      </c>
      <c r="E27" s="1"/>
    </row>
    <row r="28" spans="1:5" x14ac:dyDescent="0.3">
      <c r="A28" s="1"/>
      <c r="B28" s="52"/>
      <c r="C28" s="53"/>
      <c r="D28" s="19"/>
      <c r="E28" s="1"/>
    </row>
    <row r="29" spans="1:5" x14ac:dyDescent="0.3">
      <c r="A29" s="1"/>
      <c r="B29" s="1"/>
      <c r="C29" s="1"/>
      <c r="D29" s="1"/>
      <c r="E29" s="1"/>
    </row>
    <row r="30" spans="1:5" x14ac:dyDescent="0.3">
      <c r="A30" s="1"/>
      <c r="B30" s="98" t="s">
        <v>139</v>
      </c>
      <c r="C30" s="99"/>
      <c r="D30" s="100"/>
      <c r="E30" s="1"/>
    </row>
    <row r="31" spans="1:5" x14ac:dyDescent="0.3">
      <c r="A31" s="1"/>
      <c r="B31" s="56" t="s">
        <v>140</v>
      </c>
      <c r="C31" s="48">
        <f>(C26-C27)*(1+'Fane 13. Nøgletal'!C11)</f>
        <v>40095267.745170191</v>
      </c>
      <c r="D31" s="14" t="s">
        <v>3</v>
      </c>
      <c r="E31" s="1"/>
    </row>
    <row r="32" spans="1:5" x14ac:dyDescent="0.3">
      <c r="A32" s="1"/>
      <c r="B32" s="56" t="s">
        <v>141</v>
      </c>
      <c r="C32" s="75">
        <f>(C31)*'Fane 13. Nøgletal'!C18</f>
        <v>0</v>
      </c>
      <c r="D32" s="14" t="s">
        <v>3</v>
      </c>
      <c r="E32" s="1"/>
    </row>
    <row r="33" spans="1:5" x14ac:dyDescent="0.3">
      <c r="A33" s="1"/>
      <c r="B33" s="52"/>
      <c r="C33" s="53"/>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TbSaQ6mLZrDemA3MjSy1wb72csAbvRspe2k2p4fOUgUJDc5DPjhq1/ln8emCbiBqkQ3ZRdnTUzdqpJ+g8aDygg==" saltValue="7hjCL6qsIRT6pyABAdbdT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4" t="s">
        <v>41</v>
      </c>
      <c r="C3" s="94"/>
      <c r="D3" s="1"/>
    </row>
    <row r="4" spans="1:4" ht="15" customHeight="1" x14ac:dyDescent="0.3">
      <c r="A4" s="1"/>
      <c r="B4" s="94"/>
      <c r="C4" s="94"/>
      <c r="D4" s="1"/>
    </row>
    <row r="5" spans="1:4" x14ac:dyDescent="0.3">
      <c r="A5" s="1"/>
      <c r="B5" s="1"/>
      <c r="C5" s="1"/>
      <c r="D5" s="1"/>
    </row>
    <row r="6" spans="1:4" x14ac:dyDescent="0.3">
      <c r="A6" s="1"/>
      <c r="B6" s="1"/>
      <c r="C6" s="1"/>
      <c r="D6" s="1"/>
    </row>
    <row r="7" spans="1:4" x14ac:dyDescent="0.3">
      <c r="A7" s="1"/>
      <c r="B7" s="1"/>
      <c r="C7" s="1"/>
      <c r="D7" s="1"/>
    </row>
    <row r="8" spans="1:4" x14ac:dyDescent="0.3">
      <c r="A8" s="1"/>
      <c r="B8" s="98" t="s">
        <v>9</v>
      </c>
      <c r="C8" s="100"/>
      <c r="D8" s="1"/>
    </row>
    <row r="9" spans="1:4" x14ac:dyDescent="0.3">
      <c r="A9" s="1"/>
      <c r="B9" s="56" t="s">
        <v>160</v>
      </c>
      <c r="C9" s="44">
        <v>1.6719289737561399E-2</v>
      </c>
      <c r="D9" s="1"/>
    </row>
    <row r="10" spans="1:4" x14ac:dyDescent="0.3">
      <c r="A10" s="1"/>
      <c r="B10" s="52"/>
      <c r="C10" s="19"/>
      <c r="D10" s="1"/>
    </row>
    <row r="11" spans="1:4" ht="15" customHeight="1" x14ac:dyDescent="0.3">
      <c r="A11" s="1"/>
      <c r="B11" s="103" t="s">
        <v>161</v>
      </c>
      <c r="C11" s="104"/>
      <c r="D11" s="1"/>
    </row>
    <row r="12" spans="1:4" ht="13.5" customHeight="1" x14ac:dyDescent="0.3">
      <c r="A12" s="1"/>
      <c r="B12" s="105"/>
      <c r="C12" s="10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ht="15" customHeight="1"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glhCv/QdQzE8WnJ0UObgPY7mvEsYDWTAUvByXdLhrKVtMEIme5gDfFg/+eCmoYGbrAOeyJZxyZAn8M5HRfvP8w==" saltValue="TTemJ+uoMwsMoy8rbRK8ZQ=="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2024-09-03T18:34:19Z</dcterms:modified>
</cp:coreProperties>
</file>